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E SWING" sheetId="1" r:id="rId4"/>
  </sheets>
  <definedNames/>
  <calcPr/>
</workbook>
</file>

<file path=xl/sharedStrings.xml><?xml version="1.0" encoding="utf-8"?>
<sst xmlns="http://schemas.openxmlformats.org/spreadsheetml/2006/main" count="1984" uniqueCount="1978">
  <si>
    <t>SYMBOL</t>
  </si>
  <si>
    <t>NSE SYMBOL</t>
  </si>
  <si>
    <t>MARKET</t>
  </si>
  <si>
    <t>CMP</t>
  </si>
  <si>
    <t>VOLUME</t>
  </si>
  <si>
    <t>10 DMA</t>
  </si>
  <si>
    <t>30 DMA</t>
  </si>
  <si>
    <t>60 DMA</t>
  </si>
  <si>
    <t>90 DMA</t>
  </si>
  <si>
    <t>120 DMA</t>
  </si>
  <si>
    <t>200 DMA</t>
  </si>
  <si>
    <t>OUTPUT</t>
  </si>
  <si>
    <t>NEAR BELOW</t>
  </si>
  <si>
    <t xml:space="preserve">BEST FOR </t>
  </si>
  <si>
    <t>PE ratio</t>
  </si>
  <si>
    <t>ADANIENT</t>
  </si>
  <si>
    <t>ADANIGREEN</t>
  </si>
  <si>
    <t>IOC</t>
  </si>
  <si>
    <t>DLF</t>
  </si>
  <si>
    <t>TATASTEEL</t>
  </si>
  <si>
    <t>BANKBARODA</t>
  </si>
  <si>
    <t>PNB</t>
  </si>
  <si>
    <t>UNIONBANK</t>
  </si>
  <si>
    <t>CANBK</t>
  </si>
  <si>
    <t>ATGL</t>
  </si>
  <si>
    <t>IRCTC</t>
  </si>
  <si>
    <t>NMDC</t>
  </si>
  <si>
    <t>SAIL</t>
  </si>
  <si>
    <t>MRF</t>
  </si>
  <si>
    <t>CENTRALBK</t>
  </si>
  <si>
    <t>SUNDARMFIN</t>
  </si>
  <si>
    <t>MRPL</t>
  </si>
  <si>
    <t>MEDANTA</t>
  </si>
  <si>
    <t>TATAINVEST</t>
  </si>
  <si>
    <t>HINDCOPPER</t>
  </si>
  <si>
    <t>EIHOTEL</t>
  </si>
  <si>
    <t>AARTIIND</t>
  </si>
  <si>
    <t>CHALET</t>
  </si>
  <si>
    <t>NSLNISP</t>
  </si>
  <si>
    <t>REDINGTON</t>
  </si>
  <si>
    <t>OLECTRA</t>
  </si>
  <si>
    <t>RAYMOND</t>
  </si>
  <si>
    <t>JPPOWER</t>
  </si>
  <si>
    <t>STARCEMENT</t>
  </si>
  <si>
    <t>MASTEK</t>
  </si>
  <si>
    <t>HEG</t>
  </si>
  <si>
    <t>INFIBEAM</t>
  </si>
  <si>
    <t>MSTCLTD</t>
  </si>
  <si>
    <t>WONDERLA</t>
  </si>
  <si>
    <t>JAMNAAUTO</t>
  </si>
  <si>
    <t>SANGHVIMOV</t>
  </si>
  <si>
    <t>DYNAMATECH</t>
  </si>
  <si>
    <t>ADVENZYMES</t>
  </si>
  <si>
    <t>FCL</t>
  </si>
  <si>
    <t>IMAGICAA</t>
  </si>
  <si>
    <t>UNICHEMLAB</t>
  </si>
  <si>
    <t>NRBBEARING</t>
  </si>
  <si>
    <t>SALASAR</t>
  </si>
  <si>
    <t>BFUTILITIE</t>
  </si>
  <si>
    <t>DOLLAR</t>
  </si>
  <si>
    <t>SMLISUZU</t>
  </si>
  <si>
    <t>SHK</t>
  </si>
  <si>
    <t>AJMERA</t>
  </si>
  <si>
    <t>CAPACITE</t>
  </si>
  <si>
    <t>ORIENTHOT</t>
  </si>
  <si>
    <t>CUPID</t>
  </si>
  <si>
    <t>CENTUM</t>
  </si>
  <si>
    <t>TAJGVK</t>
  </si>
  <si>
    <t>SURYODAY</t>
  </si>
  <si>
    <t>MONARCH</t>
  </si>
  <si>
    <t>RICOAUTO</t>
  </si>
  <si>
    <t>SHREDIGCEM</t>
  </si>
  <si>
    <t>STEELXIND</t>
  </si>
  <si>
    <t>KAMDHENU</t>
  </si>
  <si>
    <t>ENIL</t>
  </si>
  <si>
    <t>URJA</t>
  </si>
  <si>
    <t>CREATIVE</t>
  </si>
  <si>
    <t>DHANBANK</t>
  </si>
  <si>
    <t>VISAKAIND</t>
  </si>
  <si>
    <t>OSWALGREEN</t>
  </si>
  <si>
    <t>CHEVIOT</t>
  </si>
  <si>
    <t>HMVL</t>
  </si>
  <si>
    <t>BHAGERIA</t>
  </si>
  <si>
    <t>RADHIKAJWE</t>
  </si>
  <si>
    <t>GOACARBON</t>
  </si>
  <si>
    <t>BEDMUTHA</t>
  </si>
  <si>
    <t>AVG</t>
  </si>
  <si>
    <t>PVP</t>
  </si>
  <si>
    <t>ADVANIHOTR</t>
  </si>
  <si>
    <t>BALAXI</t>
  </si>
  <si>
    <t>ORICONENT</t>
  </si>
  <si>
    <t>OSWALAGRO</t>
  </si>
  <si>
    <t>SADBHAV</t>
  </si>
  <si>
    <t>KOTARISUG</t>
  </si>
  <si>
    <t>MEGASOFT</t>
  </si>
  <si>
    <t>SCPL</t>
  </si>
  <si>
    <t>RAJTV</t>
  </si>
  <si>
    <t>ABAN</t>
  </si>
  <si>
    <t>UCAL</t>
  </si>
  <si>
    <t>SINTERCOM</t>
  </si>
  <si>
    <t>INDOTHAI</t>
  </si>
  <si>
    <t>UMAEXPORTS</t>
  </si>
  <si>
    <t>SUNDRMBRAK</t>
  </si>
  <si>
    <t>RHL</t>
  </si>
  <si>
    <t>THOMASCOTT</t>
  </si>
  <si>
    <t>SIGIND</t>
  </si>
  <si>
    <t>ASPINWALL</t>
  </si>
  <si>
    <t>SADBHIN</t>
  </si>
  <si>
    <t>INCREDIBLE</t>
  </si>
  <si>
    <t>ARCHIDPLY</t>
  </si>
  <si>
    <t>XELPMOC</t>
  </si>
  <si>
    <t>MAHASTEEL</t>
  </si>
  <si>
    <t>OILCOUNTUB</t>
  </si>
  <si>
    <t>DBSTOCKBRO</t>
  </si>
  <si>
    <t>AUSOMENT</t>
  </si>
  <si>
    <t>BIOFILCHEM</t>
  </si>
  <si>
    <t>SAMBHAAV</t>
  </si>
  <si>
    <t>WEWIN</t>
  </si>
  <si>
    <t>ROML</t>
  </si>
  <si>
    <t>JETFREIGHT</t>
  </si>
  <si>
    <t>LAXMICOT</t>
  </si>
  <si>
    <t>TGBHOTELS</t>
  </si>
  <si>
    <t>TIJARIA</t>
  </si>
  <si>
    <t>TECILCHEM</t>
  </si>
  <si>
    <t>HAVISHA</t>
  </si>
  <si>
    <t>UNIINFO</t>
  </si>
  <si>
    <t>ANTGRAPHIC</t>
  </si>
  <si>
    <t>SADHNANIQ</t>
  </si>
  <si>
    <t>CAMLINFINE</t>
  </si>
  <si>
    <t>ONMOBILE</t>
  </si>
  <si>
    <t>BIRLACABLE</t>
  </si>
  <si>
    <t>LOTUSEYE</t>
  </si>
  <si>
    <t>LATTEYS</t>
  </si>
  <si>
    <t>MARSHALL</t>
  </si>
  <si>
    <t>ANKITMETAL</t>
  </si>
  <si>
    <t>WINSOME</t>
  </si>
  <si>
    <t>RELIANCE</t>
  </si>
  <si>
    <t>TCS</t>
  </si>
  <si>
    <t>BHARTIARTL</t>
  </si>
  <si>
    <t>SBIN</t>
  </si>
  <si>
    <t>LICI</t>
  </si>
  <si>
    <t>HINDUNILVR</t>
  </si>
  <si>
    <t>ITC</t>
  </si>
  <si>
    <t>LT</t>
  </si>
  <si>
    <t>HCLTECH</t>
  </si>
  <si>
    <t>BAJFINANCE</t>
  </si>
  <si>
    <t>ONGC</t>
  </si>
  <si>
    <t>AXISBANK</t>
  </si>
  <si>
    <t>MARUTI</t>
  </si>
  <si>
    <t>SUNPHARMA</t>
  </si>
  <si>
    <t>TATAMOTORS</t>
  </si>
  <si>
    <t>TATAMTRDVR</t>
  </si>
  <si>
    <t>KOTAKBANK</t>
  </si>
  <si>
    <t>NTPC</t>
  </si>
  <si>
    <t>M&amp;M</t>
  </si>
  <si>
    <t>DMART</t>
  </si>
  <si>
    <t>ULTRACEMCO</t>
  </si>
  <si>
    <t>HAL</t>
  </si>
  <si>
    <t>ADANIPORTS</t>
  </si>
  <si>
    <t>POWERGRID</t>
  </si>
  <si>
    <t>COALINDIA</t>
  </si>
  <si>
    <t>TITAN</t>
  </si>
  <si>
    <t>ASIANPAINT</t>
  </si>
  <si>
    <t>HINDZINC</t>
  </si>
  <si>
    <t>IRFC</t>
  </si>
  <si>
    <t>ADANIPOWER</t>
  </si>
  <si>
    <t>BAJAJ-AUTO</t>
  </si>
  <si>
    <t>BAJAJFINSV</t>
  </si>
  <si>
    <t>NESTLEIND</t>
  </si>
  <si>
    <t>SIEMENS</t>
  </si>
  <si>
    <t>BEL</t>
  </si>
  <si>
    <t>JSWSTEEL</t>
  </si>
  <si>
    <t>JIOFIN</t>
  </si>
  <si>
    <t>VBL</t>
  </si>
  <si>
    <t>GRASIM</t>
  </si>
  <si>
    <t>ZOMATO</t>
  </si>
  <si>
    <t>TRENT</t>
  </si>
  <si>
    <t>PFC</t>
  </si>
  <si>
    <t>LTIM</t>
  </si>
  <si>
    <t>SBILIFE</t>
  </si>
  <si>
    <t>INDIGO</t>
  </si>
  <si>
    <t>VEDL</t>
  </si>
  <si>
    <t>ABB</t>
  </si>
  <si>
    <t>PIDILITIND</t>
  </si>
  <si>
    <t>RECLTD</t>
  </si>
  <si>
    <t>GODREJCP</t>
  </si>
  <si>
    <t>AMBUJACEM</t>
  </si>
  <si>
    <t>HINDALCO</t>
  </si>
  <si>
    <t>TECHM</t>
  </si>
  <si>
    <t>GAIL</t>
  </si>
  <si>
    <t>LODHA</t>
  </si>
  <si>
    <t>BRITANNIA</t>
  </si>
  <si>
    <t>HDFCLIFE</t>
  </si>
  <si>
    <t>EICHERMOT</t>
  </si>
  <si>
    <t>TATAPOWER</t>
  </si>
  <si>
    <t>MOTHERSON</t>
  </si>
  <si>
    <t>RVNL</t>
  </si>
  <si>
    <t>JSWENERGY</t>
  </si>
  <si>
    <t>IOB</t>
  </si>
  <si>
    <t>CHOLAFIN</t>
  </si>
  <si>
    <t>CIPLA</t>
  </si>
  <si>
    <t>DIVISLAB</t>
  </si>
  <si>
    <t>HAVELLS</t>
  </si>
  <si>
    <t>ZYDUSLIFE</t>
  </si>
  <si>
    <t>TVSMOTOR</t>
  </si>
  <si>
    <t>INDUSINDBK</t>
  </si>
  <si>
    <t>TATACONSUM</t>
  </si>
  <si>
    <t>ADANIENSOL</t>
  </si>
  <si>
    <t>DABUR</t>
  </si>
  <si>
    <t>INDUSTOWER</t>
  </si>
  <si>
    <t>HEROMOTOCO</t>
  </si>
  <si>
    <t>BAJAJHLDNG</t>
  </si>
  <si>
    <t>IDEA</t>
  </si>
  <si>
    <t>NHPC</t>
  </si>
  <si>
    <t>SHRIRAMFIN</t>
  </si>
  <si>
    <t>MAZDOCK</t>
  </si>
  <si>
    <t>CGPOWER</t>
  </si>
  <si>
    <t>BHEL</t>
  </si>
  <si>
    <t>SHREECEM</t>
  </si>
  <si>
    <t>BOSCHLTD</t>
  </si>
  <si>
    <t>TORNTPHARM</t>
  </si>
  <si>
    <t>CUMMINSIND</t>
  </si>
  <si>
    <t>SOLARINDS</t>
  </si>
  <si>
    <t>POLYCAB</t>
  </si>
  <si>
    <t>IDBI</t>
  </si>
  <si>
    <t>OFSS</t>
  </si>
  <si>
    <t>JINDALSTEL</t>
  </si>
  <si>
    <t>UNITDSPR</t>
  </si>
  <si>
    <t>APOLLOHOSP</t>
  </si>
  <si>
    <t>GODREJPROP</t>
  </si>
  <si>
    <t>OIL</t>
  </si>
  <si>
    <t>ICICIPRULI</t>
  </si>
  <si>
    <t>ICICIGI</t>
  </si>
  <si>
    <t>NAUKRI</t>
  </si>
  <si>
    <t>MAXHEALTH</t>
  </si>
  <si>
    <t>HDFCAMC</t>
  </si>
  <si>
    <t>MARICO</t>
  </si>
  <si>
    <t>MANKIND</t>
  </si>
  <si>
    <t>COLPAL</t>
  </si>
  <si>
    <t>INDHOTEL</t>
  </si>
  <si>
    <t>LUPIN</t>
  </si>
  <si>
    <t>TIINDIA</t>
  </si>
  <si>
    <t>AUROPHARMA</t>
  </si>
  <si>
    <t>YESBANK</t>
  </si>
  <si>
    <t>INDIANB</t>
  </si>
  <si>
    <t>PERSISTENT</t>
  </si>
  <si>
    <t>SUZLON</t>
  </si>
  <si>
    <t>MUTHOOTFIN</t>
  </si>
  <si>
    <t>TORNTPOWER</t>
  </si>
  <si>
    <t>BHARATFORG</t>
  </si>
  <si>
    <t>IREDA</t>
  </si>
  <si>
    <t>HINDPETRO</t>
  </si>
  <si>
    <t>SUPREMEIND</t>
  </si>
  <si>
    <t>PRESTIGE</t>
  </si>
  <si>
    <t>PHOENIXLTD</t>
  </si>
  <si>
    <t>LINDEINDIA</t>
  </si>
  <si>
    <t>SRF</t>
  </si>
  <si>
    <t>SBICARD</t>
  </si>
  <si>
    <t>GICRE</t>
  </si>
  <si>
    <t>DIXON</t>
  </si>
  <si>
    <t>COCHINSHIP</t>
  </si>
  <si>
    <t>POLICYBZR</t>
  </si>
  <si>
    <t>UCOBANK</t>
  </si>
  <si>
    <t>FACT</t>
  </si>
  <si>
    <t>ASHOKLEY</t>
  </si>
  <si>
    <t>BPCL</t>
  </si>
  <si>
    <t>JSWINFRA</t>
  </si>
  <si>
    <t>HUDCO</t>
  </si>
  <si>
    <t>CONCOR</t>
  </si>
  <si>
    <t>ALKEM</t>
  </si>
  <si>
    <t>JSL</t>
  </si>
  <si>
    <t>BERGEPAINT</t>
  </si>
  <si>
    <t>SCHAEFFLER</t>
  </si>
  <si>
    <t>BALKRISIND</t>
  </si>
  <si>
    <t>OBEROIRLTY</t>
  </si>
  <si>
    <t>ASTRAL</t>
  </si>
  <si>
    <t>ABBOTINDIA</t>
  </si>
  <si>
    <t>PIIND</t>
  </si>
  <si>
    <t>PATANJALI</t>
  </si>
  <si>
    <t>UNOMINDA</t>
  </si>
  <si>
    <t>IDFCFIRSTB</t>
  </si>
  <si>
    <t>BHARTIHEXA</t>
  </si>
  <si>
    <t>ABCAPITAL</t>
  </si>
  <si>
    <t>THERMAX</t>
  </si>
  <si>
    <t>GMRINFRA</t>
  </si>
  <si>
    <t>SJVN</t>
  </si>
  <si>
    <t>UBL</t>
  </si>
  <si>
    <t>BANKINDIA</t>
  </si>
  <si>
    <t>KALYANKJIL</t>
  </si>
  <si>
    <t>PGHH</t>
  </si>
  <si>
    <t>MPHASIS</t>
  </si>
  <si>
    <t>BDL</t>
  </si>
  <si>
    <t>PETRONET</t>
  </si>
  <si>
    <t>LTTS</t>
  </si>
  <si>
    <t>TATACOMM</t>
  </si>
  <si>
    <t>NYKAA</t>
  </si>
  <si>
    <t>ACC</t>
  </si>
  <si>
    <t>VOLTAS</t>
  </si>
  <si>
    <t>KPITTECH</t>
  </si>
  <si>
    <t>FEDERALBNK</t>
  </si>
  <si>
    <t>POWERINDIA</t>
  </si>
  <si>
    <t>HONAUT</t>
  </si>
  <si>
    <t>AUBANK</t>
  </si>
  <si>
    <t>COROMANDEL</t>
  </si>
  <si>
    <t>MAHABANK</t>
  </si>
  <si>
    <t>LTF</t>
  </si>
  <si>
    <t>EXIDEIND</t>
  </si>
  <si>
    <t>PAGEIND</t>
  </si>
  <si>
    <t>NIACL</t>
  </si>
  <si>
    <t>GLAXO</t>
  </si>
  <si>
    <t>TATAELXSI</t>
  </si>
  <si>
    <t>ESCORTS</t>
  </si>
  <si>
    <t>PSB</t>
  </si>
  <si>
    <t>3MINDIA</t>
  </si>
  <si>
    <t>GUJGASLTD</t>
  </si>
  <si>
    <t>LICHSGFIN</t>
  </si>
  <si>
    <t>AWL</t>
  </si>
  <si>
    <t>APLAPOLLO</t>
  </si>
  <si>
    <t>GET&amp;D</t>
  </si>
  <si>
    <t>UPL</t>
  </si>
  <si>
    <t>SONACOMS</t>
  </si>
  <si>
    <t>TATATECH</t>
  </si>
  <si>
    <t>IRB</t>
  </si>
  <si>
    <t>AIAENG</t>
  </si>
  <si>
    <t>NAM-INDIA</t>
  </si>
  <si>
    <t>BIOCON</t>
  </si>
  <si>
    <t>GLENMARK</t>
  </si>
  <si>
    <t>KEI</t>
  </si>
  <si>
    <t>DEEPAKNTR</t>
  </si>
  <si>
    <t>ENDURANCE</t>
  </si>
  <si>
    <t>NLCINDIA</t>
  </si>
  <si>
    <t>IGL</t>
  </si>
  <si>
    <t>LLOYDSME</t>
  </si>
  <si>
    <t>COFORGE</t>
  </si>
  <si>
    <t>JUBLFOOD</t>
  </si>
  <si>
    <t>FORTIS</t>
  </si>
  <si>
    <t>M&amp;MFIN</t>
  </si>
  <si>
    <t>METROBRAND</t>
  </si>
  <si>
    <t>FLUOROCHEM</t>
  </si>
  <si>
    <t>360ONE</t>
  </si>
  <si>
    <t>EMAMILTD</t>
  </si>
  <si>
    <t>MFSL</t>
  </si>
  <si>
    <t>NATIONALUM</t>
  </si>
  <si>
    <t>STARHEALTH</t>
  </si>
  <si>
    <t>DALBHARAT</t>
  </si>
  <si>
    <t>JKCEMENT</t>
  </si>
  <si>
    <t>BLUESTARCO</t>
  </si>
  <si>
    <t>APOLLOTYRE</t>
  </si>
  <si>
    <t>CARBORUNIV</t>
  </si>
  <si>
    <t>GLAND</t>
  </si>
  <si>
    <t>MSUMI</t>
  </si>
  <si>
    <t>APARINDS</t>
  </si>
  <si>
    <t>ABFRL</t>
  </si>
  <si>
    <t>MOTILALOFS</t>
  </si>
  <si>
    <t>POONAWALLA</t>
  </si>
  <si>
    <t>GODIGIT</t>
  </si>
  <si>
    <t>IPCALAB</t>
  </si>
  <si>
    <t>AEGISLOG</t>
  </si>
  <si>
    <t>BANDHANBNK</t>
  </si>
  <si>
    <t>CRISIL</t>
  </si>
  <si>
    <t>NBCC</t>
  </si>
  <si>
    <t>SUNTV</t>
  </si>
  <si>
    <t>BSE</t>
  </si>
  <si>
    <t>SYNGENE</t>
  </si>
  <si>
    <t>IRCON</t>
  </si>
  <si>
    <t>TIMKEN</t>
  </si>
  <si>
    <t>GODREJIND</t>
  </si>
  <si>
    <t>BAYERCROP</t>
  </si>
  <si>
    <t>BRIGADE</t>
  </si>
  <si>
    <t>PAYTM</t>
  </si>
  <si>
    <t>SUNDRMFAST</t>
  </si>
  <si>
    <t>TVSHLTD</t>
  </si>
  <si>
    <t>GRINDWELL</t>
  </si>
  <si>
    <t>ZFCVINDIA</t>
  </si>
  <si>
    <t>ARE&amp;M</t>
  </si>
  <si>
    <t>AJANTPHARM</t>
  </si>
  <si>
    <t>KPRMILL</t>
  </si>
  <si>
    <t>GRSE</t>
  </si>
  <si>
    <t>ITI</t>
  </si>
  <si>
    <t>HATSUN</t>
  </si>
  <si>
    <t>CHOLAHLDNG</t>
  </si>
  <si>
    <t>JBCHEPHARM</t>
  </si>
  <si>
    <t>SKFINDIA</t>
  </si>
  <si>
    <t>DELHIVERY</t>
  </si>
  <si>
    <t>CROMPTON</t>
  </si>
  <si>
    <t>JWL</t>
  </si>
  <si>
    <t>TATACHEM</t>
  </si>
  <si>
    <t>KIOCL</t>
  </si>
  <si>
    <t>JYOTICNC</t>
  </si>
  <si>
    <t>WHIRLPOOL</t>
  </si>
  <si>
    <t>MANYAVAR</t>
  </si>
  <si>
    <t>NH</t>
  </si>
  <si>
    <t>ISEC</t>
  </si>
  <si>
    <t>GILLETTE</t>
  </si>
  <si>
    <t>LALPATHLAB</t>
  </si>
  <si>
    <t>CENTURYTEX</t>
  </si>
  <si>
    <t>KAYNES</t>
  </si>
  <si>
    <t>SUMICHEM</t>
  </si>
  <si>
    <t>RATNAMANI</t>
  </si>
  <si>
    <t>CASTROLIND</t>
  </si>
  <si>
    <t>JBMA</t>
  </si>
  <si>
    <t>TEJASNET</t>
  </si>
  <si>
    <t>CDSL</t>
  </si>
  <si>
    <t>BASF</t>
  </si>
  <si>
    <t>LAURUSLABS</t>
  </si>
  <si>
    <t>FINCABLES</t>
  </si>
  <si>
    <t>PFIZER</t>
  </si>
  <si>
    <t>FIVESTAR</t>
  </si>
  <si>
    <t>RADICO</t>
  </si>
  <si>
    <t>TITAGARH</t>
  </si>
  <si>
    <t>CIEINDIA</t>
  </si>
  <si>
    <t>KEC</t>
  </si>
  <si>
    <t>CESC</t>
  </si>
  <si>
    <t>GODFRYPHLP</t>
  </si>
  <si>
    <t>KANSAINER</t>
  </si>
  <si>
    <t>NATCOPHARM</t>
  </si>
  <si>
    <t>KAJARIACER</t>
  </si>
  <si>
    <t>SWANENERGY</t>
  </si>
  <si>
    <t>KPIL</t>
  </si>
  <si>
    <t>APLLTD</t>
  </si>
  <si>
    <t>DEVYANI</t>
  </si>
  <si>
    <t>ELGIEQUIP</t>
  </si>
  <si>
    <t>SUVENPHAR</t>
  </si>
  <si>
    <t>PEL</t>
  </si>
  <si>
    <t>CELLO</t>
  </si>
  <si>
    <t>SIGNATURE</t>
  </si>
  <si>
    <t>CREDITACC</t>
  </si>
  <si>
    <t>RELAXO</t>
  </si>
  <si>
    <t>ATUL</t>
  </si>
  <si>
    <t>CAMS</t>
  </si>
  <si>
    <t>PNBHOUSING</t>
  </si>
  <si>
    <t>CYIENT</t>
  </si>
  <si>
    <t>VINATIORGA</t>
  </si>
  <si>
    <t>BLUEDART</t>
  </si>
  <si>
    <t>INOXWIND</t>
  </si>
  <si>
    <t>BSOFT</t>
  </si>
  <si>
    <t>VGUARD</t>
  </si>
  <si>
    <t>TTML</t>
  </si>
  <si>
    <t>POLYMED</t>
  </si>
  <si>
    <t>IIFL</t>
  </si>
  <si>
    <t>HSCL</t>
  </si>
  <si>
    <t>SOBHA</t>
  </si>
  <si>
    <t>FINPIPE</t>
  </si>
  <si>
    <t>CHAMBLFERT</t>
  </si>
  <si>
    <t>RRKABEL</t>
  </si>
  <si>
    <t>PTCIL</t>
  </si>
  <si>
    <t>BATAINDIA</t>
  </si>
  <si>
    <t>MCX</t>
  </si>
  <si>
    <t>ABSLAMC</t>
  </si>
  <si>
    <t>NCC</t>
  </si>
  <si>
    <t>BEML</t>
  </si>
  <si>
    <t>AFFLE</t>
  </si>
  <si>
    <t>AADHARHFC</t>
  </si>
  <si>
    <t>TRITURBINE</t>
  </si>
  <si>
    <t>ANGELONE</t>
  </si>
  <si>
    <t>TBOTEK</t>
  </si>
  <si>
    <t>TRIDENT</t>
  </si>
  <si>
    <t>SHYAMMETL</t>
  </si>
  <si>
    <t>RAMCOCEM</t>
  </si>
  <si>
    <t>GESHIP</t>
  </si>
  <si>
    <t>SONATSOFTW</t>
  </si>
  <si>
    <t>MANAPPURAM</t>
  </si>
  <si>
    <t>JYOTHYLAB</t>
  </si>
  <si>
    <t>IDFC</t>
  </si>
  <si>
    <t>KIRLOSENG</t>
  </si>
  <si>
    <t>IFCI</t>
  </si>
  <si>
    <t>CGCL</t>
  </si>
  <si>
    <t>DATAPATTNS</t>
  </si>
  <si>
    <t>GSPL</t>
  </si>
  <si>
    <t>SCHNEIDER</t>
  </si>
  <si>
    <t>NAVINFLUOR</t>
  </si>
  <si>
    <t>BIKAJI</t>
  </si>
  <si>
    <t>JINDALSAW</t>
  </si>
  <si>
    <t>RITES</t>
  </si>
  <si>
    <t>KIRLOSBROS</t>
  </si>
  <si>
    <t>CONCORDBIO</t>
  </si>
  <si>
    <t>AIIL</t>
  </si>
  <si>
    <t>WELCORP</t>
  </si>
  <si>
    <t>KIMS</t>
  </si>
  <si>
    <t>NUVAMA</t>
  </si>
  <si>
    <t>ZENSARTECH</t>
  </si>
  <si>
    <t>WELSPUNLIV</t>
  </si>
  <si>
    <t>FSL</t>
  </si>
  <si>
    <t>KARURVYSYA</t>
  </si>
  <si>
    <t>SPLPETRO</t>
  </si>
  <si>
    <t>INDIAMART</t>
  </si>
  <si>
    <t>LAXMIMACH</t>
  </si>
  <si>
    <t>MGL</t>
  </si>
  <si>
    <t>HFCL</t>
  </si>
  <si>
    <t>RAILTEL</t>
  </si>
  <si>
    <t>ANANTRAJ</t>
  </si>
  <si>
    <t>KSB</t>
  </si>
  <si>
    <t>GRINFRA</t>
  </si>
  <si>
    <t>HBLPOWER</t>
  </si>
  <si>
    <t>ACE</t>
  </si>
  <si>
    <t>ASTRAZEN</t>
  </si>
  <si>
    <t>FINEORG</t>
  </si>
  <si>
    <t>ANANDRATHI</t>
  </si>
  <si>
    <t>ASTERDM</t>
  </si>
  <si>
    <t>TECHNOE</t>
  </si>
  <si>
    <t>APTUS</t>
  </si>
  <si>
    <t>CLEAN</t>
  </si>
  <si>
    <t>RKFORGE</t>
  </si>
  <si>
    <t>GODREJAGRO</t>
  </si>
  <si>
    <t>ASAHIINDIA</t>
  </si>
  <si>
    <t>CENTURYPLY</t>
  </si>
  <si>
    <t>CHENNPETRO</t>
  </si>
  <si>
    <t>HONASA</t>
  </si>
  <si>
    <t>VTL</t>
  </si>
  <si>
    <t>DCMSHRIRAM</t>
  </si>
  <si>
    <t>SWSOLAR</t>
  </si>
  <si>
    <t>IEX</t>
  </si>
  <si>
    <t>BBTC</t>
  </si>
  <si>
    <t>GPIL</t>
  </si>
  <si>
    <t>ENGINERSIN</t>
  </si>
  <si>
    <t>INTELLECT</t>
  </si>
  <si>
    <t>JAIBALAJI</t>
  </si>
  <si>
    <t>SANOFI</t>
  </si>
  <si>
    <t>RBLBANK</t>
  </si>
  <si>
    <t>HDFCBANK</t>
  </si>
  <si>
    <t>ELECON</t>
  </si>
  <si>
    <t>SCI</t>
  </si>
  <si>
    <t>BLS</t>
  </si>
  <si>
    <t>NEWGEN</t>
  </si>
  <si>
    <t>ZYDUSWELL</t>
  </si>
  <si>
    <t>EIDPARRY</t>
  </si>
  <si>
    <t>AMBER</t>
  </si>
  <si>
    <t>PVRINOX</t>
  </si>
  <si>
    <t>AAVAS</t>
  </si>
  <si>
    <t>ERIS</t>
  </si>
  <si>
    <t>INDGN</t>
  </si>
  <si>
    <t>NETWEB</t>
  </si>
  <si>
    <t>DOMS</t>
  </si>
  <si>
    <t>INGERRAND</t>
  </si>
  <si>
    <t>AKZOINDIA</t>
  </si>
  <si>
    <t>WESTLIFE</t>
  </si>
  <si>
    <t>ZEEL</t>
  </si>
  <si>
    <t>TANLA</t>
  </si>
  <si>
    <t>PNCINFRA</t>
  </si>
  <si>
    <t>MMTC</t>
  </si>
  <si>
    <t>MAPMYINDIA</t>
  </si>
  <si>
    <t>PRAJIND</t>
  </si>
  <si>
    <t>GMDCLTD</t>
  </si>
  <si>
    <t>UTIAMC</t>
  </si>
  <si>
    <t>ALOKINDS</t>
  </si>
  <si>
    <t>KFINTECH</t>
  </si>
  <si>
    <t>ELECTCAST</t>
  </si>
  <si>
    <t>KPIGREEN</t>
  </si>
  <si>
    <t>CRAFTSMAN</t>
  </si>
  <si>
    <t>HAPPSTMNDS</t>
  </si>
  <si>
    <t>RHIM</t>
  </si>
  <si>
    <t>J&amp;KBANK</t>
  </si>
  <si>
    <t>GRANULES</t>
  </si>
  <si>
    <t>TTKPRESTIG</t>
  </si>
  <si>
    <t>WOCKPHARMA</t>
  </si>
  <si>
    <t>NUVOCO</t>
  </si>
  <si>
    <t>BIRLACORPN</t>
  </si>
  <si>
    <t>ECLERX</t>
  </si>
  <si>
    <t>JUBLPHARMA</t>
  </si>
  <si>
    <t>VOLTAMP</t>
  </si>
  <si>
    <t>RAINBOW</t>
  </si>
  <si>
    <t>RCF</t>
  </si>
  <si>
    <t>CERA</t>
  </si>
  <si>
    <t>CANFINHOME</t>
  </si>
  <si>
    <t>BAJAJELEC</t>
  </si>
  <si>
    <t>HMT</t>
  </si>
  <si>
    <t>AETHER</t>
  </si>
  <si>
    <t>ZENTEC</t>
  </si>
  <si>
    <t>CUB</t>
  </si>
  <si>
    <t>JKTYRE</t>
  </si>
  <si>
    <t>TEGA</t>
  </si>
  <si>
    <t>INOXINDIA</t>
  </si>
  <si>
    <t>CAPLIPOINT</t>
  </si>
  <si>
    <t>HAPPYFORGE</t>
  </si>
  <si>
    <t>NAVA</t>
  </si>
  <si>
    <t>LEMONTREE</t>
  </si>
  <si>
    <t>USHAMART</t>
  </si>
  <si>
    <t>THOMASCOOK</t>
  </si>
  <si>
    <t>MINDACORP</t>
  </si>
  <si>
    <t>SFL</t>
  </si>
  <si>
    <t>HGINFRA</t>
  </si>
  <si>
    <t>ROUTE</t>
  </si>
  <si>
    <t>RPOWER</t>
  </si>
  <si>
    <t>NEULANDLAB</t>
  </si>
  <si>
    <t>FORCEMOT</t>
  </si>
  <si>
    <t>CEATLTD</t>
  </si>
  <si>
    <t>MAHSCOOTER</t>
  </si>
  <si>
    <t>INDIACEM</t>
  </si>
  <si>
    <t>TRIL</t>
  </si>
  <si>
    <t>LATENTVIEW</t>
  </si>
  <si>
    <t>VESUVIUS</t>
  </si>
  <si>
    <t>JUSTDIAL</t>
  </si>
  <si>
    <t>DBREALTY</t>
  </si>
  <si>
    <t>GENUSPOWER</t>
  </si>
  <si>
    <t>ICICIBANK</t>
  </si>
  <si>
    <t>ALKYLAMINE</t>
  </si>
  <si>
    <t>PCBL</t>
  </si>
  <si>
    <t>METROPOLIS</t>
  </si>
  <si>
    <t>GRAPHITE</t>
  </si>
  <si>
    <t>GLS</t>
  </si>
  <si>
    <t>RTNINDIA</t>
  </si>
  <si>
    <t>ISGEC</t>
  </si>
  <si>
    <t>ESABINDIA</t>
  </si>
  <si>
    <t>EQUITASBNK</t>
  </si>
  <si>
    <t>GPPL</t>
  </si>
  <si>
    <t>SAREGAMA</t>
  </si>
  <si>
    <t>JKLAKSHMI</t>
  </si>
  <si>
    <t>LTFOODS</t>
  </si>
  <si>
    <t>SAFARI</t>
  </si>
  <si>
    <t>RENUKA</t>
  </si>
  <si>
    <t>REDTAPE</t>
  </si>
  <si>
    <t>MOIL</t>
  </si>
  <si>
    <t>SARDAEN</t>
  </si>
  <si>
    <t>GALAXYSURF</t>
  </si>
  <si>
    <t>HOMEFIRST</t>
  </si>
  <si>
    <t>GNFC</t>
  </si>
  <si>
    <t>ARVIND</t>
  </si>
  <si>
    <t>IBULHSGFIN</t>
  </si>
  <si>
    <t>PURVA</t>
  </si>
  <si>
    <t>SAPPHIRE</t>
  </si>
  <si>
    <t>KNRCON</t>
  </si>
  <si>
    <t>AZAD</t>
  </si>
  <si>
    <t>GSFC</t>
  </si>
  <si>
    <t>POWERMECH</t>
  </si>
  <si>
    <t>VARROC</t>
  </si>
  <si>
    <t>RATEGAIN</t>
  </si>
  <si>
    <t>DEEPAKFERT</t>
  </si>
  <si>
    <t>JKPAPER</t>
  </si>
  <si>
    <t>JMFINANCIL</t>
  </si>
  <si>
    <t>MAHLIFE</t>
  </si>
  <si>
    <t>AHLUCONT</t>
  </si>
  <si>
    <t>LLOYDSENGG</t>
  </si>
  <si>
    <t>MIDHANI</t>
  </si>
  <si>
    <t>PGEL</t>
  </si>
  <si>
    <t>RUSTOMJEE</t>
  </si>
  <si>
    <t>IWEL</t>
  </si>
  <si>
    <t>JUNIPER</t>
  </si>
  <si>
    <t>GRAVITA</t>
  </si>
  <si>
    <t>INFY</t>
  </si>
  <si>
    <t>SUNTECK</t>
  </si>
  <si>
    <t>BALRAMCHIN</t>
  </si>
  <si>
    <t>QUESS</t>
  </si>
  <si>
    <t>RAJESHEXPO</t>
  </si>
  <si>
    <t>ITDCEM</t>
  </si>
  <si>
    <t>JUBLINGREA</t>
  </si>
  <si>
    <t>CAMPUS</t>
  </si>
  <si>
    <t>MHRIL</t>
  </si>
  <si>
    <t>STAR</t>
  </si>
  <si>
    <t>TEXRAIL</t>
  </si>
  <si>
    <t>TRIVENI</t>
  </si>
  <si>
    <t>SBFC</t>
  </si>
  <si>
    <t>JLHL</t>
  </si>
  <si>
    <t>ANURAS</t>
  </si>
  <si>
    <t>MAHSEAMLES</t>
  </si>
  <si>
    <t>SHOPERSTOP</t>
  </si>
  <si>
    <t>ASTRAMICRO</t>
  </si>
  <si>
    <t>KTKBANK</t>
  </si>
  <si>
    <t>CMSINFO</t>
  </si>
  <si>
    <t>ABDL</t>
  </si>
  <si>
    <t>ACI</t>
  </si>
  <si>
    <t>SHRIPISTON</t>
  </si>
  <si>
    <t>PGHL</t>
  </si>
  <si>
    <t>PRUDENT</t>
  </si>
  <si>
    <t>SANDUMA</t>
  </si>
  <si>
    <t>UJJIVANSFB</t>
  </si>
  <si>
    <t>BECTORFOOD</t>
  </si>
  <si>
    <t>MARKSANS</t>
  </si>
  <si>
    <t>AVANTIFEED</t>
  </si>
  <si>
    <t>EMIL</t>
  </si>
  <si>
    <t>EMBDL</t>
  </si>
  <si>
    <t>TVSSCS</t>
  </si>
  <si>
    <t>NETWORK18</t>
  </si>
  <si>
    <t>RTNPOWER</t>
  </si>
  <si>
    <t>CCL</t>
  </si>
  <si>
    <t>SYRMA</t>
  </si>
  <si>
    <t>FDC</t>
  </si>
  <si>
    <t>MAXESTATES</t>
  </si>
  <si>
    <t>MEDPLUS</t>
  </si>
  <si>
    <t>PRSMJOHNSN</t>
  </si>
  <si>
    <t>CHEMPLASTS</t>
  </si>
  <si>
    <t>INDIASHLTR</t>
  </si>
  <si>
    <t>SYMPHONY</t>
  </si>
  <si>
    <t>RELIGARE</t>
  </si>
  <si>
    <t>AURIONPRO</t>
  </si>
  <si>
    <t>SHAKTIPUMP</t>
  </si>
  <si>
    <t>VIJAYA</t>
  </si>
  <si>
    <t>JSWHL</t>
  </si>
  <si>
    <t>WABAG</t>
  </si>
  <si>
    <t>HCC</t>
  </si>
  <si>
    <t>DHANUKA</t>
  </si>
  <si>
    <t>TIMETECHNO</t>
  </si>
  <si>
    <t>IONEXCHANG</t>
  </si>
  <si>
    <t>CHOICEIN</t>
  </si>
  <si>
    <t>JINDWORLD</t>
  </si>
  <si>
    <t>GANESHHOUC</t>
  </si>
  <si>
    <t>BALAMINES</t>
  </si>
  <si>
    <t>SPARC</t>
  </si>
  <si>
    <t>GARFIBRES</t>
  </si>
  <si>
    <t>RESPONIND</t>
  </si>
  <si>
    <t>PRINCEPIPE</t>
  </si>
  <si>
    <t>RELINFRA</t>
  </si>
  <si>
    <t>SENCO</t>
  </si>
  <si>
    <t>DBL</t>
  </si>
  <si>
    <t>ICIL</t>
  </si>
  <si>
    <t>GALLANTT</t>
  </si>
  <si>
    <t>TCI</t>
  </si>
  <si>
    <t>ASKAUTOLTD</t>
  </si>
  <si>
    <t>SANSERA</t>
  </si>
  <si>
    <t>TMB</t>
  </si>
  <si>
    <t>SHARDAMOTR</t>
  </si>
  <si>
    <t>EMUDHRA</t>
  </si>
  <si>
    <t>DODLA</t>
  </si>
  <si>
    <t>MANINFRA</t>
  </si>
  <si>
    <t>SUPRAJIT</t>
  </si>
  <si>
    <t>GREENLAM</t>
  </si>
  <si>
    <t>KRBL</t>
  </si>
  <si>
    <t>NFL</t>
  </si>
  <si>
    <t>SOUTHBANK</t>
  </si>
  <si>
    <t>EASEMYTRIP</t>
  </si>
  <si>
    <t>VSTIND</t>
  </si>
  <si>
    <t>PARADEEP</t>
  </si>
  <si>
    <t>BLUEJET</t>
  </si>
  <si>
    <t>TV18BRDCST</t>
  </si>
  <si>
    <t>JSFB</t>
  </si>
  <si>
    <t>EPL</t>
  </si>
  <si>
    <t>LXCHEM</t>
  </si>
  <si>
    <t>TIPSINDLTD</t>
  </si>
  <si>
    <t>ETHOSLTD</t>
  </si>
  <si>
    <t>INDIGOPNTS</t>
  </si>
  <si>
    <t>NAZARA</t>
  </si>
  <si>
    <t>JAICORPLTD</t>
  </si>
  <si>
    <t>GABRIEL</t>
  </si>
  <si>
    <t>PDSL</t>
  </si>
  <si>
    <t>STLTECH</t>
  </si>
  <si>
    <t>ORIENTCEM</t>
  </si>
  <si>
    <t>ITDC</t>
  </si>
  <si>
    <t>IXIGO</t>
  </si>
  <si>
    <t>HNDFDS</t>
  </si>
  <si>
    <t>BBOX</t>
  </si>
  <si>
    <t>VIPIND</t>
  </si>
  <si>
    <t>ORCHPHARMA</t>
  </si>
  <si>
    <t>DIACABS</t>
  </si>
  <si>
    <t>NESCO</t>
  </si>
  <si>
    <t>PAISALO</t>
  </si>
  <si>
    <t>VMART</t>
  </si>
  <si>
    <t>GMMPFAUDLR</t>
  </si>
  <si>
    <t>IFBIND</t>
  </si>
  <si>
    <t>PTC</t>
  </si>
  <si>
    <t>NIITMTS</t>
  </si>
  <si>
    <t>SURYAROSNI</t>
  </si>
  <si>
    <t>WELENT</t>
  </si>
  <si>
    <t>SIS</t>
  </si>
  <si>
    <t>RALLIS</t>
  </si>
  <si>
    <t>GOKEX</t>
  </si>
  <si>
    <t>SHILPAMED</t>
  </si>
  <si>
    <t>KESORAMIND</t>
  </si>
  <si>
    <t>ARVINDFASN</t>
  </si>
  <si>
    <t>DBCORP</t>
  </si>
  <si>
    <t>ALLCARGO</t>
  </si>
  <si>
    <t>TIIL</t>
  </si>
  <si>
    <t>BORORENEW</t>
  </si>
  <si>
    <t>ASHOKA</t>
  </si>
  <si>
    <t>ROLEXRINGS</t>
  </si>
  <si>
    <t>GAEL</t>
  </si>
  <si>
    <t>JKIL</t>
  </si>
  <si>
    <t>SHAREINDIA</t>
  </si>
  <si>
    <t>SUDARSCHEM</t>
  </si>
  <si>
    <t>HEMIPROP</t>
  </si>
  <si>
    <t>CYIENTDLM</t>
  </si>
  <si>
    <t>CSBBANK</t>
  </si>
  <si>
    <t>TDPOWERSYS</t>
  </si>
  <si>
    <t>PRICOLLTD</t>
  </si>
  <si>
    <t>TARC</t>
  </si>
  <si>
    <t>ICRA</t>
  </si>
  <si>
    <t>EPIGRAL</t>
  </si>
  <si>
    <t>MTARTECH</t>
  </si>
  <si>
    <t>GULFOILLUB</t>
  </si>
  <si>
    <t>KIRLOSIND</t>
  </si>
  <si>
    <t>GMRP&amp;UI</t>
  </si>
  <si>
    <t>PRIVISCL</t>
  </si>
  <si>
    <t>SUNDARMHLD</t>
  </si>
  <si>
    <t>ORIENTELEC</t>
  </si>
  <si>
    <t>LUXIND</t>
  </si>
  <si>
    <t>RSYSTEMS</t>
  </si>
  <si>
    <t>IIFLSEC</t>
  </si>
  <si>
    <t>GUJALKALI</t>
  </si>
  <si>
    <t>GOCOLORS</t>
  </si>
  <si>
    <t>GATEWAY</t>
  </si>
  <si>
    <t>UTKARSHBNK</t>
  </si>
  <si>
    <t>PILANIINVS</t>
  </si>
  <si>
    <t>EDELWEISS</t>
  </si>
  <si>
    <t>RBA</t>
  </si>
  <si>
    <t>RAIN</t>
  </si>
  <si>
    <t>AMIORG</t>
  </si>
  <si>
    <t>JCHAC</t>
  </si>
  <si>
    <t>HEIDELBERG</t>
  </si>
  <si>
    <t>GRWRHITECH</t>
  </si>
  <si>
    <t>EXICOM</t>
  </si>
  <si>
    <t>AARTIPHARM</t>
  </si>
  <si>
    <t>MASFIN</t>
  </si>
  <si>
    <t>VAIBHAVGBL</t>
  </si>
  <si>
    <t>SPANDANA</t>
  </si>
  <si>
    <t>GHCL</t>
  </si>
  <si>
    <t>JTEKTINDIA</t>
  </si>
  <si>
    <t>PARAS</t>
  </si>
  <si>
    <t>AGI</t>
  </si>
  <si>
    <t>HCG</t>
  </si>
  <si>
    <t>BAJAJHIND</t>
  </si>
  <si>
    <t>BBL</t>
  </si>
  <si>
    <t>SHANTIGEAR</t>
  </si>
  <si>
    <t>VRLLOG</t>
  </si>
  <si>
    <t>JISLDVREQS</t>
  </si>
  <si>
    <t>JISLJALEQS</t>
  </si>
  <si>
    <t>HERITGFOOD</t>
  </si>
  <si>
    <t>KSCL</t>
  </si>
  <si>
    <t>NOCIL</t>
  </si>
  <si>
    <t>ENTERO</t>
  </si>
  <si>
    <t>THANGAMAYL</t>
  </si>
  <si>
    <t>TI</t>
  </si>
  <si>
    <t>BANCOINDIA</t>
  </si>
  <si>
    <t>TEAMLEASE</t>
  </si>
  <si>
    <t>PATELENG</t>
  </si>
  <si>
    <t>AARTIDRUGS</t>
  </si>
  <si>
    <t>FEDFINA</t>
  </si>
  <si>
    <t>BHARATRAS</t>
  </si>
  <si>
    <t>HARSHA</t>
  </si>
  <si>
    <t>BALMLAWRIE</t>
  </si>
  <si>
    <t>TCIEXP</t>
  </si>
  <si>
    <t>LGBBROSLTD</t>
  </si>
  <si>
    <t>RAMKY</t>
  </si>
  <si>
    <t>ROSSARI</t>
  </si>
  <si>
    <t>STYRENIX</t>
  </si>
  <si>
    <t>AWFIS</t>
  </si>
  <si>
    <t>SHARDACROP</t>
  </si>
  <si>
    <t>JAYNECOIND</t>
  </si>
  <si>
    <t>SUBROS</t>
  </si>
  <si>
    <t>SUNFLAG</t>
  </si>
  <si>
    <t>FUSION</t>
  </si>
  <si>
    <t>MTNL</t>
  </si>
  <si>
    <t>SCILAL</t>
  </si>
  <si>
    <t>WSTCSTPAPR</t>
  </si>
  <si>
    <t>DCXINDIA</t>
  </si>
  <si>
    <t>HIKAL</t>
  </si>
  <si>
    <t>VENUSPIPES</t>
  </si>
  <si>
    <t>ISMTLTD</t>
  </si>
  <si>
    <t>BOMDYEING</t>
  </si>
  <si>
    <t>ORISSAMINE</t>
  </si>
  <si>
    <t>BOROLTD</t>
  </si>
  <si>
    <t>KSL</t>
  </si>
  <si>
    <t>KKCL</t>
  </si>
  <si>
    <t>HGS</t>
  </si>
  <si>
    <t>HONDAPOWER</t>
  </si>
  <si>
    <t>SULA</t>
  </si>
  <si>
    <t>DCBBANK</t>
  </si>
  <si>
    <t>GOPAL</t>
  </si>
  <si>
    <t>NEOGEN</t>
  </si>
  <si>
    <t>KDDL</t>
  </si>
  <si>
    <t>HATHWAY</t>
  </si>
  <si>
    <t>JNKINDIA</t>
  </si>
  <si>
    <t>ASHIANA</t>
  </si>
  <si>
    <t>BALUFORGE</t>
  </si>
  <si>
    <t>SOTL</t>
  </si>
  <si>
    <t>BANARISUG</t>
  </si>
  <si>
    <t>PITTIENG</t>
  </si>
  <si>
    <t>MUTHOOTMF</t>
  </si>
  <si>
    <t>UFLEX</t>
  </si>
  <si>
    <t>NUCLEUS</t>
  </si>
  <si>
    <t>MEDIASSIST</t>
  </si>
  <si>
    <t>PARKHOTELS</t>
  </si>
  <si>
    <t>CARTRADE</t>
  </si>
  <si>
    <t>GREENPANEL</t>
  </si>
  <si>
    <t>GREENPLY</t>
  </si>
  <si>
    <t>JTLIND</t>
  </si>
  <si>
    <t>IMFA</t>
  </si>
  <si>
    <t>SHAILY</t>
  </si>
  <si>
    <t>BAJAJCON</t>
  </si>
  <si>
    <t>TIDEWATER</t>
  </si>
  <si>
    <t>SAMHI</t>
  </si>
  <si>
    <t>DREDGECORP</t>
  </si>
  <si>
    <t>LUMAXTECH</t>
  </si>
  <si>
    <t>SKIPPER</t>
  </si>
  <si>
    <t>MANORAMA</t>
  </si>
  <si>
    <t>GANECOS</t>
  </si>
  <si>
    <t>MAHLOG</t>
  </si>
  <si>
    <t>DATAMATICS</t>
  </si>
  <si>
    <t>PFOCUS</t>
  </si>
  <si>
    <t>SEAMECLTD</t>
  </si>
  <si>
    <t>ALEMBICLTD</t>
  </si>
  <si>
    <t>EMSLIMITED</t>
  </si>
  <si>
    <t>YATHARTH</t>
  </si>
  <si>
    <t>SBCL</t>
  </si>
  <si>
    <t>HPL</t>
  </si>
  <si>
    <t>CIGNITITEC</t>
  </si>
  <si>
    <t>SSWL</t>
  </si>
  <si>
    <t>ZAGGLE</t>
  </si>
  <si>
    <t>SWARAJENG</t>
  </si>
  <si>
    <t>DELTACORP</t>
  </si>
  <si>
    <t>GREAVESCOT</t>
  </si>
  <si>
    <t>APOLLO</t>
  </si>
  <si>
    <t>PGIL</t>
  </si>
  <si>
    <t>GIPCL</t>
  </si>
  <si>
    <t>GENSOL</t>
  </si>
  <si>
    <t>MPSLTD</t>
  </si>
  <si>
    <t>ANUP</t>
  </si>
  <si>
    <t>LAOPALA</t>
  </si>
  <si>
    <t>SEQUENT</t>
  </si>
  <si>
    <t>VSTTILLERS</t>
  </si>
  <si>
    <t>MARINE</t>
  </si>
  <si>
    <t>NAVNETEDUL</t>
  </si>
  <si>
    <t>TCNSBRANDS</t>
  </si>
  <si>
    <t>PREMEXPLN</t>
  </si>
  <si>
    <t>REPCOHOME</t>
  </si>
  <si>
    <t>SANDHAR</t>
  </si>
  <si>
    <t>BEPL</t>
  </si>
  <si>
    <t>GUFICBIO</t>
  </si>
  <si>
    <t>FIEMIND</t>
  </si>
  <si>
    <t>MAITHANALL</t>
  </si>
  <si>
    <t>THYROCARE</t>
  </si>
  <si>
    <t>JINDALPOLY</t>
  </si>
  <si>
    <t>IDEAFORGE</t>
  </si>
  <si>
    <t>AVALON</t>
  </si>
  <si>
    <t>TVSSRICHAK</t>
  </si>
  <si>
    <t>BHAGCHEM</t>
  </si>
  <si>
    <t>OPTIEMUS</t>
  </si>
  <si>
    <t>THEJO</t>
  </si>
  <si>
    <t>GTLINFRA</t>
  </si>
  <si>
    <t>STANLEY</t>
  </si>
  <si>
    <t>DALMIASUG</t>
  </si>
  <si>
    <t>PFS</t>
  </si>
  <si>
    <t>FLAIR</t>
  </si>
  <si>
    <t>PRAKASH</t>
  </si>
  <si>
    <t>QUICKHEAL</t>
  </si>
  <si>
    <t>INNOVACAP</t>
  </si>
  <si>
    <t>HINDOILEXP</t>
  </si>
  <si>
    <t>ASHAPURMIN</t>
  </si>
  <si>
    <t>INDOSTAR</t>
  </si>
  <si>
    <t>STYLAMIND</t>
  </si>
  <si>
    <t>ARVSMART</t>
  </si>
  <si>
    <t>VINDHYATEL</t>
  </si>
  <si>
    <t>WIPRO</t>
  </si>
  <si>
    <t>POLYPLEX</t>
  </si>
  <si>
    <t>DHANI</t>
  </si>
  <si>
    <t>SOMANYCERA</t>
  </si>
  <si>
    <t>VERTOZ</t>
  </si>
  <si>
    <t>INDIAGLYCO</t>
  </si>
  <si>
    <t>PCJEWELLER</t>
  </si>
  <si>
    <t>VADILALIND</t>
  </si>
  <si>
    <t>KOLTEPATIL</t>
  </si>
  <si>
    <t>SHALBY</t>
  </si>
  <si>
    <t>MANINDS</t>
  </si>
  <si>
    <t>GEPIL</t>
  </si>
  <si>
    <t>BAJEL</t>
  </si>
  <si>
    <t>SUPRIYA</t>
  </si>
  <si>
    <t>SAGCEM</t>
  </si>
  <si>
    <t>KINGFA</t>
  </si>
  <si>
    <t>MMFL</t>
  </si>
  <si>
    <t>WENDT</t>
  </si>
  <si>
    <t>HINDWAREAP</t>
  </si>
  <si>
    <t>DPABHUSHAN</t>
  </si>
  <si>
    <t>KCP</t>
  </si>
  <si>
    <t>INDOCO</t>
  </si>
  <si>
    <t>CARERATING</t>
  </si>
  <si>
    <t>AUTOAXLES</t>
  </si>
  <si>
    <t>TIRUMALCHM</t>
  </si>
  <si>
    <t>RPGLIFE</t>
  </si>
  <si>
    <t>ARTEMISMED</t>
  </si>
  <si>
    <t>SAKSOFT</t>
  </si>
  <si>
    <t>MARATHON</t>
  </si>
  <si>
    <t>UNIVCABLES</t>
  </si>
  <si>
    <t>HLEGLAS</t>
  </si>
  <si>
    <t>RAJRATAN</t>
  </si>
  <si>
    <t>GOODLUCK</t>
  </si>
  <si>
    <t>NILKAMAL</t>
  </si>
  <si>
    <t>SEPC</t>
  </si>
  <si>
    <t>SEPC-RE2</t>
  </si>
  <si>
    <t>EVEREADY</t>
  </si>
  <si>
    <t>SINDHUTRAD</t>
  </si>
  <si>
    <t>HUHTAMAKI</t>
  </si>
  <si>
    <t>MOREPENLAB</t>
  </si>
  <si>
    <t>VISHNU</t>
  </si>
  <si>
    <t>SUVEN</t>
  </si>
  <si>
    <t>DISHTV</t>
  </si>
  <si>
    <t>KICL</t>
  </si>
  <si>
    <t>FOSECOIND</t>
  </si>
  <si>
    <t>ACCELYA</t>
  </si>
  <si>
    <t>LUMAXIND</t>
  </si>
  <si>
    <t>SKYGOLD</t>
  </si>
  <si>
    <t>PSPPROJECT</t>
  </si>
  <si>
    <t>EIHAHOTELS</t>
  </si>
  <si>
    <t>PRECWIRE</t>
  </si>
  <si>
    <t>RPTECH</t>
  </si>
  <si>
    <t>GEOJITFSL</t>
  </si>
  <si>
    <t>MAYURUNIQ</t>
  </si>
  <si>
    <t>REFEX</t>
  </si>
  <si>
    <t>V2RETAIL</t>
  </si>
  <si>
    <t>ESAFSFB</t>
  </si>
  <si>
    <t>CONFIPET</t>
  </si>
  <si>
    <t>DOLPHIN</t>
  </si>
  <si>
    <t>HMAAGRO</t>
  </si>
  <si>
    <t>LANDMARK</t>
  </si>
  <si>
    <t>MUKANDLTD</t>
  </si>
  <si>
    <t>MOLDTKPAC</t>
  </si>
  <si>
    <t>APOLLOPIPE</t>
  </si>
  <si>
    <t>E2E</t>
  </si>
  <si>
    <t>DCAL</t>
  </si>
  <si>
    <t>JASH</t>
  </si>
  <si>
    <t>SURAJEST</t>
  </si>
  <si>
    <t>ASTEC</t>
  </si>
  <si>
    <t>VENKEYS</t>
  </si>
  <si>
    <t>DEN</t>
  </si>
  <si>
    <t>TATVA</t>
  </si>
  <si>
    <t>TARSONS</t>
  </si>
  <si>
    <t>MANGLMCEM</t>
  </si>
  <si>
    <t>TASTYBITE</t>
  </si>
  <si>
    <t>SASKEN</t>
  </si>
  <si>
    <t>EPACK</t>
  </si>
  <si>
    <t>SANGHIIND</t>
  </si>
  <si>
    <t>DREAMFOLKS</t>
  </si>
  <si>
    <t>VPRPL</t>
  </si>
  <si>
    <t>SERVOTECH</t>
  </si>
  <si>
    <t>KALAMANDIR</t>
  </si>
  <si>
    <t>GENESYS</t>
  </si>
  <si>
    <t>DEEDEV</t>
  </si>
  <si>
    <t>FILATEX</t>
  </si>
  <si>
    <t>GOKULAGRO</t>
  </si>
  <si>
    <t>UGROCAP</t>
  </si>
  <si>
    <t>BFINVEST</t>
  </si>
  <si>
    <t>FINOPB</t>
  </si>
  <si>
    <t>IOLCP</t>
  </si>
  <si>
    <t>VSSL</t>
  </si>
  <si>
    <t>RANEHOLDIN</t>
  </si>
  <si>
    <t>IPL</t>
  </si>
  <si>
    <t>GLOBUSSPR</t>
  </si>
  <si>
    <t>SJS</t>
  </si>
  <si>
    <t>ADFFOODS</t>
  </si>
  <si>
    <t>PANAMAPET</t>
  </si>
  <si>
    <t>RPSGVENT</t>
  </si>
  <si>
    <t>CANTABIL</t>
  </si>
  <si>
    <t>SATIN</t>
  </si>
  <si>
    <t>INDOTECH</t>
  </si>
  <si>
    <t>IKIO</t>
  </si>
  <si>
    <t>SOLARA</t>
  </si>
  <si>
    <t>PENIND</t>
  </si>
  <si>
    <t>PARAGMILK</t>
  </si>
  <si>
    <t>PNBGILTS</t>
  </si>
  <si>
    <t>SIYSIL</t>
  </si>
  <si>
    <t>XPROINDIA</t>
  </si>
  <si>
    <t>FMGOETZE</t>
  </si>
  <si>
    <t>WEBELSOLAR</t>
  </si>
  <si>
    <t>UDAICEMENT</t>
  </si>
  <si>
    <t>HITECH</t>
  </si>
  <si>
    <t>APCOTEXIND</t>
  </si>
  <si>
    <t>HIL</t>
  </si>
  <si>
    <t>INDIANHUME</t>
  </si>
  <si>
    <t>IFGLEXPOR</t>
  </si>
  <si>
    <t>OMAXE</t>
  </si>
  <si>
    <t>NITINSPIN</t>
  </si>
  <si>
    <t>GOCLCORP</t>
  </si>
  <si>
    <t>ANDHRAPAP</t>
  </si>
  <si>
    <t>COSMOFIRST</t>
  </si>
  <si>
    <t>BLKASHYAP</t>
  </si>
  <si>
    <t>NSIL</t>
  </si>
  <si>
    <t>INSECTICID</t>
  </si>
  <si>
    <t>UNIPARTS</t>
  </si>
  <si>
    <t>JUBLINDS</t>
  </si>
  <si>
    <t>AXISCADES</t>
  </si>
  <si>
    <t>VAKRANGEE</t>
  </si>
  <si>
    <t>TCPLPACK</t>
  </si>
  <si>
    <t>ROSSELLIND</t>
  </si>
  <si>
    <t>SESHAPAPER</t>
  </si>
  <si>
    <t>PARACABLES</t>
  </si>
  <si>
    <t>SPAL</t>
  </si>
  <si>
    <t>DOLATALGO</t>
  </si>
  <si>
    <t>HESTERBIO</t>
  </si>
  <si>
    <t>63MOONS</t>
  </si>
  <si>
    <t>RUPA</t>
  </si>
  <si>
    <t>JYOTISTRUC</t>
  </si>
  <si>
    <t>TALBROAUTO</t>
  </si>
  <si>
    <t>INDRAMEDCO</t>
  </si>
  <si>
    <t>VIDHIING</t>
  </si>
  <si>
    <t>JAGRAN</t>
  </si>
  <si>
    <t>SDBL</t>
  </si>
  <si>
    <t>POKARNA</t>
  </si>
  <si>
    <t>AMRUTANJAN</t>
  </si>
  <si>
    <t>YASHO</t>
  </si>
  <si>
    <t>CARYSIL</t>
  </si>
  <si>
    <t>KRSNAA</t>
  </si>
  <si>
    <t>UDS</t>
  </si>
  <si>
    <t>ARMANFIN</t>
  </si>
  <si>
    <t>RAMCOIND</t>
  </si>
  <si>
    <t>DIAMONDYD</t>
  </si>
  <si>
    <t>BARBEQUE</t>
  </si>
  <si>
    <t>THEMISMED</t>
  </si>
  <si>
    <t>ATFL</t>
  </si>
  <si>
    <t>DIVGIITTS</t>
  </si>
  <si>
    <t>BSHSL</t>
  </si>
  <si>
    <t>DLINKINDIA</t>
  </si>
  <si>
    <t>HARIOMPIPE</t>
  </si>
  <si>
    <t>ROTO</t>
  </si>
  <si>
    <t>ALICON</t>
  </si>
  <si>
    <t>SBGLP</t>
  </si>
  <si>
    <t>GKWLIMITED</t>
  </si>
  <si>
    <t>SMSPHARMA</t>
  </si>
  <si>
    <t>PIXTRANS</t>
  </si>
  <si>
    <t>TTKHLTCARE</t>
  </si>
  <si>
    <t>BLSE</t>
  </si>
  <si>
    <t>MOL</t>
  </si>
  <si>
    <t>JITFINFRA</t>
  </si>
  <si>
    <t>VERANDA</t>
  </si>
  <si>
    <t>GANDHAR</t>
  </si>
  <si>
    <t>GREENPOWER</t>
  </si>
  <si>
    <t>SIRCA</t>
  </si>
  <si>
    <t>SUMMITSEC</t>
  </si>
  <si>
    <t>WHEELS</t>
  </si>
  <si>
    <t>DPSCLTD</t>
  </si>
  <si>
    <t>PENINLAND</t>
  </si>
  <si>
    <t>SANGAMIND</t>
  </si>
  <si>
    <t>ATULAUTO</t>
  </si>
  <si>
    <t>BIGBLOC</t>
  </si>
  <si>
    <t>EXPLEOSOL</t>
  </si>
  <si>
    <t>ADORWELD</t>
  </si>
  <si>
    <t>YATRA</t>
  </si>
  <si>
    <t>MICEL</t>
  </si>
  <si>
    <t>NAVKARCORP</t>
  </si>
  <si>
    <t>HERCULES</t>
  </si>
  <si>
    <t>AEROFLEX</t>
  </si>
  <si>
    <t>STOVEKRAFT</t>
  </si>
  <si>
    <t>SIGACHI</t>
  </si>
  <si>
    <t>MBAPL</t>
  </si>
  <si>
    <t>GRPLTD</t>
  </si>
  <si>
    <t>GPTINFRA</t>
  </si>
  <si>
    <t>DEEPINDS</t>
  </si>
  <si>
    <t>TIL</t>
  </si>
  <si>
    <t>GOLDIAM</t>
  </si>
  <si>
    <t>RIIL</t>
  </si>
  <si>
    <t>EVERESTIND</t>
  </si>
  <si>
    <t>GTPL</t>
  </si>
  <si>
    <t>IRMENERGY</t>
  </si>
  <si>
    <t>MADRASFERT</t>
  </si>
  <si>
    <t>GMBREW</t>
  </si>
  <si>
    <t>DCMSRIND</t>
  </si>
  <si>
    <t>MUFIN</t>
  </si>
  <si>
    <t>IGPL</t>
  </si>
  <si>
    <t>TNPL</t>
  </si>
  <si>
    <t>JINDRILL</t>
  </si>
  <si>
    <t>SWELECTES</t>
  </si>
  <si>
    <t>AGARIND</t>
  </si>
  <si>
    <t>INDNIPPON</t>
  </si>
  <si>
    <t>GNA</t>
  </si>
  <si>
    <t>HITECHGEAR</t>
  </si>
  <si>
    <t>RAMRAT</t>
  </si>
  <si>
    <t>NELCO</t>
  </si>
  <si>
    <t>JPASSOCIAT</t>
  </si>
  <si>
    <t>PRECAM</t>
  </si>
  <si>
    <t>EIMCOELECO</t>
  </si>
  <si>
    <t>FAIRCHEMOR</t>
  </si>
  <si>
    <t>WALCHANNAG</t>
  </si>
  <si>
    <t>KIRIINDUS</t>
  </si>
  <si>
    <t>MACPOWER</t>
  </si>
  <si>
    <t>YUKEN</t>
  </si>
  <si>
    <t>ALLSEC</t>
  </si>
  <si>
    <t>SUBEXLTD</t>
  </si>
  <si>
    <t>PVSL</t>
  </si>
  <si>
    <t>SHRIRAMPPS</t>
  </si>
  <si>
    <t>LIKHITHA</t>
  </si>
  <si>
    <t>SPIC</t>
  </si>
  <si>
    <t>AWHCL</t>
  </si>
  <si>
    <t>SPCENET</t>
  </si>
  <si>
    <t>KRISHANA</t>
  </si>
  <si>
    <t>MANALIPETC</t>
  </si>
  <si>
    <t>TEXINFRA</t>
  </si>
  <si>
    <t>SHANKARA</t>
  </si>
  <si>
    <t>RISHABH</t>
  </si>
  <si>
    <t>BHARATWIRE</t>
  </si>
  <si>
    <t>TFCILTD</t>
  </si>
  <si>
    <t>WEL</t>
  </si>
  <si>
    <t>DSSL</t>
  </si>
  <si>
    <t>PUNJABCHEM</t>
  </si>
  <si>
    <t>VASCONEQ</t>
  </si>
  <si>
    <t>BOROSCI</t>
  </si>
  <si>
    <t>KECL</t>
  </si>
  <si>
    <t>EKC</t>
  </si>
  <si>
    <t>RAMASTEEL</t>
  </si>
  <si>
    <t>OMINFRAL</t>
  </si>
  <si>
    <t>CAPITALSFB</t>
  </si>
  <si>
    <t>BCLIND</t>
  </si>
  <si>
    <t>NGLFINE</t>
  </si>
  <si>
    <t>SMCGLOBAL</t>
  </si>
  <si>
    <t>IGARASHI</t>
  </si>
  <si>
    <t>KOKUYOCMLN</t>
  </si>
  <si>
    <t>ANDHRSUGAR</t>
  </si>
  <si>
    <t>MANGCHEFER</t>
  </si>
  <si>
    <t>BUTTERFLY</t>
  </si>
  <si>
    <t>SALZERELEC</t>
  </si>
  <si>
    <t>ZOTA</t>
  </si>
  <si>
    <t>OAL</t>
  </si>
  <si>
    <t>DCW</t>
  </si>
  <si>
    <t>ARIHANTSUP</t>
  </si>
  <si>
    <t>CENTRUM</t>
  </si>
  <si>
    <t>5PAISA</t>
  </si>
  <si>
    <t>HLVLTD</t>
  </si>
  <si>
    <t>NIITLTD</t>
  </si>
  <si>
    <t>HUBTOWN</t>
  </si>
  <si>
    <t>MOTISONS</t>
  </si>
  <si>
    <t>AMNPLST</t>
  </si>
  <si>
    <t>ONEPOINT</t>
  </si>
  <si>
    <t>MUKKA</t>
  </si>
  <si>
    <t>ASAL</t>
  </si>
  <si>
    <t>KELLTONTEC</t>
  </si>
  <si>
    <t>DHAMPURSUG</t>
  </si>
  <si>
    <t>XCHANGING</t>
  </si>
  <si>
    <t>KITEX</t>
  </si>
  <si>
    <t>HERANBA</t>
  </si>
  <si>
    <t>IMPAL</t>
  </si>
  <si>
    <t>SYNCOMF</t>
  </si>
  <si>
    <t>KSOLVES</t>
  </si>
  <si>
    <t>WINDLAS</t>
  </si>
  <si>
    <t>TVTODAY</t>
  </si>
  <si>
    <t>EXCELINDUS</t>
  </si>
  <si>
    <t>NDTV</t>
  </si>
  <si>
    <t>GPTHEALTH</t>
  </si>
  <si>
    <t>SAURASHCEM</t>
  </si>
  <si>
    <t>KUANTUM</t>
  </si>
  <si>
    <t>BESTAGRO</t>
  </si>
  <si>
    <t>ACLGATI</t>
  </si>
  <si>
    <t>RKSWAMY</t>
  </si>
  <si>
    <t>DYCL</t>
  </si>
  <si>
    <t>GVKPIL</t>
  </si>
  <si>
    <t>RML</t>
  </si>
  <si>
    <t>VHL</t>
  </si>
  <si>
    <t>PLATIND</t>
  </si>
  <si>
    <t>DWARKESH</t>
  </si>
  <si>
    <t>MAXIND</t>
  </si>
  <si>
    <t>GICHSGFIN</t>
  </si>
  <si>
    <t>RAMCOSYS</t>
  </si>
  <si>
    <t>STERTOOLS</t>
  </si>
  <si>
    <t>KABRAEXTRU</t>
  </si>
  <si>
    <t>ESSARSHPNG</t>
  </si>
  <si>
    <t>ASIANENE</t>
  </si>
  <si>
    <t>NACLIND</t>
  </si>
  <si>
    <t>AVTNPL</t>
  </si>
  <si>
    <t>MONTECARLO</t>
  </si>
  <si>
    <t>DRREDDY</t>
  </si>
  <si>
    <t>HIMATSEIDE</t>
  </si>
  <si>
    <t>SIGNPOST</t>
  </si>
  <si>
    <t>CONTROLPR</t>
  </si>
  <si>
    <t>BLAL</t>
  </si>
  <si>
    <t>SATIA</t>
  </si>
  <si>
    <t>STEELCAS</t>
  </si>
  <si>
    <t>UTTAMSUGAR</t>
  </si>
  <si>
    <t>SPORTKING</t>
  </si>
  <si>
    <t>MATRIMONY</t>
  </si>
  <si>
    <t>NELCAST</t>
  </si>
  <si>
    <t>DVL</t>
  </si>
  <si>
    <t>LINCOLN</t>
  </si>
  <si>
    <t>HIRECT</t>
  </si>
  <si>
    <t>ATL</t>
  </si>
  <si>
    <t>GULPOLY</t>
  </si>
  <si>
    <t>AVADHSUGAR</t>
  </si>
  <si>
    <t>SNOWMAN</t>
  </si>
  <si>
    <t>ADSL</t>
  </si>
  <si>
    <t>ICEMAKE</t>
  </si>
  <si>
    <t>CENTENKA</t>
  </si>
  <si>
    <t>SHALPAINTS</t>
  </si>
  <si>
    <t>SANDESH</t>
  </si>
  <si>
    <t>FAZE3Q</t>
  </si>
  <si>
    <t>KAMOPAINTS</t>
  </si>
  <si>
    <t>APTECHT</t>
  </si>
  <si>
    <t>VIMTALABS</t>
  </si>
  <si>
    <t>ASALCBR</t>
  </si>
  <si>
    <t>GRMOVER</t>
  </si>
  <si>
    <t>NDRAUTO</t>
  </si>
  <si>
    <t>CREST</t>
  </si>
  <si>
    <t>ORIENTPPR</t>
  </si>
  <si>
    <t>TREL</t>
  </si>
  <si>
    <t>FILATFASH</t>
  </si>
  <si>
    <t>JAYBARMARU</t>
  </si>
  <si>
    <t>BLISSGVS</t>
  </si>
  <si>
    <t>POCL</t>
  </si>
  <si>
    <t>KOPRAN</t>
  </si>
  <si>
    <t>PDMJEPAPER</t>
  </si>
  <si>
    <t>GANESHBE</t>
  </si>
  <si>
    <t>RAJRILTD</t>
  </si>
  <si>
    <t>UNIENTER</t>
  </si>
  <si>
    <t>PPL</t>
  </si>
  <si>
    <t>ZUARIIND</t>
  </si>
  <si>
    <t>INDORAMA</t>
  </si>
  <si>
    <t>HEUBACHIND</t>
  </si>
  <si>
    <t>SELAN</t>
  </si>
  <si>
    <t>NAHARSPING</t>
  </si>
  <si>
    <t>MAGADSUGAR</t>
  </si>
  <si>
    <t>CLSEL</t>
  </si>
  <si>
    <t>MVGJL</t>
  </si>
  <si>
    <t>ONWARDTEC</t>
  </si>
  <si>
    <t>SUTLEJTEX</t>
  </si>
  <si>
    <t>COFFEEDAY</t>
  </si>
  <si>
    <t>INFOBEAN</t>
  </si>
  <si>
    <t>FOODSIN</t>
  </si>
  <si>
    <t>VLSFINANCE</t>
  </si>
  <si>
    <t>HARDWYN</t>
  </si>
  <si>
    <t>SPMLINFRA</t>
  </si>
  <si>
    <t>MUFTI</t>
  </si>
  <si>
    <t>SASTASUNDR</t>
  </si>
  <si>
    <t>VALIANTORG</t>
  </si>
  <si>
    <t>DHARMAJ</t>
  </si>
  <si>
    <t>MSPL</t>
  </si>
  <si>
    <t>ESTER</t>
  </si>
  <si>
    <t>WINDMACHIN</t>
  </si>
  <si>
    <t>KRYSTAL</t>
  </si>
  <si>
    <t>STCINDIA</t>
  </si>
  <si>
    <t>CSLFINANCE</t>
  </si>
  <si>
    <t>HEXATRADEX</t>
  </si>
  <si>
    <t>ZODIAC</t>
  </si>
  <si>
    <t>SATINDLTD</t>
  </si>
  <si>
    <t>INDOAMIN</t>
  </si>
  <si>
    <t>SRHHYPOLTD</t>
  </si>
  <si>
    <t>CHEMFAB</t>
  </si>
  <si>
    <t>NCLIND</t>
  </si>
  <si>
    <t>WSI</t>
  </si>
  <si>
    <t>SHIVALIK</t>
  </si>
  <si>
    <t>VIKASLIFE</t>
  </si>
  <si>
    <t>RSWM</t>
  </si>
  <si>
    <t>AGSTRA</t>
  </si>
  <si>
    <t>GANDHITUBE</t>
  </si>
  <si>
    <t>JGCHEM</t>
  </si>
  <si>
    <t>PAKKA</t>
  </si>
  <si>
    <t>BIRLAMONEY</t>
  </si>
  <si>
    <t>VLEGOV</t>
  </si>
  <si>
    <t>JPOLYINVST</t>
  </si>
  <si>
    <t>DENORA</t>
  </si>
  <si>
    <t>BAJAJHCARE</t>
  </si>
  <si>
    <t>AMBIKCO</t>
  </si>
  <si>
    <t>SILVERTUC</t>
  </si>
  <si>
    <t>SAKUMA</t>
  </si>
  <si>
    <t>TRACXN</t>
  </si>
  <si>
    <t>CHEMCON</t>
  </si>
  <si>
    <t>RGL</t>
  </si>
  <si>
    <t>AURUM</t>
  </si>
  <si>
    <t>ROHLTD</t>
  </si>
  <si>
    <t>BODALCHEM</t>
  </si>
  <si>
    <t>WEALTH</t>
  </si>
  <si>
    <t>ELIN</t>
  </si>
  <si>
    <t>DECCANCE</t>
  </si>
  <si>
    <t>UGARSUGAR</t>
  </si>
  <si>
    <t>KRITI</t>
  </si>
  <si>
    <t>GSLSU</t>
  </si>
  <si>
    <t>TBZ</t>
  </si>
  <si>
    <t>SBC</t>
  </si>
  <si>
    <t>ASIANTILES</t>
  </si>
  <si>
    <t>ELDEHSG</t>
  </si>
  <si>
    <t>RUSHIL</t>
  </si>
  <si>
    <t>JINDALPHOT</t>
  </si>
  <si>
    <t>FOCUS</t>
  </si>
  <si>
    <t>ZUARI</t>
  </si>
  <si>
    <t>JAYAGROGN</t>
  </si>
  <si>
    <t>JAGSNPHARM</t>
  </si>
  <si>
    <t>TNPETRO</t>
  </si>
  <si>
    <t>MINDTECK</t>
  </si>
  <si>
    <t>DBOL</t>
  </si>
  <si>
    <t>LINC</t>
  </si>
  <si>
    <t>KOTHARIPET</t>
  </si>
  <si>
    <t>RATNAVEER</t>
  </si>
  <si>
    <t>SARVESHWAR</t>
  </si>
  <si>
    <t>REPRO</t>
  </si>
  <si>
    <t>THEINVEST</t>
  </si>
  <si>
    <t>HPAL</t>
  </si>
  <si>
    <t>ELECTHERM</t>
  </si>
  <si>
    <t>DIGISPICE</t>
  </si>
  <si>
    <t>GLOSTERLTD</t>
  </si>
  <si>
    <t>ACL</t>
  </si>
  <si>
    <t>KERNEX</t>
  </si>
  <si>
    <t>SARLAPOLY</t>
  </si>
  <si>
    <t>NINSYS</t>
  </si>
  <si>
    <t>GFLLIMITED</t>
  </si>
  <si>
    <t>RADIANTCMS</t>
  </si>
  <si>
    <t>MUNJALAU</t>
  </si>
  <si>
    <t>MALLCOM</t>
  </si>
  <si>
    <t>ARIHANTCAP</t>
  </si>
  <si>
    <t>NRAIL</t>
  </si>
  <si>
    <t>ARROWGREEN</t>
  </si>
  <si>
    <t>SIMPLEXINF</t>
  </si>
  <si>
    <t>GHCLTEXTIL</t>
  </si>
  <si>
    <t>SCHAND</t>
  </si>
  <si>
    <t>PRIMESECU</t>
  </si>
  <si>
    <t>EMAMIPAP</t>
  </si>
  <si>
    <t>HINDCOMPOS</t>
  </si>
  <si>
    <t>CHEMBOND</t>
  </si>
  <si>
    <t>SPECIALITY</t>
  </si>
  <si>
    <t>ZEEMEDIA</t>
  </si>
  <si>
    <t>SHREYAS</t>
  </si>
  <si>
    <t>ASHIMASYN</t>
  </si>
  <si>
    <t>SABTNL</t>
  </si>
  <si>
    <t>PLASTIBLEN</t>
  </si>
  <si>
    <t>PANACEABIO</t>
  </si>
  <si>
    <t>RACE</t>
  </si>
  <si>
    <t>DHUNINV</t>
  </si>
  <si>
    <t>INDSWFTLAB</t>
  </si>
  <si>
    <t>CAREERP</t>
  </si>
  <si>
    <t>KAYA</t>
  </si>
  <si>
    <t>GEECEE</t>
  </si>
  <si>
    <t>VRAJ</t>
  </si>
  <si>
    <t>KHAICHEM</t>
  </si>
  <si>
    <t>STEL</t>
  </si>
  <si>
    <t>LOKESHMACH</t>
  </si>
  <si>
    <t>20MICRONS</t>
  </si>
  <si>
    <t>DAVANGERE</t>
  </si>
  <si>
    <t>MMP</t>
  </si>
  <si>
    <t>RUBYMILLS</t>
  </si>
  <si>
    <t>SUKHJITS</t>
  </si>
  <si>
    <t>MBLINFRA</t>
  </si>
  <si>
    <t>RBL</t>
  </si>
  <si>
    <t>APEX</t>
  </si>
  <si>
    <t>TPLPLASTEH</t>
  </si>
  <si>
    <t>SAKAR</t>
  </si>
  <si>
    <t>MENONBE</t>
  </si>
  <si>
    <t>NDL</t>
  </si>
  <si>
    <t>MOLDTECH</t>
  </si>
  <si>
    <t>DMCC</t>
  </si>
  <si>
    <t>MAANALU</t>
  </si>
  <si>
    <t>VINYLINDIA</t>
  </si>
  <si>
    <t>RITCO</t>
  </si>
  <si>
    <t>ALBERTDAVD</t>
  </si>
  <si>
    <t>TCLCONS</t>
  </si>
  <si>
    <t>SPENCERS</t>
  </si>
  <si>
    <t>SHREEPUSHK</t>
  </si>
  <si>
    <t>REMSONSIND</t>
  </si>
  <si>
    <t>LIBERTSHOE</t>
  </si>
  <si>
    <t>DPWIRES</t>
  </si>
  <si>
    <t>SREEL</t>
  </si>
  <si>
    <t>SKMEGGPROD</t>
  </si>
  <si>
    <t>BALAJITELE</t>
  </si>
  <si>
    <t>KHADIM</t>
  </si>
  <si>
    <t>NAGAFERT</t>
  </si>
  <si>
    <t>URAVI</t>
  </si>
  <si>
    <t>DONEAR</t>
  </si>
  <si>
    <t>NAHARPOLY</t>
  </si>
  <si>
    <t>VIKASECO</t>
  </si>
  <si>
    <t>FCSSOFT</t>
  </si>
  <si>
    <t>TVSELECT</t>
  </si>
  <si>
    <t>BCONCEPTS</t>
  </si>
  <si>
    <t>IZMO</t>
  </si>
  <si>
    <t>VIPULLTD</t>
  </si>
  <si>
    <t>ASMS</t>
  </si>
  <si>
    <t>PYRAMID</t>
  </si>
  <si>
    <t>NECLIFE</t>
  </si>
  <si>
    <t>MANAKSIA</t>
  </si>
  <si>
    <t>MUNJALSHOW</t>
  </si>
  <si>
    <t>ALANKIT</t>
  </si>
  <si>
    <t>CONSOFINVT</t>
  </si>
  <si>
    <t>HINDMOTORS</t>
  </si>
  <si>
    <t>3IINFOLTD</t>
  </si>
  <si>
    <t>NOVAAGRI</t>
  </si>
  <si>
    <t>HTMEDIA</t>
  </si>
  <si>
    <t>MIRZAINT</t>
  </si>
  <si>
    <t>GENUSPAPER</t>
  </si>
  <si>
    <t>WANBURY</t>
  </si>
  <si>
    <t>RSSOFTWARE</t>
  </si>
  <si>
    <t>LGHL</t>
  </si>
  <si>
    <t>BPL</t>
  </si>
  <si>
    <t>AARTISURF</t>
  </si>
  <si>
    <t>ORIENTCER</t>
  </si>
  <si>
    <t>RADIOCITY</t>
  </si>
  <si>
    <t>NRL</t>
  </si>
  <si>
    <t>INDOBORAX</t>
  </si>
  <si>
    <t>INSPIRISYS</t>
  </si>
  <si>
    <t>PAVNAIND</t>
  </si>
  <si>
    <t>CYBERTECH</t>
  </si>
  <si>
    <t>PRECOT</t>
  </si>
  <si>
    <t>NAHARINDUS</t>
  </si>
  <si>
    <t>RPPINFRA</t>
  </si>
  <si>
    <t>TARACHAND</t>
  </si>
  <si>
    <t>VALIANTLAB</t>
  </si>
  <si>
    <t>AYMSYNTEX</t>
  </si>
  <si>
    <t>MEDICAMEQ</t>
  </si>
  <si>
    <t>SILINV</t>
  </si>
  <si>
    <t>KRITINUT</t>
  </si>
  <si>
    <t>APCL</t>
  </si>
  <si>
    <t>DIAMINESQ</t>
  </si>
  <si>
    <t>TRF</t>
  </si>
  <si>
    <t>IRIS</t>
  </si>
  <si>
    <t>PTL</t>
  </si>
  <si>
    <t>MAZDA</t>
  </si>
  <si>
    <t>BANSWRAS</t>
  </si>
  <si>
    <t>BIL</t>
  </si>
  <si>
    <t>KCPSUGIND</t>
  </si>
  <si>
    <t>KAMATHOTEL</t>
  </si>
  <si>
    <t>SINCLAIR</t>
  </si>
  <si>
    <t>HCL-INSYS</t>
  </si>
  <si>
    <t>AXITA</t>
  </si>
  <si>
    <t>KRONOX</t>
  </si>
  <si>
    <t>TRU</t>
  </si>
  <si>
    <t>DEEPENR</t>
  </si>
  <si>
    <t>ORIENTBELL</t>
  </si>
  <si>
    <t>KANORICHEM</t>
  </si>
  <si>
    <t>NITCO</t>
  </si>
  <si>
    <t>NAHARCAP</t>
  </si>
  <si>
    <t>SRGHFL</t>
  </si>
  <si>
    <t>KILITCH</t>
  </si>
  <si>
    <t>PARSVNATH</t>
  </si>
  <si>
    <t>NBIFIN</t>
  </si>
  <si>
    <t>ZIMLAB</t>
  </si>
  <si>
    <t>AUTOIND</t>
  </si>
  <si>
    <t>CLEDUCATE</t>
  </si>
  <si>
    <t>IFBAGRO</t>
  </si>
  <si>
    <t>VENUSREM</t>
  </si>
  <si>
    <t>NILAINFRA</t>
  </si>
  <si>
    <t>RBZJEWEL</t>
  </si>
  <si>
    <t>IRISDOREME</t>
  </si>
  <si>
    <t>KRITIKA</t>
  </si>
  <si>
    <t>VARDHACRLC</t>
  </si>
  <si>
    <t>MUTHOOTCAP</t>
  </si>
  <si>
    <t>KOTHARIPRO</t>
  </si>
  <si>
    <t>UFO</t>
  </si>
  <si>
    <t>BBTCL</t>
  </si>
  <si>
    <t>DICIND</t>
  </si>
  <si>
    <t>ASAHISONG</t>
  </si>
  <si>
    <t>SGIL</t>
  </si>
  <si>
    <t>INTLCONV</t>
  </si>
  <si>
    <t>SRM</t>
  </si>
  <si>
    <t>CINELINE</t>
  </si>
  <si>
    <t>MODISONLTD</t>
  </si>
  <si>
    <t>PONNIERODE</t>
  </si>
  <si>
    <t>UNIDT</t>
  </si>
  <si>
    <t>GEEKAYWIRE</t>
  </si>
  <si>
    <t>MANAKCOAT</t>
  </si>
  <si>
    <t>MIRCELECTR</t>
  </si>
  <si>
    <t>DCI</t>
  </si>
  <si>
    <t>VSTL</t>
  </si>
  <si>
    <t>ALMONDZ</t>
  </si>
  <si>
    <t>JETAIRWAYS</t>
  </si>
  <si>
    <t>BRNL</t>
  </si>
  <si>
    <t>SAKHTISUG</t>
  </si>
  <si>
    <t>PREMIERPOL</t>
  </si>
  <si>
    <t>PROZONER</t>
  </si>
  <si>
    <t>ORBTEXP</t>
  </si>
  <si>
    <t>SHIVAMAUTO</t>
  </si>
  <si>
    <t>NATHBIOGEN</t>
  </si>
  <si>
    <t>MAWANASUG</t>
  </si>
  <si>
    <t>PODDARMENT</t>
  </si>
  <si>
    <t>SOFTTECH</t>
  </si>
  <si>
    <t>GOLDTECH</t>
  </si>
  <si>
    <t>DCMNVL</t>
  </si>
  <si>
    <t>MGEL</t>
  </si>
  <si>
    <t>IITL</t>
  </si>
  <si>
    <t>EMKAY</t>
  </si>
  <si>
    <t>SIGMA</t>
  </si>
  <si>
    <t>SAHYADRI</t>
  </si>
  <si>
    <t>SHEMAROO</t>
  </si>
  <si>
    <t>NIPPOBATRY</t>
  </si>
  <si>
    <t>DYNPRO</t>
  </si>
  <si>
    <t>RUCHIRA</t>
  </si>
  <si>
    <t>MANOMAY</t>
  </si>
  <si>
    <t>LYKALABS</t>
  </si>
  <si>
    <t>HARRMALAYA</t>
  </si>
  <si>
    <t>HITECHCORP</t>
  </si>
  <si>
    <t>MKPL</t>
  </si>
  <si>
    <t>PRITIKAUTO</t>
  </si>
  <si>
    <t>UNIVPHOTO</t>
  </si>
  <si>
    <t>USK</t>
  </si>
  <si>
    <t>SHREYANIND</t>
  </si>
  <si>
    <t>MAHEPC</t>
  </si>
  <si>
    <t>AFIL</t>
  </si>
  <si>
    <t>TRIGYN</t>
  </si>
  <si>
    <t>ESSENTIA</t>
  </si>
  <si>
    <t>DRCSYSTEMS</t>
  </si>
  <si>
    <t>EXXARO</t>
  </si>
  <si>
    <t>IVC</t>
  </si>
  <si>
    <t>VIPCLOTHNG</t>
  </si>
  <si>
    <t>GOKUL</t>
  </si>
  <si>
    <t>BYKE</t>
  </si>
  <si>
    <t>RANASUG</t>
  </si>
  <si>
    <t>STARPAPER</t>
  </si>
  <si>
    <t>LAL</t>
  </si>
  <si>
    <t>RAJMET</t>
  </si>
  <si>
    <t>KAPSTON</t>
  </si>
  <si>
    <t>INDOWIND</t>
  </si>
  <si>
    <t>SHREERAMA</t>
  </si>
  <si>
    <t>CCHHL</t>
  </si>
  <si>
    <t>KMSUGAR</t>
  </si>
  <si>
    <t>EIFFL</t>
  </si>
  <si>
    <t>MANORG</t>
  </si>
  <si>
    <t>INTENTECH</t>
  </si>
  <si>
    <t>OCCL</t>
  </si>
  <si>
    <t>DJML</t>
  </si>
  <si>
    <t>APOLSINHOT</t>
  </si>
  <si>
    <t>PLAZACABLE</t>
  </si>
  <si>
    <t>MANAKSTEEL</t>
  </si>
  <si>
    <t>EMAMIREAL</t>
  </si>
  <si>
    <t>GLOBAL</t>
  </si>
  <si>
    <t>AIRAN</t>
  </si>
  <si>
    <t>COASTCORP</t>
  </si>
  <si>
    <t>SHYAMCENT</t>
  </si>
  <si>
    <t>BHAGYANGR</t>
  </si>
  <si>
    <t>ELGIRUBCO</t>
  </si>
  <si>
    <t>GULFPETRO</t>
  </si>
  <si>
    <t>SURANAT&amp;P</t>
  </si>
  <si>
    <t>ZODIACLOTH</t>
  </si>
  <si>
    <t>ASIANHOTNR</t>
  </si>
  <si>
    <t>JAYSREETEA</t>
  </si>
  <si>
    <t>RKEC</t>
  </si>
  <si>
    <t>ARIES</t>
  </si>
  <si>
    <t>IL&amp;FSENGG</t>
  </si>
  <si>
    <t>PASUPTAC</t>
  </si>
  <si>
    <t>A2ZINFRA</t>
  </si>
  <si>
    <t>SEJALLTD</t>
  </si>
  <si>
    <t>ATLANTAA</t>
  </si>
  <si>
    <t>MURUDCERA</t>
  </si>
  <si>
    <t>VIRINCHI</t>
  </si>
  <si>
    <t>RAMAPHO</t>
  </si>
  <si>
    <t>AVONMORE</t>
  </si>
  <si>
    <t>BGRENERGY</t>
  </si>
  <si>
    <t>INVENTURE</t>
  </si>
  <si>
    <t>RUCHINFRA</t>
  </si>
  <si>
    <t>SUMIT</t>
  </si>
  <si>
    <t>MEGASTAR</t>
  </si>
  <si>
    <t>COMSYN</t>
  </si>
  <si>
    <t>NILASPACES</t>
  </si>
  <si>
    <t>NDLVENTURE</t>
  </si>
  <si>
    <t>MAGNUM</t>
  </si>
  <si>
    <t>UMANGDAIRY</t>
  </si>
  <si>
    <t>INDTERRAIN</t>
  </si>
  <si>
    <t>MEDICO</t>
  </si>
  <si>
    <t>SMARTLINK</t>
  </si>
  <si>
    <t>ALPHAGEO</t>
  </si>
  <si>
    <t>LANCORHOL</t>
  </si>
  <si>
    <t>DEVIT</t>
  </si>
  <si>
    <t>GUJAPOLLO</t>
  </si>
  <si>
    <t>LORDSCHLO</t>
  </si>
  <si>
    <t>GLOBALVECT</t>
  </si>
  <si>
    <t>OMAXAUTO</t>
  </si>
  <si>
    <t>NDGL</t>
  </si>
  <si>
    <t>RANEENGINE</t>
  </si>
  <si>
    <t>BASML</t>
  </si>
  <si>
    <t>PILITA</t>
  </si>
  <si>
    <t>TAKE</t>
  </si>
  <si>
    <t>RAMANEWS</t>
  </si>
  <si>
    <t>TIRUPATIFL</t>
  </si>
  <si>
    <t>CORDSCABLE</t>
  </si>
  <si>
    <t>VISHWARAJ</t>
  </si>
  <si>
    <t>NECCLTD</t>
  </si>
  <si>
    <t>REPL</t>
  </si>
  <si>
    <t>CROWN</t>
  </si>
  <si>
    <t>PPAP</t>
  </si>
  <si>
    <t>PAR</t>
  </si>
  <si>
    <t>NITIRAJ</t>
  </si>
  <si>
    <t>SOUTHWEST</t>
  </si>
  <si>
    <t>GENCON</t>
  </si>
  <si>
    <t>MCLEODRUSS</t>
  </si>
  <si>
    <t>MARALOVER</t>
  </si>
  <si>
    <t>WELINV</t>
  </si>
  <si>
    <t>SHRADHA</t>
  </si>
  <si>
    <t>ZEELEARN</t>
  </si>
  <si>
    <t>STARTECK</t>
  </si>
  <si>
    <t>TREJHARA</t>
  </si>
  <si>
    <t>AARON</t>
  </si>
  <si>
    <t>RVHL</t>
  </si>
  <si>
    <t>LGBFORGE</t>
  </si>
  <si>
    <t>HINDCON</t>
  </si>
  <si>
    <t>LOYALTEX</t>
  </si>
  <si>
    <t>NURECA</t>
  </si>
  <si>
    <t>VETO</t>
  </si>
  <si>
    <t>LAGNAM</t>
  </si>
  <si>
    <t>GINNIFILA</t>
  </si>
  <si>
    <t>SOMICONVEY</t>
  </si>
  <si>
    <t>EQUIPPP</t>
  </si>
  <si>
    <t>SMLT</t>
  </si>
  <si>
    <t>SVLL</t>
  </si>
  <si>
    <t>IL&amp;FSTRANS</t>
  </si>
  <si>
    <t>SMSLIFE</t>
  </si>
  <si>
    <t>TTL</t>
  </si>
  <si>
    <t>CTE</t>
  </si>
  <si>
    <t>MODIRUBBER</t>
  </si>
  <si>
    <t>SUPERHOUSE</t>
  </si>
  <si>
    <t>TEMBO</t>
  </si>
  <si>
    <t>COMPUSOFT</t>
  </si>
  <si>
    <t>RAJSREESUG</t>
  </si>
  <si>
    <t>SUPREMEINF</t>
  </si>
  <si>
    <t>AKSHARCHEM</t>
  </si>
  <si>
    <t>RPPL</t>
  </si>
  <si>
    <t>VARDMNPOLY</t>
  </si>
  <si>
    <t>GSS</t>
  </si>
  <si>
    <t>TIPSFILMS</t>
  </si>
  <si>
    <t>KREBSBIO</t>
  </si>
  <si>
    <t>SHIVATEX</t>
  </si>
  <si>
    <t>PRAENG</t>
  </si>
  <si>
    <t>MITCON</t>
  </si>
  <si>
    <t>OSWALSEEDS</t>
  </si>
  <si>
    <t>GVPTECH</t>
  </si>
  <si>
    <t>DTIL</t>
  </si>
  <si>
    <t>JMA</t>
  </si>
  <si>
    <t>MAHAPEXLTD</t>
  </si>
  <si>
    <t>NOIDATOLL</t>
  </si>
  <si>
    <t>CENTEXT</t>
  </si>
  <si>
    <t>AMJLAND</t>
  </si>
  <si>
    <t>KANPRPLA</t>
  </si>
  <si>
    <t>CORALFINAC</t>
  </si>
  <si>
    <t>DELPHIFX</t>
  </si>
  <si>
    <t>INDBANK</t>
  </si>
  <si>
    <t>BROOKS</t>
  </si>
  <si>
    <t>AHLEAST</t>
  </si>
  <si>
    <t>MODTHREAD</t>
  </si>
  <si>
    <t>IEL</t>
  </si>
  <si>
    <t>SURANASOL</t>
  </si>
  <si>
    <t>ISFT</t>
  </si>
  <si>
    <t>MANAKALUCO</t>
  </si>
  <si>
    <t>LOVABLE</t>
  </si>
  <si>
    <t>KALYANIFRG</t>
  </si>
  <si>
    <t>UNITEDTEA</t>
  </si>
  <si>
    <t>TEXMOPIPES</t>
  </si>
  <si>
    <t>BSL</t>
  </si>
  <si>
    <t>BAIDFIN</t>
  </si>
  <si>
    <t>MHLXMIRU</t>
  </si>
  <si>
    <t>AIROLAM</t>
  </si>
  <si>
    <t>ATAM</t>
  </si>
  <si>
    <t>KBCGLOBAL</t>
  </si>
  <si>
    <t>AKI</t>
  </si>
  <si>
    <t>BAFNAPH</t>
  </si>
  <si>
    <t>IVP</t>
  </si>
  <si>
    <t>ARVEE</t>
  </si>
  <si>
    <t>SAH</t>
  </si>
  <si>
    <t>DGCONTENT</t>
  </si>
  <si>
    <t>DHRUV</t>
  </si>
  <si>
    <t>CAPTRUST</t>
  </si>
  <si>
    <t>UNIVASTU</t>
  </si>
  <si>
    <t>WEIZMANIND</t>
  </si>
  <si>
    <t>ANIKINDS</t>
  </si>
  <si>
    <t>GTL</t>
  </si>
  <si>
    <t>DUCON</t>
  </si>
  <si>
    <t>AARTECH</t>
  </si>
  <si>
    <t>UNITEDPOLY</t>
  </si>
  <si>
    <t>KEYFINSERV</t>
  </si>
  <si>
    <t>SELMC</t>
  </si>
  <si>
    <t>SETCO</t>
  </si>
  <si>
    <t>SHAH</t>
  </si>
  <si>
    <t>VAISHALI</t>
  </si>
  <si>
    <t>AARVI</t>
  </si>
  <si>
    <t>HPIL</t>
  </si>
  <si>
    <t>MAHESHWARI</t>
  </si>
  <si>
    <t>EMMBI</t>
  </si>
  <si>
    <t>ANMOL</t>
  </si>
  <si>
    <t>GILLANDERS</t>
  </si>
  <si>
    <t>NIRAJ</t>
  </si>
  <si>
    <t>DCM</t>
  </si>
  <si>
    <t>ALPA</t>
  </si>
  <si>
    <t>SPYL</t>
  </si>
  <si>
    <t>KAKATCEM</t>
  </si>
  <si>
    <t>TAINWALCHM</t>
  </si>
  <si>
    <t>SEMAC</t>
  </si>
  <si>
    <t>ACCURACY</t>
  </si>
  <si>
    <t>WORTH</t>
  </si>
  <si>
    <t>PANSARI</t>
  </si>
  <si>
    <t>PRITI</t>
  </si>
  <si>
    <t>HILTON</t>
  </si>
  <si>
    <t>EROSMEDIA</t>
  </si>
  <si>
    <t>BALPHARMA</t>
  </si>
  <si>
    <t>SALSTEEL</t>
  </si>
  <si>
    <t>ARTNIRMAN</t>
  </si>
  <si>
    <t>TOTAL</t>
  </si>
  <si>
    <t>RHFL</t>
  </si>
  <si>
    <t>SPLIL</t>
  </si>
  <si>
    <t>SONAMLTD</t>
  </si>
  <si>
    <t>SIL</t>
  </si>
  <si>
    <t>RELCHEMQ</t>
  </si>
  <si>
    <t>ANSALAPI</t>
  </si>
  <si>
    <t>SIKKO</t>
  </si>
  <si>
    <t>BAGFILMS</t>
  </si>
  <si>
    <t>BHARATGEAR</t>
  </si>
  <si>
    <t>ZENITHEXPO</t>
  </si>
  <si>
    <t>JOCIL</t>
  </si>
  <si>
    <t>JHS</t>
  </si>
  <si>
    <t>BHANDARI</t>
  </si>
  <si>
    <t>LAMBODHARA</t>
  </si>
  <si>
    <t>MANGALAM</t>
  </si>
  <si>
    <t>BTML</t>
  </si>
  <si>
    <t>LPDC</t>
  </si>
  <si>
    <t>GANGESSECU</t>
  </si>
  <si>
    <t>DIGJAMLMTD</t>
  </si>
  <si>
    <t>SURYALAXMI</t>
  </si>
  <si>
    <t>TARMAT</t>
  </si>
  <si>
    <t>S&amp;SPOWER</t>
  </si>
  <si>
    <t>KOHINOOR</t>
  </si>
  <si>
    <t>PANACHE</t>
  </si>
  <si>
    <t>MUKTAARTS</t>
  </si>
  <si>
    <t>INDIANCARD</t>
  </si>
  <si>
    <t>PATINTLOG</t>
  </si>
  <si>
    <t>PRAKASHSTL</t>
  </si>
  <si>
    <t>SUNDARAM</t>
  </si>
  <si>
    <t>CUBEXTUB</t>
  </si>
  <si>
    <t>SAMPANN</t>
  </si>
  <si>
    <t>SALONA</t>
  </si>
  <si>
    <t>MRO-TEK</t>
  </si>
  <si>
    <t>GLOBE</t>
  </si>
  <si>
    <t>TOUCHWOOD</t>
  </si>
  <si>
    <t>BVCL</t>
  </si>
  <si>
    <t>MOTOGENFIN</t>
  </si>
  <si>
    <t>PRAXIS</t>
  </si>
  <si>
    <t>AHLADA</t>
  </si>
  <si>
    <t>FLEXITUFF</t>
  </si>
  <si>
    <t>ZENITHSTL</t>
  </si>
  <si>
    <t>MADHUCON</t>
  </si>
  <si>
    <t>PIONEEREMB</t>
  </si>
  <si>
    <t>BEARDSELL</t>
  </si>
  <si>
    <t>TPHQ</t>
  </si>
  <si>
    <t>AAKASH</t>
  </si>
  <si>
    <t>AKSHOPTFBR</t>
  </si>
  <si>
    <t>AAREYDRUGS</t>
  </si>
  <si>
    <t>ALKALI</t>
  </si>
  <si>
    <t>PALASHSECU</t>
  </si>
  <si>
    <t>AMDIND</t>
  </si>
  <si>
    <t>AAATECH</t>
  </si>
  <si>
    <t>REGENCERAM</t>
  </si>
  <si>
    <t>STEELCITY</t>
  </si>
  <si>
    <t>HECPROJECT</t>
  </si>
  <si>
    <t>WIPL</t>
  </si>
  <si>
    <t>GOYALALUM</t>
  </si>
  <si>
    <t>GAYAPROJ</t>
  </si>
  <si>
    <t>ARSHIYA</t>
  </si>
  <si>
    <t>BANKA</t>
  </si>
  <si>
    <t>PARASPETRO</t>
  </si>
  <si>
    <t>SECURKLOUD</t>
  </si>
  <si>
    <t>DIGIDRIVE</t>
  </si>
  <si>
    <t>VASWANI</t>
  </si>
  <si>
    <t>ASTRON</t>
  </si>
  <si>
    <t>MEP</t>
  </si>
  <si>
    <t>PKTEA</t>
  </si>
  <si>
    <t>FIBERWEB</t>
  </si>
  <si>
    <t>TFL</t>
  </si>
  <si>
    <t>SHAHALLOYS</t>
  </si>
  <si>
    <t>PALREDTEC</t>
  </si>
  <si>
    <t>OBCL</t>
  </si>
  <si>
    <t>DIL</t>
  </si>
  <si>
    <t>LASA</t>
  </si>
  <si>
    <t>NAGREEKEXP</t>
  </si>
  <si>
    <t>INDSWFTLTD</t>
  </si>
  <si>
    <t>DAMODARIND</t>
  </si>
  <si>
    <t>TIMESGTY</t>
  </si>
  <si>
    <t>AGRITECH</t>
  </si>
  <si>
    <t>ENERGYDEV</t>
  </si>
  <si>
    <t>AVROIND</t>
  </si>
  <si>
    <t>DANGEE</t>
  </si>
  <si>
    <t>SUVIDHAA</t>
  </si>
  <si>
    <t>HISARMETAL</t>
  </si>
  <si>
    <t>TOKYOPLAST</t>
  </si>
  <si>
    <t>SOMATEX</t>
  </si>
  <si>
    <t>GROBTEA</t>
  </si>
  <si>
    <t>SIMBHALS</t>
  </si>
  <si>
    <t>AJOONI</t>
  </si>
  <si>
    <t>KARMAENG</t>
  </si>
  <si>
    <t>GANGAFORGE</t>
  </si>
  <si>
    <t>PNC</t>
  </si>
  <si>
    <t>DELTAMAGNT</t>
  </si>
  <si>
    <t>MCL</t>
  </si>
  <si>
    <t>SECMARK</t>
  </si>
  <si>
    <t>CINEVISTA</t>
  </si>
  <si>
    <t>ORIENTLTD</t>
  </si>
  <si>
    <t>TREEHOUSE</t>
  </si>
  <si>
    <t>PIGL</t>
  </si>
  <si>
    <t>YAARI</t>
  </si>
  <si>
    <t>BLBLIMITED</t>
  </si>
  <si>
    <t>CELEBRITY</t>
  </si>
  <si>
    <t>EXCEL</t>
  </si>
  <si>
    <t>VINNY</t>
  </si>
  <si>
    <t>MBECL</t>
  </si>
  <si>
    <t>AGROPHOS</t>
  </si>
  <si>
    <t>HBSL</t>
  </si>
  <si>
    <t>AROGRANITE</t>
  </si>
  <si>
    <t>TERASOFT</t>
  </si>
  <si>
    <t>NIBL</t>
  </si>
  <si>
    <t>MOKSH</t>
  </si>
  <si>
    <t>BURNPUR</t>
  </si>
  <si>
    <t>ROLLT</t>
  </si>
  <si>
    <t>SVPGLOB</t>
  </si>
  <si>
    <t>CEREBRAINT</t>
  </si>
  <si>
    <t>HOVS</t>
  </si>
  <si>
    <t>ARCHIES</t>
  </si>
  <si>
    <t>GATECH</t>
  </si>
  <si>
    <t>GATECHDVR</t>
  </si>
  <si>
    <t>21STCENMGM</t>
  </si>
  <si>
    <t>GTECJAINX</t>
  </si>
  <si>
    <t>SHIVAMILLS</t>
  </si>
  <si>
    <t>SEYAIND</t>
  </si>
  <si>
    <t>AKG</t>
  </si>
  <si>
    <t>GOLDENTOBC</t>
  </si>
  <si>
    <t>BALKRISHNA</t>
  </si>
  <si>
    <t>AARVEEDEN</t>
  </si>
  <si>
    <t>RELIABLE</t>
  </si>
  <si>
    <t>JAIPURKURT</t>
  </si>
  <si>
    <t>PRUDMOULI</t>
  </si>
  <si>
    <t>MALUPAPER</t>
  </si>
  <si>
    <t>BANARBEADS</t>
  </si>
  <si>
    <t>GODHA</t>
  </si>
  <si>
    <t>KSHITIJPOL</t>
  </si>
  <si>
    <t>SITINET</t>
  </si>
  <si>
    <t>3PLAND</t>
  </si>
  <si>
    <t>AKSHAR</t>
  </si>
  <si>
    <t>PODDARHOUS</t>
  </si>
  <si>
    <t>RKDL</t>
  </si>
  <si>
    <t>BANG</t>
  </si>
  <si>
    <t>MITTAL</t>
  </si>
  <si>
    <t>LFIC</t>
  </si>
  <si>
    <t>SILGO</t>
  </si>
  <si>
    <t>MANUGRAPH</t>
  </si>
  <si>
    <t>NGIL</t>
  </si>
  <si>
    <t>LCCINFOTEC</t>
  </si>
  <si>
    <t>DNAMEDIA</t>
  </si>
  <si>
    <t>KANANIIND</t>
  </si>
  <si>
    <t>ABMINTLLTD</t>
  </si>
  <si>
    <t>FELDVR</t>
  </si>
  <si>
    <t>FEL</t>
  </si>
  <si>
    <t>AKASH</t>
  </si>
  <si>
    <t>SAGARDEEP</t>
  </si>
  <si>
    <t>KAVVERITEL</t>
  </si>
  <si>
    <t>KEEPLEARN</t>
  </si>
  <si>
    <t>SHRENIK</t>
  </si>
  <si>
    <t>VINEETLAB</t>
  </si>
  <si>
    <t>PEARLPOLY</t>
  </si>
  <si>
    <t>ICDSLTD</t>
  </si>
  <si>
    <t>ATALREAL</t>
  </si>
  <si>
    <t>ADROITINFO</t>
  </si>
  <si>
    <t>BINANIIND</t>
  </si>
  <si>
    <t>ASHOKAMET</t>
  </si>
  <si>
    <t>ADL</t>
  </si>
  <si>
    <t>FLFL</t>
  </si>
  <si>
    <t>COUNCODOS</t>
  </si>
  <si>
    <t>NEXTMEDIA</t>
  </si>
  <si>
    <t>ARSSINFRA</t>
  </si>
  <si>
    <t>SGL</t>
  </si>
  <si>
    <t>TNTELE</t>
  </si>
  <si>
    <t>SUPERSPIN</t>
  </si>
  <si>
    <t>SANGINITA</t>
  </si>
  <si>
    <t>AMBICAAGAR</t>
  </si>
  <si>
    <t>LIBAS</t>
  </si>
  <si>
    <t>KHANDSE</t>
  </si>
  <si>
    <t>SRPL</t>
  </si>
  <si>
    <t>MADHAV</t>
  </si>
  <si>
    <t>SUPREMEENG</t>
  </si>
  <si>
    <t>WILLAMAGOR</t>
  </si>
  <si>
    <t>CYBERMEDIA</t>
  </si>
  <si>
    <t>MOHITIND</t>
  </si>
  <si>
    <t>VIJIFIN</t>
  </si>
  <si>
    <t>TVVISION</t>
  </si>
  <si>
    <t>SUULD</t>
  </si>
  <si>
    <t>KRIDHANINF</t>
  </si>
  <si>
    <t>FMNL</t>
  </si>
  <si>
    <t>KHAITANLTD</t>
  </si>
  <si>
    <t>TECHIN</t>
  </si>
  <si>
    <t>SECURCRED</t>
  </si>
  <si>
    <t>NAGREEKCAP</t>
  </si>
  <si>
    <t>VIVIDHA</t>
  </si>
  <si>
    <t>ACEINTEG</t>
  </si>
  <si>
    <t>KAUSHALYA</t>
  </si>
  <si>
    <t>HYBRIDFIN</t>
  </si>
  <si>
    <t>ORIENTALTL</t>
  </si>
  <si>
    <t>NKIND</t>
  </si>
  <si>
    <t>IMPEXFERRO</t>
  </si>
  <si>
    <t>NARMADA</t>
  </si>
  <si>
    <t>GUJRAFFIA</t>
  </si>
  <si>
    <t>CALSOFT</t>
  </si>
  <si>
    <t>UMESLTD</t>
  </si>
  <si>
    <t>GLFL</t>
  </si>
  <si>
    <t>HEADSUP</t>
  </si>
  <si>
    <t>MTEDUCARE</t>
  </si>
  <si>
    <t>TARAPUR</t>
  </si>
  <si>
    <t>ONELIFECAP</t>
  </si>
  <si>
    <t>TCIFINANCE</t>
  </si>
  <si>
    <t>SILLYMONKS</t>
  </si>
  <si>
    <t>SHANTI</t>
  </si>
  <si>
    <t>LYPSAGEMS</t>
  </si>
  <si>
    <t>FSC</t>
  </si>
  <si>
    <t>OMKARCHEM</t>
  </si>
  <si>
    <t>SHYAMTEL</t>
  </si>
  <si>
    <t>ORTINLAB</t>
  </si>
  <si>
    <t>RADAAN</t>
  </si>
  <si>
    <t>ARENTERP</t>
  </si>
  <si>
    <t>ALPSINDUS</t>
  </si>
  <si>
    <t>DCMFINSERV</t>
  </si>
  <si>
    <t>EUROTEXIND</t>
  </si>
  <si>
    <t>CREATIVEYE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</si>
</sst>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&quot;Google Sans Mono&quot;"/>
    </font>
    <font>
      <sz val="11.0"/>
      <color theme="1"/>
      <name val="Arial"/>
    </font>
    <font>
      <b/>
      <sz val="9.0"/>
      <color rgb="FF000000"/>
      <name val="&quot;Google Sans Mono&quot;"/>
    </font>
    <font>
      <b/>
      <sz val="11.0"/>
      <color theme="1"/>
      <name val="Arial"/>
      <scheme val="minor"/>
    </font>
    <font>
      <b/>
      <sz val="10.0"/>
      <color rgb="FF1F1F1F"/>
      <name val="Arial"/>
      <scheme val="minor"/>
    </font>
    <font>
      <b/>
      <sz val="10.0"/>
      <color rgb="FF474747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2" xfId="0" applyAlignment="1" applyFont="1" applyNumberFormat="1">
      <alignment readingOrder="0" vertical="bottom"/>
    </xf>
    <xf borderId="0" fillId="3" fontId="1" numFmtId="0" xfId="0" applyAlignment="1" applyFill="1" applyFont="1">
      <alignment horizontal="right" readingOrder="0" vertical="bottom"/>
    </xf>
    <xf borderId="0" fillId="4" fontId="1" numFmtId="0" xfId="0" applyAlignment="1" applyFill="1" applyFont="1">
      <alignment vertical="bottom"/>
    </xf>
    <xf borderId="0" fillId="5" fontId="1" numFmtId="164" xfId="0" applyAlignment="1" applyFill="1" applyFont="1" applyNumberFormat="1">
      <alignment vertical="bottom"/>
    </xf>
    <xf borderId="0" fillId="6" fontId="1" numFmtId="164" xfId="0" applyAlignment="1" applyFill="1" applyFont="1" applyNumberFormat="1">
      <alignment vertical="bottom"/>
    </xf>
    <xf borderId="0" fillId="7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ont="1">
      <alignment shrinkToFit="0" vertical="bottom" wrapText="1"/>
    </xf>
    <xf borderId="0" fillId="0" fontId="1" numFmtId="2" xfId="0" applyAlignment="1" applyFont="1" applyNumberFormat="1">
      <alignment vertical="bottom"/>
    </xf>
    <xf borderId="0" fillId="4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vertical="bottom"/>
    </xf>
    <xf borderId="0" fillId="4" fontId="6" numFmtId="0" xfId="0" applyFont="1"/>
    <xf borderId="0" fillId="4" fontId="1" numFmtId="0" xfId="0" applyAlignment="1" applyFont="1">
      <alignment horizontal="right" shrinkToFit="0" vertical="bottom" wrapText="1"/>
    </xf>
    <xf borderId="0" fillId="0" fontId="1" numFmtId="164" xfId="0" applyAlignment="1" applyFont="1" applyNumberFormat="1">
      <alignment horizontal="right" vertical="bottom"/>
    </xf>
    <xf borderId="0" fillId="4" fontId="1" numFmtId="164" xfId="0" applyAlignment="1" applyFont="1" applyNumberFormat="1">
      <alignment horizontal="right" shrinkToFit="0" vertical="bottom" wrapText="1"/>
    </xf>
    <xf borderId="0" fillId="0" fontId="7" numFmtId="164" xfId="0" applyFont="1" applyNumberFormat="1"/>
    <xf borderId="0" fillId="4" fontId="0" numFmtId="0" xfId="0" applyFont="1"/>
    <xf borderId="0" fillId="0" fontId="2" numFmtId="0" xfId="0" applyFont="1"/>
    <xf borderId="0" fillId="0" fontId="3" numFmtId="0" xfId="0" applyFont="1"/>
    <xf borderId="0" fillId="4" fontId="8" numFmtId="0" xfId="0" applyAlignment="1" applyFont="1">
      <alignment readingOrder="0"/>
    </xf>
    <xf borderId="0" fillId="4" fontId="9" numFmtId="0" xfId="0" applyAlignment="1" applyFont="1">
      <alignment horizontal="left" readingOrder="0" shrinkToFit="0" wrapText="0"/>
    </xf>
  </cellXfs>
  <cellStyles count="1">
    <cellStyle xfId="0" name="Normal" builtinId="0"/>
  </cellStyles>
  <dxfs count="3"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16.38"/>
    <col customWidth="1" min="3" max="3" width="10.5"/>
    <col hidden="1" min="4" max="6" width="12.63"/>
    <col customWidth="1" min="7" max="7" width="8.5"/>
    <col customWidth="1" min="8" max="8" width="8.75"/>
    <col customWidth="1" min="9" max="14" width="10.5"/>
    <col customWidth="1" min="15" max="15" width="16.63"/>
    <col customWidth="1" min="16" max="16" width="12.25"/>
    <col customWidth="1" min="17" max="17" width="12.88"/>
    <col customWidth="1" min="18" max="18" width="7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>
        <v>14.0</v>
      </c>
      <c r="G1" s="2" t="str">
        <f>F1 &amp; " DAYS"</f>
        <v>14 DAYS</v>
      </c>
      <c r="H1" s="5" t="s">
        <v>3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7" t="s">
        <v>10</v>
      </c>
      <c r="O1" s="8" t="s">
        <v>11</v>
      </c>
      <c r="P1" s="9" t="s">
        <v>12</v>
      </c>
      <c r="Q1" s="9" t="s">
        <v>13</v>
      </c>
      <c r="R1" s="10" t="s">
        <v>14</v>
      </c>
      <c r="S1" s="10"/>
      <c r="T1" s="10"/>
    </row>
    <row r="2">
      <c r="A2" s="9" t="s">
        <v>15</v>
      </c>
      <c r="B2" s="11" t="str">
        <f t="shared" ref="B2:B1969" si="1">"NSE:"&amp;A2</f>
        <v>NSE:ADANIENT</v>
      </c>
      <c r="C2" s="12">
        <f>IFERROR(__xludf.DUMMYFUNCTION("GOOGLEFINANCE(B2,""marketcap"")/10000000"),295423.9240712)</f>
        <v>295423.9241</v>
      </c>
      <c r="D2" s="13">
        <f>IFERROR(__xludf.DUMMYFUNCTION("GOOGLEFINANCE(B2,""price"")"),2557.5)</f>
        <v>2557.5</v>
      </c>
      <c r="E2" s="14">
        <f>IFERROR(__xludf.DUMMYFUNCTION("GOOGLEFINANCE(B2,""Volume"")"),190348.0)</f>
        <v>190348</v>
      </c>
      <c r="F2" s="14">
        <f t="array" ref="F2">F1</f>
        <v>14</v>
      </c>
      <c r="G2" s="15" t="str">
        <f>IFERROR(__xludf.DUMMYFUNCTION("IF(E2&gt;AVERAGE(INDEX(GOOGLEFINANCE(B2,""volume"",WORKDAY(TODAY(),-$F$1),TODAY()),,2)),""Breakout"","""")"),"")</f>
        <v/>
      </c>
      <c r="H2" s="16">
        <f>IFERROR(__xludf.DUMMYFUNCTION("GOOGLEFINANCE(B2,""price"")"),2557.5)</f>
        <v>2557.5</v>
      </c>
      <c r="I2" s="17">
        <f>IFERROR(__xludf.DUMMYFUNCTION("AVERAGE(QUERY(SORT(GOOGLEFINANCE(B2,""price"",TODAY()-365,TODAY()),1,0),""select Col2 limit 10""))"),2598.1)</f>
        <v>2598.1</v>
      </c>
      <c r="J2" s="17">
        <f>IFERROR(__xludf.DUMMYFUNCTION("AVERAGE(QUERY(SORT(GOOGLEFINANCE(B2,""price"",TODAY()-365,TODAY()),1,0),""select Col2 limit 30""))"),2568.3566666666666)</f>
        <v>2568.356667</v>
      </c>
      <c r="K2" s="18">
        <f>IFERROR(__xludf.DUMMYFUNCTION("AVERAGE(QUERY(SORT(GOOGLEFINANCE(B2,""price"",TODAY()-365,TODAY()),1,0),""select Col2 limit 60""))"),2528.876666666666)</f>
        <v>2528.876667</v>
      </c>
      <c r="L2" s="17">
        <f>IFERROR(__xludf.DUMMYFUNCTION("AVERAGE(QUERY(SORT(GOOGLEFINANCE(B2,""price"",TODAY()-365,TODAY()),1,0),""select Col2 limit 90""))"),2468.7616666666663)</f>
        <v>2468.761667</v>
      </c>
      <c r="M2" s="17">
        <f>IFERROR(__xludf.DUMMYFUNCTION("AVERAGE(QUERY(SORT(GOOGLEFINANCE(B2,""price"",TODAY()-365,TODAY()),1,0),""select Col2 limit 120""))"),2408.0854166666663)</f>
        <v>2408.085417</v>
      </c>
      <c r="N2" s="19">
        <f>IFERROR(__xludf.DUMMYFUNCTION("AVERAGE(QUERY(SORT(GOOGLEFINANCE(B2,""price"",TODAY()-365,TODAY()),1,0),""select Col2 limit 200""))"),2495.653)</f>
        <v>2495.653</v>
      </c>
      <c r="O2" s="20" t="str">
        <f t="shared" ref="O2:O1969" si="2">IF(AND(D2&gt;I2,D2&gt;J2,D2&gt;K2,D2&gt;L2,D2&gt;M2,D2&lt;N2), "Buy Above 200 DMA", IF(AND(D2&lt;I2,D2&lt;J2,D2&lt;K2,D2&lt;L2,D2&lt;M2,D2&gt;N2),"Sell Below 200 DMA", "Avoid" ))</f>
        <v>Avoid</v>
      </c>
      <c r="P2" s="21" t="str">
        <f t="shared" ref="P2:P1969" si="3">IF(AND(I2 &gt; H2, (I2 - H2) / H2 &lt;= 0.01), "10 DMA", 
IF(AND(J2 &gt; H2, (J2 - H2) / H2 &lt;= 0.01), "30 DMA", 
IF(AND(K2 &gt; H2, (K2 - H2) / H2 &lt;= 0.01), "60 DMA", 
IF(AND(L2 &gt; H2, (L2 - H2) / H2 &lt;= 0.01), "90 DMA", 
IF(AND(M2 &gt; H2, (M2 - H2) / H2 &lt;= 0.01), "120 DMA", 
IF(AND(N2 &gt; H2, (N2 - H2) / H2 &lt;= 0.01), "200 DMA", ""))))))
</f>
        <v>30 DMA</v>
      </c>
      <c r="Q2" s="21" t="str">
        <f t="shared" ref="Q2:Q1969" si="4">IFS(
  AND(N2&gt;H2, M2&lt;H2, L2&lt;H2, K2&lt;H2, J2&lt;H2, I2&lt;H2, ISNUMBER(SEARCH("200 DMA", P2))), "200 DMA cross best",
  AND(N2&gt;H2, M2&gt;H2, L2&lt;H2, K2&lt;H2, J2&lt;H2, I2&lt;H2, ISNUMBER(SEARCH("120 DMA", P2))), "120 DMA cross best",
  AND(N2&gt;H2, M2&gt;H2, L2&gt;H2, K2&lt;H2, J2&lt;H2, I2&lt;H2, ISNUMBER(SEARCH("90 DMA", P2))), "90 DMA cross best",
  AND(N2&gt;H2, M2&gt;H2, L2&gt;H2, K2&gt;H2, J2&lt;H2, I2&lt;H2, ISNUMBER(SEARCH("60 DMA", P2))), "60 DMA cross best",
  AND(N2&gt;H2, M2&gt;H2, L2&gt;H2, K2&gt;H2, J2&gt;H2, I2&lt;H2, ISNUMBER(SEARCH("30 DMA", P2))), "30 DMA cross best",
  AND(N2&gt;H2, M2&gt;H2, L2&gt;H2, K2&gt;H2, J2&gt;H2, I2&gt;H2, ISNUMBER(SEARCH("10 DMA", P2))), "10 DMA cross best",
  TRUE, ""
)</f>
        <v/>
      </c>
      <c r="R2" s="22">
        <f>IFERROR(__xludf.DUMMYFUNCTION("GOOGLEFINANCE(B2, ""pe"")
"),41.25)</f>
        <v>41.25</v>
      </c>
    </row>
    <row r="3">
      <c r="A3" s="9" t="s">
        <v>16</v>
      </c>
      <c r="B3" s="11" t="str">
        <f t="shared" si="1"/>
        <v>NSE:ADANIGREEN</v>
      </c>
      <c r="C3" s="12">
        <f>IFERROR(__xludf.DUMMYFUNCTION("GOOGLEFINANCE(B3,""marketcap"")/10000000"),164421.0105107)</f>
        <v>164421.0105</v>
      </c>
      <c r="D3" s="13">
        <f>IFERROR(__xludf.DUMMYFUNCTION("GOOGLEFINANCE(B3,""price"")"),998.5)</f>
        <v>998.5</v>
      </c>
      <c r="E3" s="14">
        <f>IFERROR(__xludf.DUMMYFUNCTION("GOOGLEFINANCE(B3,""Volume"")"),1177738.0)</f>
        <v>1177738</v>
      </c>
      <c r="F3" s="14">
        <f t="array" ref="F3">F2</f>
        <v>14</v>
      </c>
      <c r="G3" s="15" t="str">
        <f>IFERROR(__xludf.DUMMYFUNCTION("IF(E3&gt;AVERAGE(INDEX(GOOGLEFINANCE(B3,""volume"",WORKDAY(TODAY(),-$F$1),TODAY()),,2)),""Breakout"","""")"),"")</f>
        <v/>
      </c>
      <c r="H3" s="16">
        <f>IFERROR(__xludf.DUMMYFUNCTION("GOOGLEFINANCE(B3,""price"")"),998.5)</f>
        <v>998.5</v>
      </c>
      <c r="I3" s="17">
        <f>IFERROR(__xludf.DUMMYFUNCTION("AVERAGE(QUERY(SORT(GOOGLEFINANCE(B3,""price"",TODAY()-365,TODAY()),1,0),""select Col2 limit 10""))"),1025.87)</f>
        <v>1025.87</v>
      </c>
      <c r="J3" s="17">
        <f>IFERROR(__xludf.DUMMYFUNCTION("AVERAGE(QUERY(SORT(GOOGLEFINANCE(B3,""price"",TODAY()-365,TODAY()),1,0),""select Col2 limit 30""))"),1001.6733333333333)</f>
        <v>1001.673333</v>
      </c>
      <c r="K3" s="18">
        <f>IFERROR(__xludf.DUMMYFUNCTION("AVERAGE(QUERY(SORT(GOOGLEFINANCE(B3,""price"",TODAY()-365,TODAY()),1,0),""select Col2 limit 60""))"),994.5558333333332)</f>
        <v>994.5558333</v>
      </c>
      <c r="L3" s="17">
        <f>IFERROR(__xludf.DUMMYFUNCTION("AVERAGE(QUERY(SORT(GOOGLEFINANCE(B3,""price"",TODAY()-365,TODAY()),1,0),""select Col2 limit 90""))"),971.4794444444439)</f>
        <v>971.4794444</v>
      </c>
      <c r="M3" s="17">
        <f>IFERROR(__xludf.DUMMYFUNCTION("AVERAGE(QUERY(SORT(GOOGLEFINANCE(B3,""price"",TODAY()-365,TODAY()),1,0),""select Col2 limit 120""))"),950.7299999999996)</f>
        <v>950.73</v>
      </c>
      <c r="N3" s="19">
        <f>IFERROR(__xludf.DUMMYFUNCTION("AVERAGE(QUERY(SORT(GOOGLEFINANCE(B3,""price"",TODAY()-365,TODAY()),1,0),""select Col2 limit 200""))"),1092.3652499999996)</f>
        <v>1092.36525</v>
      </c>
      <c r="O3" s="20" t="str">
        <f t="shared" si="2"/>
        <v>Avoid</v>
      </c>
      <c r="P3" s="21" t="str">
        <f t="shared" si="3"/>
        <v>30 DMA</v>
      </c>
      <c r="Q3" s="21" t="str">
        <f t="shared" si="4"/>
        <v/>
      </c>
      <c r="R3" s="22">
        <f>IFERROR(__xludf.DUMMYFUNCTION("GOOGLEFINANCE(B3, ""pe"")
"),119.55)</f>
        <v>119.55</v>
      </c>
    </row>
    <row r="4">
      <c r="A4" s="9" t="s">
        <v>17</v>
      </c>
      <c r="B4" s="11" t="str">
        <f t="shared" si="1"/>
        <v>NSE:IOC</v>
      </c>
      <c r="C4" s="12">
        <f>IFERROR(__xludf.DUMMYFUNCTION("GOOGLEFINANCE(B4,""marketcap"")/10000000"),209135.4249189)</f>
        <v>209135.4249</v>
      </c>
      <c r="D4" s="13">
        <f>IFERROR(__xludf.DUMMYFUNCTION("GOOGLEFINANCE(B4,""price"")"),148.2)</f>
        <v>148.2</v>
      </c>
      <c r="E4" s="14">
        <f>IFERROR(__xludf.DUMMYFUNCTION("GOOGLEFINANCE(B4,""Volume"")"),2864248.0)</f>
        <v>2864248</v>
      </c>
      <c r="F4" s="14">
        <f t="array" ref="F4">F3</f>
        <v>14</v>
      </c>
      <c r="G4" s="15" t="str">
        <f>IFERROR(__xludf.DUMMYFUNCTION("IF(E4&gt;AVERAGE(INDEX(GOOGLEFINANCE(B4,""volume"",WORKDAY(TODAY(),-$F$1),TODAY()),,2)),""Breakout"","""")"),"")</f>
        <v/>
      </c>
      <c r="H4" s="16">
        <f>IFERROR(__xludf.DUMMYFUNCTION("GOOGLEFINANCE(B4,""price"")"),148.2)</f>
        <v>148.2</v>
      </c>
      <c r="I4" s="17">
        <f>IFERROR(__xludf.DUMMYFUNCTION("AVERAGE(QUERY(SORT(GOOGLEFINANCE(B4,""price"",TODAY()-365,TODAY()),1,0),""select Col2 limit 10""))"),150.814)</f>
        <v>150.814</v>
      </c>
      <c r="J4" s="17">
        <f>IFERROR(__xludf.DUMMYFUNCTION("AVERAGE(QUERY(SORT(GOOGLEFINANCE(B4,""price"",TODAY()-365,TODAY()),1,0),""select Col2 limit 30""))"),147.67833333333334)</f>
        <v>147.6783333</v>
      </c>
      <c r="K4" s="18">
        <f>IFERROR(__xludf.DUMMYFUNCTION("AVERAGE(QUERY(SORT(GOOGLEFINANCE(B4,""price"",TODAY()-365,TODAY()),1,0),""select Col2 limit 60""))"),145.31666666666663)</f>
        <v>145.3166667</v>
      </c>
      <c r="L4" s="17">
        <f>IFERROR(__xludf.DUMMYFUNCTION("AVERAGE(QUERY(SORT(GOOGLEFINANCE(B4,""price"",TODAY()-365,TODAY()),1,0),""select Col2 limit 90""))"),141.09444444444443)</f>
        <v>141.0944444</v>
      </c>
      <c r="M4" s="17">
        <f>IFERROR(__xludf.DUMMYFUNCTION("AVERAGE(QUERY(SORT(GOOGLEFINANCE(B4,""price"",TODAY()-365,TODAY()),1,0),""select Col2 limit 120""))"),136.2465)</f>
        <v>136.2465</v>
      </c>
      <c r="N4" s="19">
        <f>IFERROR(__xludf.DUMMYFUNCTION("AVERAGE(QUERY(SORT(GOOGLEFINANCE(B4,""price"",TODAY()-365,TODAY()),1,0),""select Col2 limit 200""))"),138.49420000000006)</f>
        <v>138.4942</v>
      </c>
      <c r="O4" s="20" t="str">
        <f t="shared" si="2"/>
        <v>Avoid</v>
      </c>
      <c r="P4" s="21" t="str">
        <f t="shared" si="3"/>
        <v/>
      </c>
      <c r="Q4" s="21" t="str">
        <f t="shared" si="4"/>
        <v/>
      </c>
      <c r="R4" s="22">
        <f>IFERROR(__xludf.DUMMYFUNCTION("GOOGLEFINANCE(B4, ""pe"")
"),15.0)</f>
        <v>15</v>
      </c>
    </row>
    <row r="5">
      <c r="A5" s="9" t="s">
        <v>18</v>
      </c>
      <c r="B5" s="11" t="str">
        <f t="shared" si="1"/>
        <v>NSE:DLF</v>
      </c>
      <c r="C5" s="12">
        <f>IFERROR(__xludf.DUMMYFUNCTION("GOOGLEFINANCE(B5,""marketcap"")/10000000"),197430.7993167)</f>
        <v>197430.7993</v>
      </c>
      <c r="D5" s="13">
        <f>IFERROR(__xludf.DUMMYFUNCTION("GOOGLEFINANCE(B5,""price"")"),797.8)</f>
        <v>797.8</v>
      </c>
      <c r="E5" s="14">
        <f>IFERROR(__xludf.DUMMYFUNCTION("GOOGLEFINANCE(B5,""Volume"")"),1909510.0)</f>
        <v>1909510</v>
      </c>
      <c r="F5" s="14">
        <f t="array" ref="F5">F4</f>
        <v>14</v>
      </c>
      <c r="G5" s="15" t="str">
        <f>IFERROR(__xludf.DUMMYFUNCTION("IF(E5&gt;AVERAGE(INDEX(GOOGLEFINANCE(B5,""volume"",WORKDAY(TODAY(),-$F$1),TODAY()),,2)),""Breakout"","""")"),"")</f>
        <v/>
      </c>
      <c r="H5" s="16">
        <f>IFERROR(__xludf.DUMMYFUNCTION("GOOGLEFINANCE(B5,""price"")"),797.8)</f>
        <v>797.8</v>
      </c>
      <c r="I5" s="17">
        <f>IFERROR(__xludf.DUMMYFUNCTION("AVERAGE(QUERY(SORT(GOOGLEFINANCE(B5,""price"",TODAY()-365,TODAY()),1,0),""select Col2 limit 10""))"),835.3149999999999)</f>
        <v>835.315</v>
      </c>
      <c r="J5" s="17">
        <f>IFERROR(__xludf.DUMMYFUNCTION("AVERAGE(QUERY(SORT(GOOGLEFINANCE(B5,""price"",TODAY()-365,TODAY()),1,0),""select Col2 limit 30""))"),841.1616666666665)</f>
        <v>841.1616667</v>
      </c>
      <c r="K5" s="18">
        <f>IFERROR(__xludf.DUMMYFUNCTION("AVERAGE(QUERY(SORT(GOOGLEFINANCE(B5,""price"",TODAY()-365,TODAY()),1,0),""select Col2 limit 60""))"),797.9833333333336)</f>
        <v>797.9833333</v>
      </c>
      <c r="L5" s="17">
        <f>IFERROR(__xludf.DUMMYFUNCTION("AVERAGE(QUERY(SORT(GOOGLEFINANCE(B5,""price"",TODAY()-365,TODAY()),1,0),""select Col2 limit 90""))"),754.8138888888892)</f>
        <v>754.8138889</v>
      </c>
      <c r="M5" s="17">
        <f>IFERROR(__xludf.DUMMYFUNCTION("AVERAGE(QUERY(SORT(GOOGLEFINANCE(B5,""price"",TODAY()-365,TODAY()),1,0),""select Col2 limit 120""))"),740.2683333333335)</f>
        <v>740.2683333</v>
      </c>
      <c r="N5" s="19">
        <f>IFERROR(__xludf.DUMMYFUNCTION("AVERAGE(QUERY(SORT(GOOGLEFINANCE(B5,""price"",TODAY()-365,TODAY()),1,0),""select Col2 limit 200""))"),771.1115000000001)</f>
        <v>771.1115</v>
      </c>
      <c r="O5" s="20" t="str">
        <f t="shared" si="2"/>
        <v>Avoid</v>
      </c>
      <c r="P5" s="21" t="str">
        <f t="shared" si="3"/>
        <v>60 DMA</v>
      </c>
      <c r="Q5" s="21" t="str">
        <f t="shared" si="4"/>
        <v/>
      </c>
      <c r="R5" s="22">
        <f>IFERROR(__xludf.DUMMYFUNCTION("GOOGLEFINANCE(B5, ""pe"")
"),45.18)</f>
        <v>45.18</v>
      </c>
    </row>
    <row r="6">
      <c r="A6" s="9" t="s">
        <v>19</v>
      </c>
      <c r="B6" s="11" t="str">
        <f t="shared" si="1"/>
        <v>NSE:TATASTEEL</v>
      </c>
      <c r="C6" s="12">
        <f>IFERROR(__xludf.DUMMYFUNCTION("GOOGLEFINANCE(B6,""marketcap"")/10000000"),200023.5958564)</f>
        <v>200023.5959</v>
      </c>
      <c r="D6" s="13">
        <f>IFERROR(__xludf.DUMMYFUNCTION("GOOGLEFINANCE(B6,""price"")"),160.85)</f>
        <v>160.85</v>
      </c>
      <c r="E6" s="14">
        <f>IFERROR(__xludf.DUMMYFUNCTION("GOOGLEFINANCE(B6,""Volume"")"),8110061.0)</f>
        <v>8110061</v>
      </c>
      <c r="F6" s="14">
        <f t="array" ref="F6">F5</f>
        <v>14</v>
      </c>
      <c r="G6" s="15" t="str">
        <f>IFERROR(__xludf.DUMMYFUNCTION("IF(E6&gt;AVERAGE(INDEX(GOOGLEFINANCE(B6,""volume"",WORKDAY(TODAY(),-$F$1),TODAY()),,2)),""Breakout"","""")"),"")</f>
        <v/>
      </c>
      <c r="H6" s="16">
        <f>IFERROR(__xludf.DUMMYFUNCTION("GOOGLEFINANCE(B6,""price"")"),160.85)</f>
        <v>160.85</v>
      </c>
      <c r="I6" s="17">
        <f>IFERROR(__xludf.DUMMYFUNCTION("AVERAGE(QUERY(SORT(GOOGLEFINANCE(B6,""price"",TODAY()-365,TODAY()),1,0),""select Col2 limit 10""))"),161.278)</f>
        <v>161.278</v>
      </c>
      <c r="J6" s="17">
        <f>IFERROR(__xludf.DUMMYFUNCTION("AVERAGE(QUERY(SORT(GOOGLEFINANCE(B6,""price"",TODAY()-365,TODAY()),1,0),""select Col2 limit 30""))"),159.29066666666665)</f>
        <v>159.2906667</v>
      </c>
      <c r="K6" s="18">
        <f>IFERROR(__xludf.DUMMYFUNCTION("AVERAGE(QUERY(SORT(GOOGLEFINANCE(B6,""price"",TODAY()-365,TODAY()),1,0),""select Col2 limit 60""))"),157.41883333333334)</f>
        <v>157.4188333</v>
      </c>
      <c r="L6" s="17">
        <f>IFERROR(__xludf.DUMMYFUNCTION("AVERAGE(QUERY(SORT(GOOGLEFINANCE(B6,""price"",TODAY()-365,TODAY()),1,0),""select Col2 limit 90""))"),153.37488888888893)</f>
        <v>153.3748889</v>
      </c>
      <c r="M6" s="17">
        <f>IFERROR(__xludf.DUMMYFUNCTION("AVERAGE(QUERY(SORT(GOOGLEFINANCE(B6,""price"",TODAY()-365,TODAY()),1,0),""select Col2 limit 120""))"),149.7509166666667)</f>
        <v>149.7509167</v>
      </c>
      <c r="N6" s="19">
        <f>IFERROR(__xludf.DUMMYFUNCTION("AVERAGE(QUERY(SORT(GOOGLEFINANCE(B6,""price"",TODAY()-365,TODAY()),1,0),""select Col2 limit 200""))"),147.2375)</f>
        <v>147.2375</v>
      </c>
      <c r="O6" s="20" t="str">
        <f t="shared" si="2"/>
        <v>Avoid</v>
      </c>
      <c r="P6" s="21" t="str">
        <f t="shared" si="3"/>
        <v>10 DMA</v>
      </c>
      <c r="Q6" s="21" t="str">
        <f t="shared" si="4"/>
        <v/>
      </c>
      <c r="R6" s="22">
        <f>IFERROR(__xludf.DUMMYFUNCTION("GOOGLEFINANCE(B6, ""pe"")
"),58.43)</f>
        <v>58.43</v>
      </c>
    </row>
    <row r="7">
      <c r="A7" s="9" t="s">
        <v>20</v>
      </c>
      <c r="B7" s="11" t="str">
        <f t="shared" si="1"/>
        <v>NSE:BANKBARODA</v>
      </c>
      <c r="C7" s="12">
        <f>IFERROR(__xludf.DUMMYFUNCTION("GOOGLEFINANCE(B7,""marketcap"")/10000000"),125627.8689853)</f>
        <v>125627.869</v>
      </c>
      <c r="D7" s="13">
        <f>IFERROR(__xludf.DUMMYFUNCTION("GOOGLEFINANCE(B7,""price"")"),242.92)</f>
        <v>242.92</v>
      </c>
      <c r="E7" s="14">
        <f>IFERROR(__xludf.DUMMYFUNCTION("GOOGLEFINANCE(B7,""Volume"")"),7286562.0)</f>
        <v>7286562</v>
      </c>
      <c r="F7" s="14">
        <f t="array" ref="F7">F6</f>
        <v>14</v>
      </c>
      <c r="G7" s="15" t="str">
        <f>IFERROR(__xludf.DUMMYFUNCTION("IF(E7&gt;AVERAGE(INDEX(GOOGLEFINANCE(B7,""volume"",WORKDAY(TODAY(),-$F$1),TODAY()),,2)),""Breakout"","""")"),"Breakout")</f>
        <v>Breakout</v>
      </c>
      <c r="H7" s="16">
        <f>IFERROR(__xludf.DUMMYFUNCTION("GOOGLEFINANCE(B7,""price"")"),242.92)</f>
        <v>242.92</v>
      </c>
      <c r="I7" s="17">
        <f>IFERROR(__xludf.DUMMYFUNCTION("AVERAGE(QUERY(SORT(GOOGLEFINANCE(B7,""price"",TODAY()-365,TODAY()),1,0),""select Col2 limit 10""))"),244.18)</f>
        <v>244.18</v>
      </c>
      <c r="J7" s="17">
        <f>IFERROR(__xludf.DUMMYFUNCTION("AVERAGE(QUERY(SORT(GOOGLEFINANCE(B7,""price"",TODAY()-365,TODAY()),1,0),""select Col2 limit 30""))"),241.1636666666667)</f>
        <v>241.1636667</v>
      </c>
      <c r="K7" s="18">
        <f>IFERROR(__xludf.DUMMYFUNCTION("AVERAGE(QUERY(SORT(GOOGLEFINANCE(B7,""price"",TODAY()-365,TODAY()),1,0),""select Col2 limit 60""))"),240.53983333333335)</f>
        <v>240.5398333</v>
      </c>
      <c r="L7" s="17">
        <f>IFERROR(__xludf.DUMMYFUNCTION("AVERAGE(QUERY(SORT(GOOGLEFINANCE(B7,""price"",TODAY()-365,TODAY()),1,0),""select Col2 limit 90""))"),238.38733333333337)</f>
        <v>238.3873333</v>
      </c>
      <c r="M7" s="17">
        <f>IFERROR(__xludf.DUMMYFUNCTION("AVERAGE(QUERY(SORT(GOOGLEFINANCE(B7,""price"",TODAY()-365,TODAY()),1,0),""select Col2 limit 120""))"),231.0266666666667)</f>
        <v>231.0266667</v>
      </c>
      <c r="N7" s="19">
        <f>IFERROR(__xludf.DUMMYFUNCTION("AVERAGE(QUERY(SORT(GOOGLEFINANCE(B7,""price"",TODAY()-365,TODAY()),1,0),""select Col2 limit 200""))"),236.15674999999985)</f>
        <v>236.15675</v>
      </c>
      <c r="O7" s="20" t="str">
        <f t="shared" si="2"/>
        <v>Avoid</v>
      </c>
      <c r="P7" s="21" t="str">
        <f t="shared" si="3"/>
        <v>10 DMA</v>
      </c>
      <c r="Q7" s="21" t="str">
        <f t="shared" si="4"/>
        <v/>
      </c>
      <c r="R7" s="22">
        <f>IFERROR(__xludf.DUMMYFUNCTION("GOOGLEFINANCE(B7, ""pe"")
"),6.06)</f>
        <v>6.06</v>
      </c>
    </row>
    <row r="8">
      <c r="A8" s="9" t="s">
        <v>21</v>
      </c>
      <c r="B8" s="11" t="str">
        <f t="shared" si="1"/>
        <v>NSE:PNB</v>
      </c>
      <c r="C8" s="12">
        <f>IFERROR(__xludf.DUMMYFUNCTION("GOOGLEFINANCE(B8,""marketcap"")/10000000"),124744.3718122)</f>
        <v>124744.3718</v>
      </c>
      <c r="D8" s="13">
        <f>IFERROR(__xludf.DUMMYFUNCTION("GOOGLEFINANCE(B8,""price"")"),108.5)</f>
        <v>108.5</v>
      </c>
      <c r="E8" s="14">
        <f>IFERROR(__xludf.DUMMYFUNCTION("GOOGLEFINANCE(B8,""Volume"")"),7253722.0)</f>
        <v>7253722</v>
      </c>
      <c r="F8" s="14">
        <f t="array" ref="F8">F7</f>
        <v>14</v>
      </c>
      <c r="G8" s="15" t="str">
        <f>IFERROR(__xludf.DUMMYFUNCTION("IF(E8&gt;AVERAGE(INDEX(GOOGLEFINANCE(B8,""volume"",WORKDAY(TODAY(),-$F$1),TODAY()),,2)),""Breakout"","""")"),"")</f>
        <v/>
      </c>
      <c r="H8" s="16">
        <f>IFERROR(__xludf.DUMMYFUNCTION("GOOGLEFINANCE(B8,""price"")"),108.5)</f>
        <v>108.5</v>
      </c>
      <c r="I8" s="17">
        <f>IFERROR(__xludf.DUMMYFUNCTION("AVERAGE(QUERY(SORT(GOOGLEFINANCE(B8,""price"",TODAY()-365,TODAY()),1,0),""select Col2 limit 10""))"),111.6)</f>
        <v>111.6</v>
      </c>
      <c r="J8" s="17">
        <f>IFERROR(__xludf.DUMMYFUNCTION("AVERAGE(QUERY(SORT(GOOGLEFINANCE(B8,""price"",TODAY()-365,TODAY()),1,0),""select Col2 limit 30""))"),109.39399999999999)</f>
        <v>109.394</v>
      </c>
      <c r="K8" s="18">
        <f>IFERROR(__xludf.DUMMYFUNCTION("AVERAGE(QUERY(SORT(GOOGLEFINANCE(B8,""price"",TODAY()-365,TODAY()),1,0),""select Col2 limit 60""))"),105.91383333333332)</f>
        <v>105.9138333</v>
      </c>
      <c r="L8" s="17">
        <f>IFERROR(__xludf.DUMMYFUNCTION("AVERAGE(QUERY(SORT(GOOGLEFINANCE(B8,""price"",TODAY()-365,TODAY()),1,0),""select Col2 limit 90""))"),102.94188888888887)</f>
        <v>102.9418889</v>
      </c>
      <c r="M8" s="17">
        <f>IFERROR(__xludf.DUMMYFUNCTION("AVERAGE(QUERY(SORT(GOOGLEFINANCE(B8,""price"",TODAY()-365,TODAY()),1,0),""select Col2 limit 120""))"),100.64316666666666)</f>
        <v>100.6431667</v>
      </c>
      <c r="N8" s="19">
        <f>IFERROR(__xludf.DUMMYFUNCTION("AVERAGE(QUERY(SORT(GOOGLEFINANCE(B8,""price"",TODAY()-365,TODAY()),1,0),""select Col2 limit 200""))"),101.47485)</f>
        <v>101.47485</v>
      </c>
      <c r="O8" s="20" t="str">
        <f t="shared" si="2"/>
        <v>Avoid</v>
      </c>
      <c r="P8" s="21" t="str">
        <f t="shared" si="3"/>
        <v>30 DMA</v>
      </c>
      <c r="Q8" s="21" t="str">
        <f t="shared" si="4"/>
        <v/>
      </c>
      <c r="R8" s="22">
        <f>IFERROR(__xludf.DUMMYFUNCTION("GOOGLEFINANCE(B8, ""pe"")
"),6.61)</f>
        <v>6.61</v>
      </c>
    </row>
    <row r="9">
      <c r="A9" s="9" t="s">
        <v>22</v>
      </c>
      <c r="B9" s="11" t="str">
        <f t="shared" si="1"/>
        <v>NSE:UNIONBANK</v>
      </c>
      <c r="C9" s="12">
        <f>IFERROR(__xludf.DUMMYFUNCTION("GOOGLEFINANCE(B9,""marketcap"")/10000000"),103545.4664207)</f>
        <v>103545.4664</v>
      </c>
      <c r="D9" s="13">
        <f>IFERROR(__xludf.DUMMYFUNCTION("GOOGLEFINANCE(B9,""price"")"),135.77)</f>
        <v>135.77</v>
      </c>
      <c r="E9" s="14">
        <f>IFERROR(__xludf.DUMMYFUNCTION("GOOGLEFINANCE(B9,""Volume"")"),7510761.0)</f>
        <v>7510761</v>
      </c>
      <c r="F9" s="14">
        <f t="array" ref="F9">F8</f>
        <v>14</v>
      </c>
      <c r="G9" s="15" t="str">
        <f>IFERROR(__xludf.DUMMYFUNCTION("IF(E9&gt;AVERAGE(INDEX(GOOGLEFINANCE(B9,""volume"",WORKDAY(TODAY(),-$F$1),TODAY()),,2)),""Breakout"","""")"),"")</f>
        <v/>
      </c>
      <c r="H9" s="16">
        <f>IFERROR(__xludf.DUMMYFUNCTION("GOOGLEFINANCE(B9,""price"")"),135.77)</f>
        <v>135.77</v>
      </c>
      <c r="I9" s="17">
        <f>IFERROR(__xludf.DUMMYFUNCTION("AVERAGE(QUERY(SORT(GOOGLEFINANCE(B9,""price"",TODAY()-365,TODAY()),1,0),""select Col2 limit 10""))"),144.449)</f>
        <v>144.449</v>
      </c>
      <c r="J9" s="17">
        <f>IFERROR(__xludf.DUMMYFUNCTION("AVERAGE(QUERY(SORT(GOOGLEFINANCE(B9,""price"",TODAY()-365,TODAY()),1,0),""select Col2 limit 30""))"),146.53433333333336)</f>
        <v>146.5343333</v>
      </c>
      <c r="K9" s="18">
        <f>IFERROR(__xludf.DUMMYFUNCTION("AVERAGE(QUERY(SORT(GOOGLEFINANCE(B9,""price"",TODAY()-365,TODAY()),1,0),""select Col2 limit 60""))"),143.11866666666666)</f>
        <v>143.1186667</v>
      </c>
      <c r="L9" s="17">
        <f>IFERROR(__xludf.DUMMYFUNCTION("AVERAGE(QUERY(SORT(GOOGLEFINANCE(B9,""price"",TODAY()-365,TODAY()),1,0),""select Col2 limit 90""))"),136.70522222222223)</f>
        <v>136.7052222</v>
      </c>
      <c r="M9" s="17">
        <f>IFERROR(__xludf.DUMMYFUNCTION("AVERAGE(QUERY(SORT(GOOGLEFINANCE(B9,""price"",TODAY()-365,TODAY()),1,0),""select Col2 limit 120""))"),131.0695)</f>
        <v>131.0695</v>
      </c>
      <c r="N9" s="19">
        <f>IFERROR(__xludf.DUMMYFUNCTION("AVERAGE(QUERY(SORT(GOOGLEFINANCE(B9,""price"",TODAY()-365,TODAY()),1,0),""select Col2 limit 200""))"),125.25155000000007)</f>
        <v>125.25155</v>
      </c>
      <c r="O9" s="20" t="str">
        <f t="shared" si="2"/>
        <v>Avoid</v>
      </c>
      <c r="P9" s="21" t="str">
        <f t="shared" si="3"/>
        <v>90 DMA</v>
      </c>
      <c r="Q9" s="21" t="str">
        <f t="shared" si="4"/>
        <v/>
      </c>
      <c r="R9" s="22">
        <f>IFERROR(__xludf.DUMMYFUNCTION("GOOGLEFINANCE(B9, ""pe"")
"),5.51)</f>
        <v>5.51</v>
      </c>
    </row>
    <row r="10">
      <c r="A10" s="9" t="s">
        <v>23</v>
      </c>
      <c r="B10" s="11" t="str">
        <f t="shared" si="1"/>
        <v>NSE:CANBK</v>
      </c>
      <c r="C10" s="12">
        <f>IFERROR(__xludf.DUMMYFUNCTION("GOOGLEFINANCE(B10,""marketcap"")/10000000"),101001.6640959)</f>
        <v>101001.6641</v>
      </c>
      <c r="D10" s="13">
        <f>IFERROR(__xludf.DUMMYFUNCTION("GOOGLEFINANCE(B10,""price"")"),111.38)</f>
        <v>111.38</v>
      </c>
      <c r="E10" s="14">
        <f>IFERROR(__xludf.DUMMYFUNCTION("GOOGLEFINANCE(B10,""Volume"")"),1.4914262E7)</f>
        <v>14914262</v>
      </c>
      <c r="F10" s="14">
        <f t="array" ref="F10">F9</f>
        <v>14</v>
      </c>
      <c r="G10" s="15" t="str">
        <f>IFERROR(__xludf.DUMMYFUNCTION("IF(E10&gt;AVERAGE(INDEX(GOOGLEFINANCE(B10,""volume"",WORKDAY(TODAY(),-$F$1),TODAY()),,2)),""Breakout"","""")"),"")</f>
        <v/>
      </c>
      <c r="H10" s="16">
        <f>IFERROR(__xludf.DUMMYFUNCTION("GOOGLEFINANCE(B10,""price"")"),111.38)</f>
        <v>111.38</v>
      </c>
      <c r="I10" s="17">
        <f>IFERROR(__xludf.DUMMYFUNCTION("AVERAGE(QUERY(SORT(GOOGLEFINANCE(B10,""price"",TODAY()-365,TODAY()),1,0),""select Col2 limit 10""))"),112.77000000000001)</f>
        <v>112.77</v>
      </c>
      <c r="J10" s="17">
        <f>IFERROR(__xludf.DUMMYFUNCTION("AVERAGE(QUERY(SORT(GOOGLEFINANCE(B10,""price"",TODAY()-365,TODAY()),1,0),""select Col2 limit 30""))"),113.55633333333338)</f>
        <v>113.5563333</v>
      </c>
      <c r="K10" s="18">
        <f>IFERROR(__xludf.DUMMYFUNCTION("AVERAGE(QUERY(SORT(GOOGLEFINANCE(B10,""price"",TODAY()-365,TODAY()),1,0),""select Col2 limit 60""))"),108.89816666666668)</f>
        <v>108.8981667</v>
      </c>
      <c r="L10" s="17">
        <f>IFERROR(__xludf.DUMMYFUNCTION("AVERAGE(QUERY(SORT(GOOGLEFINANCE(B10,""price"",TODAY()-365,TODAY()),1,0),""select Col2 limit 90""))"),102.17022222222226)</f>
        <v>102.1702222</v>
      </c>
      <c r="M10" s="17">
        <f>IFERROR(__xludf.DUMMYFUNCTION("AVERAGE(QUERY(SORT(GOOGLEFINANCE(B10,""price"",TODAY()-365,TODAY()),1,0),""select Col2 limit 120""))"),99.27658333333336)</f>
        <v>99.27658333</v>
      </c>
      <c r="N10" s="19">
        <f>IFERROR(__xludf.DUMMYFUNCTION("AVERAGE(QUERY(SORT(GOOGLEFINANCE(B10,""price"",TODAY()-365,TODAY()),1,0),""select Col2 limit 200""))"),100.55390000000003)</f>
        <v>100.5539</v>
      </c>
      <c r="O10" s="20" t="str">
        <f t="shared" si="2"/>
        <v>Avoid</v>
      </c>
      <c r="P10" s="21" t="str">
        <f t="shared" si="3"/>
        <v/>
      </c>
      <c r="Q10" s="21" t="str">
        <f t="shared" si="4"/>
        <v/>
      </c>
      <c r="R10" s="22">
        <f>IFERROR(__xludf.DUMMYFUNCTION("GOOGLEFINANCE(B10, ""pe"")
"),6.06)</f>
        <v>6.06</v>
      </c>
    </row>
    <row r="11">
      <c r="A11" s="9" t="s">
        <v>24</v>
      </c>
      <c r="B11" s="11" t="str">
        <f t="shared" si="1"/>
        <v>NSE:ATGL</v>
      </c>
      <c r="C11" s="12">
        <f>IFERROR(__xludf.DUMMYFUNCTION("GOOGLEFINANCE(B11,""marketcap"")/10000000"),69068.068)</f>
        <v>69068.068</v>
      </c>
      <c r="D11" s="13">
        <f>IFERROR(__xludf.DUMMYFUNCTION("GOOGLEFINANCE(B11,""price"")"),628.0)</f>
        <v>628</v>
      </c>
      <c r="E11" s="14">
        <f>IFERROR(__xludf.DUMMYFUNCTION("GOOGLEFINANCE(B11,""Volume"")"),296520.0)</f>
        <v>296520</v>
      </c>
      <c r="F11" s="14">
        <f t="array" ref="F11">F10</f>
        <v>14</v>
      </c>
      <c r="G11" s="15" t="str">
        <f>IFERROR(__xludf.DUMMYFUNCTION("IF(E11&gt;AVERAGE(INDEX(GOOGLEFINANCE(B11,""volume"",WORKDAY(TODAY(),-$F$1),TODAY()),,2)),""Breakout"","""")"),"")</f>
        <v/>
      </c>
      <c r="H11" s="16">
        <f>IFERROR(__xludf.DUMMYFUNCTION("GOOGLEFINANCE(B11,""price"")"),628.0)</f>
        <v>628</v>
      </c>
      <c r="I11" s="17">
        <f>IFERROR(__xludf.DUMMYFUNCTION("AVERAGE(QUERY(SORT(GOOGLEFINANCE(B11,""price"",TODAY()-365,TODAY()),1,0),""select Col2 limit 10""))"),649.5099999999999)</f>
        <v>649.51</v>
      </c>
      <c r="J11" s="17">
        <f>IFERROR(__xludf.DUMMYFUNCTION("AVERAGE(QUERY(SORT(GOOGLEFINANCE(B11,""price"",TODAY()-365,TODAY()),1,0),""select Col2 limit 30""))"),650.0766666666666)</f>
        <v>650.0766667</v>
      </c>
      <c r="K11" s="18">
        <f>IFERROR(__xludf.DUMMYFUNCTION("AVERAGE(QUERY(SORT(GOOGLEFINANCE(B11,""price"",TODAY()-365,TODAY()),1,0),""select Col2 limit 60""))"),657.6491666666665)</f>
        <v>657.6491667</v>
      </c>
      <c r="L11" s="17">
        <f>IFERROR(__xludf.DUMMYFUNCTION("AVERAGE(QUERY(SORT(GOOGLEFINANCE(B11,""price"",TODAY()-365,TODAY()),1,0),""select Col2 limit 90""))"),640.5755555555554)</f>
        <v>640.5755556</v>
      </c>
      <c r="M11" s="17">
        <f>IFERROR(__xludf.DUMMYFUNCTION("AVERAGE(QUERY(SORT(GOOGLEFINANCE(B11,""price"",TODAY()-365,TODAY()),1,0),""select Col2 limit 120""))"),629.6658333333331)</f>
        <v>629.6658333</v>
      </c>
      <c r="N11" s="19">
        <f>IFERROR(__xludf.DUMMYFUNCTION("AVERAGE(QUERY(SORT(GOOGLEFINANCE(B11,""price"",TODAY()-365,TODAY()),1,0),""select Col2 limit 200""))"),659.5364999999999)</f>
        <v>659.5365</v>
      </c>
      <c r="O11" s="20" t="str">
        <f t="shared" si="2"/>
        <v>Avoid</v>
      </c>
      <c r="P11" s="21" t="str">
        <f t="shared" si="3"/>
        <v>120 DMA</v>
      </c>
      <c r="Q11" s="21" t="str">
        <f t="shared" si="4"/>
        <v/>
      </c>
      <c r="R11" s="22">
        <f>IFERROR(__xludf.DUMMYFUNCTION("GOOGLEFINANCE(B11, ""pe"")
"),105.54)</f>
        <v>105.54</v>
      </c>
    </row>
    <row r="12">
      <c r="A12" s="9" t="s">
        <v>25</v>
      </c>
      <c r="B12" s="11" t="str">
        <f t="shared" si="1"/>
        <v>NSE:IRCTC</v>
      </c>
      <c r="C12" s="12">
        <f>IFERROR(__xludf.DUMMYFUNCTION("GOOGLEFINANCE(B12,""marketcap"")/10000000"),59160.4746733)</f>
        <v>59160.47467</v>
      </c>
      <c r="D12" s="13">
        <f>IFERROR(__xludf.DUMMYFUNCTION("GOOGLEFINANCE(B12,""price"")"),739.2)</f>
        <v>739.2</v>
      </c>
      <c r="E12" s="14">
        <f>IFERROR(__xludf.DUMMYFUNCTION("GOOGLEFINANCE(B12,""Volume"")"),219105.0)</f>
        <v>219105</v>
      </c>
      <c r="F12" s="14">
        <f t="array" ref="F12">F11</f>
        <v>14</v>
      </c>
      <c r="G12" s="15" t="str">
        <f>IFERROR(__xludf.DUMMYFUNCTION("IF(E12&gt;AVERAGE(INDEX(GOOGLEFINANCE(B12,""volume"",WORKDAY(TODAY(),-$F$1),TODAY()),,2)),""Breakout"","""")"),"")</f>
        <v/>
      </c>
      <c r="H12" s="16">
        <f>IFERROR(__xludf.DUMMYFUNCTION("GOOGLEFINANCE(B12,""price"")"),739.2)</f>
        <v>739.2</v>
      </c>
      <c r="I12" s="17">
        <f>IFERROR(__xludf.DUMMYFUNCTION("AVERAGE(QUERY(SORT(GOOGLEFINANCE(B12,""price"",TODAY()-365,TODAY()),1,0),""select Col2 limit 10""))"),765.7300000000001)</f>
        <v>765.73</v>
      </c>
      <c r="J12" s="17">
        <f>IFERROR(__xludf.DUMMYFUNCTION("AVERAGE(QUERY(SORT(GOOGLEFINANCE(B12,""price"",TODAY()-365,TODAY()),1,0),""select Col2 limit 30""))"),770.3516666666667)</f>
        <v>770.3516667</v>
      </c>
      <c r="K12" s="18">
        <f>IFERROR(__xludf.DUMMYFUNCTION("AVERAGE(QUERY(SORT(GOOGLEFINANCE(B12,""price"",TODAY()-365,TODAY()),1,0),""select Col2 limit 60""))"),771.9691666666666)</f>
        <v>771.9691667</v>
      </c>
      <c r="L12" s="17">
        <f>IFERROR(__xludf.DUMMYFUNCTION("AVERAGE(QUERY(SORT(GOOGLEFINANCE(B12,""price"",TODAY()-365,TODAY()),1,0),""select Col2 limit 90""))"),759.9905555555555)</f>
        <v>759.9905556</v>
      </c>
      <c r="M12" s="17">
        <f>IFERROR(__xludf.DUMMYFUNCTION("AVERAGE(QUERY(SORT(GOOGLEFINANCE(B12,""price"",TODAY()-365,TODAY()),1,0),""select Col2 limit 120""))"),752.6650000000001)</f>
        <v>752.665</v>
      </c>
      <c r="N12" s="19">
        <f>IFERROR(__xludf.DUMMYFUNCTION("AVERAGE(QUERY(SORT(GOOGLEFINANCE(B12,""price"",TODAY()-365,TODAY()),1,0),""select Col2 limit 200""))"),777.6222499999999)</f>
        <v>777.62225</v>
      </c>
      <c r="O12" s="20" t="str">
        <f t="shared" si="2"/>
        <v>Avoid</v>
      </c>
      <c r="P12" s="21" t="str">
        <f t="shared" si="3"/>
        <v/>
      </c>
      <c r="Q12" s="21" t="str">
        <f t="shared" si="4"/>
        <v/>
      </c>
      <c r="R12" s="22">
        <f>IFERROR(__xludf.DUMMYFUNCTION("GOOGLEFINANCE(B12, ""pe"")
"),44.97)</f>
        <v>44.97</v>
      </c>
    </row>
    <row r="13">
      <c r="A13" s="9" t="s">
        <v>26</v>
      </c>
      <c r="B13" s="11" t="str">
        <f t="shared" si="1"/>
        <v>NSE:NMDC</v>
      </c>
      <c r="C13" s="12">
        <f>IFERROR(__xludf.DUMMYFUNCTION("GOOGLEFINANCE(B13,""marketcap"")/10000000"),62492.2439538)</f>
        <v>62492.24395</v>
      </c>
      <c r="D13" s="13">
        <f>IFERROR(__xludf.DUMMYFUNCTION("GOOGLEFINANCE(B13,""price"")"),71.1)</f>
        <v>71.1</v>
      </c>
      <c r="E13" s="14">
        <f>IFERROR(__xludf.DUMMYFUNCTION("GOOGLEFINANCE(B13,""Volume"")"),6860894.0)</f>
        <v>6860894</v>
      </c>
      <c r="F13" s="14">
        <f t="array" ref="F13">F12</f>
        <v>14</v>
      </c>
      <c r="G13" s="15" t="str">
        <f>IFERROR(__xludf.DUMMYFUNCTION("IF(E13&gt;AVERAGE(INDEX(GOOGLEFINANCE(B13,""volume"",WORKDAY(TODAY(),-$F$1),TODAY()),,2)),""Breakout"","""")"),"")</f>
        <v/>
      </c>
      <c r="H13" s="16">
        <f>IFERROR(__xludf.DUMMYFUNCTION("GOOGLEFINANCE(B13,""price"")"),71.1)</f>
        <v>71.1</v>
      </c>
      <c r="I13" s="17">
        <f>IFERROR(__xludf.DUMMYFUNCTION("AVERAGE(QUERY(SORT(GOOGLEFINANCE(B13,""price"",TODAY()-365,TODAY()),1,0),""select Col2 limit 10""))"),70.81199999999998)</f>
        <v>70.812</v>
      </c>
      <c r="J13" s="17">
        <f>IFERROR(__xludf.DUMMYFUNCTION("AVERAGE(QUERY(SORT(GOOGLEFINANCE(B13,""price"",TODAY()-365,TODAY()),1,0),""select Col2 limit 30""))"),69.45733333333334)</f>
        <v>69.45733333</v>
      </c>
      <c r="K13" s="18">
        <f>IFERROR(__xludf.DUMMYFUNCTION("AVERAGE(QUERY(SORT(GOOGLEFINANCE(B13,""price"",TODAY()-365,TODAY()),1,0),""select Col2 limit 60""))"),69.78916666666666)</f>
        <v>69.78916667</v>
      </c>
      <c r="L13" s="17">
        <f>IFERROR(__xludf.DUMMYFUNCTION("AVERAGE(QUERY(SORT(GOOGLEFINANCE(B13,""price"",TODAY()-365,TODAY()),1,0),""select Col2 limit 90""))"),68.719)</f>
        <v>68.719</v>
      </c>
      <c r="M13" s="17">
        <f>IFERROR(__xludf.DUMMYFUNCTION("AVERAGE(QUERY(SORT(GOOGLEFINANCE(B13,""price"",TODAY()-365,TODAY()),1,0),""select Col2 limit 120""))"),67.67641666666667)</f>
        <v>67.67641667</v>
      </c>
      <c r="N13" s="19">
        <f>IFERROR(__xludf.DUMMYFUNCTION("AVERAGE(QUERY(SORT(GOOGLEFINANCE(B13,""price"",TODAY()-365,TODAY()),1,0),""select Col2 limit 200""))"),69.70499999999998)</f>
        <v>69.705</v>
      </c>
      <c r="O13" s="20" t="str">
        <f t="shared" si="2"/>
        <v>Avoid</v>
      </c>
      <c r="P13" s="21" t="str">
        <f t="shared" si="3"/>
        <v/>
      </c>
      <c r="Q13" s="21" t="str">
        <f t="shared" si="4"/>
        <v/>
      </c>
      <c r="R13" s="22">
        <f>IFERROR(__xludf.DUMMYFUNCTION("GOOGLEFINANCE(B13, ""pe"")
"),9.55)</f>
        <v>9.55</v>
      </c>
    </row>
    <row r="14">
      <c r="A14" s="9" t="s">
        <v>27</v>
      </c>
      <c r="B14" s="11" t="str">
        <f t="shared" si="1"/>
        <v>NSE:SAIL</v>
      </c>
      <c r="C14" s="12">
        <f>IFERROR(__xludf.DUMMYFUNCTION("GOOGLEFINANCE(B14,""marketcap"")/10000000"),52420.4942876)</f>
        <v>52420.49429</v>
      </c>
      <c r="D14" s="13">
        <f>IFERROR(__xludf.DUMMYFUNCTION("GOOGLEFINANCE(B14,""price"")"),126.8)</f>
        <v>126.8</v>
      </c>
      <c r="E14" s="14">
        <f>IFERROR(__xludf.DUMMYFUNCTION("GOOGLEFINANCE(B14,""Volume"")"),2.096765E7)</f>
        <v>20967650</v>
      </c>
      <c r="F14" s="14">
        <f t="array" ref="F14">F13</f>
        <v>14</v>
      </c>
      <c r="G14" s="15" t="str">
        <f>IFERROR(__xludf.DUMMYFUNCTION("IF(E14&gt;AVERAGE(INDEX(GOOGLEFINANCE(B14,""volume"",WORKDAY(TODAY(),-$F$1),TODAY()),,2)),""Breakout"","""")"),"Breakout")</f>
        <v>Breakout</v>
      </c>
      <c r="H14" s="16">
        <f>IFERROR(__xludf.DUMMYFUNCTION("GOOGLEFINANCE(B14,""price"")"),126.8)</f>
        <v>126.8</v>
      </c>
      <c r="I14" s="17">
        <f>IFERROR(__xludf.DUMMYFUNCTION("AVERAGE(QUERY(SORT(GOOGLEFINANCE(B14,""price"",TODAY()-365,TODAY()),1,0),""select Col2 limit 10""))"),134.72600000000003)</f>
        <v>134.726</v>
      </c>
      <c r="J14" s="17">
        <f>IFERROR(__xludf.DUMMYFUNCTION("AVERAGE(QUERY(SORT(GOOGLEFINANCE(B14,""price"",TODAY()-365,TODAY()),1,0),""select Col2 limit 30""))"),132.64033333333333)</f>
        <v>132.6403333</v>
      </c>
      <c r="K14" s="18">
        <f>IFERROR(__xludf.DUMMYFUNCTION("AVERAGE(QUERY(SORT(GOOGLEFINANCE(B14,""price"",TODAY()-365,TODAY()),1,0),""select Col2 limit 60""))"),128.75583333333333)</f>
        <v>128.7558333</v>
      </c>
      <c r="L14" s="17">
        <f>IFERROR(__xludf.DUMMYFUNCTION("AVERAGE(QUERY(SORT(GOOGLEFINANCE(B14,""price"",TODAY()-365,TODAY()),1,0),""select Col2 limit 90""))"),123.66766666666663)</f>
        <v>123.6676667</v>
      </c>
      <c r="M14" s="17">
        <f>IFERROR(__xludf.DUMMYFUNCTION("AVERAGE(QUERY(SORT(GOOGLEFINANCE(B14,""price"",TODAY()-365,TODAY()),1,0),""select Col2 limit 120""))"),119.55549999999997)</f>
        <v>119.5555</v>
      </c>
      <c r="N14" s="19">
        <f>IFERROR(__xludf.DUMMYFUNCTION("AVERAGE(QUERY(SORT(GOOGLEFINANCE(B14,""price"",TODAY()-365,TODAY()),1,0),""select Col2 limit 200""))"),118.71479999999994)</f>
        <v>118.7148</v>
      </c>
      <c r="O14" s="20" t="str">
        <f t="shared" si="2"/>
        <v>Avoid</v>
      </c>
      <c r="P14" s="21" t="str">
        <f t="shared" si="3"/>
        <v/>
      </c>
      <c r="Q14" s="21" t="str">
        <f t="shared" si="4"/>
        <v/>
      </c>
      <c r="R14" s="22">
        <f>IFERROR(__xludf.DUMMYFUNCTION("GOOGLEFINANCE(B14, ""pe"")
"),22.1)</f>
        <v>22.1</v>
      </c>
    </row>
    <row r="15">
      <c r="A15" s="9" t="s">
        <v>28</v>
      </c>
      <c r="B15" s="11" t="str">
        <f t="shared" si="1"/>
        <v>NSE:MRF</v>
      </c>
      <c r="C15" s="12">
        <f>IFERROR(__xludf.DUMMYFUNCTION("GOOGLEFINANCE(B15,""marketcap"")/10000000"),63288.441495)</f>
        <v>63288.4415</v>
      </c>
      <c r="D15" s="13">
        <f>IFERROR(__xludf.DUMMYFUNCTION("GOOGLEFINANCE(B15,""price"")"),149245.0)</f>
        <v>149245</v>
      </c>
      <c r="E15" s="14">
        <f>IFERROR(__xludf.DUMMYFUNCTION("GOOGLEFINANCE(B15,""Volume"")"),2446.0)</f>
        <v>2446</v>
      </c>
      <c r="F15" s="14">
        <f t="array" ref="F15">F14</f>
        <v>14</v>
      </c>
      <c r="G15" s="15" t="str">
        <f>IFERROR(__xludf.DUMMYFUNCTION("IF(E15&gt;AVERAGE(INDEX(GOOGLEFINANCE(B15,""volume"",WORKDAY(TODAY(),-$F$1),TODAY()),,2)),""Breakout"","""")"),"")</f>
        <v/>
      </c>
      <c r="H15" s="16">
        <f>IFERROR(__xludf.DUMMYFUNCTION("GOOGLEFINANCE(B15,""price"")"),149245.0)</f>
        <v>149245</v>
      </c>
      <c r="I15" s="17">
        <f>IFERROR(__xludf.DUMMYFUNCTION("AVERAGE(QUERY(SORT(GOOGLEFINANCE(B15,""price"",TODAY()-365,TODAY()),1,0),""select Col2 limit 10""))"),149639.5)</f>
        <v>149639.5</v>
      </c>
      <c r="J15" s="17">
        <f>IFERROR(__xludf.DUMMYFUNCTION("AVERAGE(QUERY(SORT(GOOGLEFINANCE(B15,""price"",TODAY()-365,TODAY()),1,0),""select Col2 limit 30""))"),144354.0)</f>
        <v>144354</v>
      </c>
      <c r="K15" s="18">
        <f>IFERROR(__xludf.DUMMYFUNCTION("AVERAGE(QUERY(SORT(GOOGLEFINANCE(B15,""price"",TODAY()-365,TODAY()),1,0),""select Col2 limit 60""))"),142090.25)</f>
        <v>142090.25</v>
      </c>
      <c r="L15" s="17">
        <f>IFERROR(__xludf.DUMMYFUNCTION("AVERAGE(QUERY(SORT(GOOGLEFINANCE(B15,""price"",TODAY()-365,TODAY()),1,0),""select Col2 limit 90""))"),134416.1927777778)</f>
        <v>134416.1928</v>
      </c>
      <c r="M15" s="17">
        <f>IFERROR(__xludf.DUMMYFUNCTION("AVERAGE(QUERY(SORT(GOOGLEFINANCE(B15,""price"",TODAY()-365,TODAY()),1,0),""select Col2 limit 120""))"),128159.42874999998)</f>
        <v>128159.4288</v>
      </c>
      <c r="N15" s="19">
        <f>IFERROR(__xludf.DUMMYFUNCTION("AVERAGE(QUERY(SORT(GOOGLEFINANCE(B15,""price"",TODAY()-365,TODAY()),1,0),""select Col2 limit 200""))"),126791.75875)</f>
        <v>126791.7588</v>
      </c>
      <c r="O15" s="20" t="str">
        <f t="shared" si="2"/>
        <v>Avoid</v>
      </c>
      <c r="P15" s="21" t="str">
        <f t="shared" si="3"/>
        <v>10 DMA</v>
      </c>
      <c r="Q15" s="21" t="str">
        <f t="shared" si="4"/>
        <v/>
      </c>
      <c r="R15" s="22">
        <f>IFERROR(__xludf.DUMMYFUNCTION("GOOGLEFINANCE(B15, ""pe"")
"),33.86)</f>
        <v>33.86</v>
      </c>
    </row>
    <row r="16">
      <c r="A16" s="9" t="s">
        <v>29</v>
      </c>
      <c r="B16" s="11" t="str">
        <f t="shared" si="1"/>
        <v>NSE:CENTRALBK</v>
      </c>
      <c r="C16" s="12">
        <f>IFERROR(__xludf.DUMMYFUNCTION("GOOGLEFINANCE(B16,""marketcap"")/10000000"),33372.5182072)</f>
        <v>33372.51821</v>
      </c>
      <c r="D16" s="13">
        <f>IFERROR(__xludf.DUMMYFUNCTION("GOOGLEFINANCE(B16,""price"")"),36.83)</f>
        <v>36.83</v>
      </c>
      <c r="E16" s="14">
        <f>IFERROR(__xludf.DUMMYFUNCTION("GOOGLEFINANCE(B16,""Volume"")"),3053772.0)</f>
        <v>3053772</v>
      </c>
      <c r="F16" s="14">
        <f t="array" ref="F16">F15</f>
        <v>14</v>
      </c>
      <c r="G16" s="15" t="str">
        <f>IFERROR(__xludf.DUMMYFUNCTION("IF(E16&gt;AVERAGE(INDEX(GOOGLEFINANCE(B16,""volume"",WORKDAY(TODAY(),-$F$1),TODAY()),,2)),""Breakout"","""")"),"")</f>
        <v/>
      </c>
      <c r="H16" s="16">
        <f>IFERROR(__xludf.DUMMYFUNCTION("GOOGLEFINANCE(B16,""price"")"),36.83)</f>
        <v>36.83</v>
      </c>
      <c r="I16" s="17">
        <f>IFERROR(__xludf.DUMMYFUNCTION("AVERAGE(QUERY(SORT(GOOGLEFINANCE(B16,""price"",TODAY()-365,TODAY()),1,0),""select Col2 limit 10""))"),38.015)</f>
        <v>38.015</v>
      </c>
      <c r="J16" s="17">
        <f>IFERROR(__xludf.DUMMYFUNCTION("AVERAGE(QUERY(SORT(GOOGLEFINANCE(B16,""price"",TODAY()-365,TODAY()),1,0),""select Col2 limit 30""))"),38.53300000000001)</f>
        <v>38.533</v>
      </c>
      <c r="K16" s="18">
        <f>IFERROR(__xludf.DUMMYFUNCTION("AVERAGE(QUERY(SORT(GOOGLEFINANCE(B16,""price"",TODAY()-365,TODAY()),1,0),""select Col2 limit 60""))"),38.107000000000006)</f>
        <v>38.107</v>
      </c>
      <c r="L16" s="17">
        <f>IFERROR(__xludf.DUMMYFUNCTION("AVERAGE(QUERY(SORT(GOOGLEFINANCE(B16,""price"",TODAY()-365,TODAY()),1,0),""select Col2 limit 90""))"),38.437555555555555)</f>
        <v>38.43755556</v>
      </c>
      <c r="M16" s="17">
        <f>IFERROR(__xludf.DUMMYFUNCTION("AVERAGE(QUERY(SORT(GOOGLEFINANCE(B16,""price"",TODAY()-365,TODAY()),1,0),""select Col2 limit 120""))"),40.59024999999999)</f>
        <v>40.59025</v>
      </c>
      <c r="N16" s="19">
        <f>IFERROR(__xludf.DUMMYFUNCTION("AVERAGE(QUERY(SORT(GOOGLEFINANCE(B16,""price"",TODAY()-365,TODAY()),1,0),""select Col2 limit 200""))"),46.346799999999966)</f>
        <v>46.3468</v>
      </c>
      <c r="O16" s="20" t="str">
        <f t="shared" si="2"/>
        <v>Avoid</v>
      </c>
      <c r="P16" s="21" t="str">
        <f t="shared" si="3"/>
        <v/>
      </c>
      <c r="Q16" s="21" t="str">
        <f t="shared" si="4"/>
        <v/>
      </c>
      <c r="R16" s="22">
        <f>IFERROR(__xludf.DUMMYFUNCTION("GOOGLEFINANCE(B16, ""pe"")
"),7.57)</f>
        <v>7.57</v>
      </c>
    </row>
    <row r="17">
      <c r="A17" s="9" t="s">
        <v>30</v>
      </c>
      <c r="B17" s="11" t="str">
        <f t="shared" si="1"/>
        <v>NSE:SUNDARMFIN</v>
      </c>
      <c r="C17" s="12">
        <f>IFERROR(__xludf.DUMMYFUNCTION("GOOGLEFINANCE(B17,""marketcap"")/10000000"),54323.5714)</f>
        <v>54323.5714</v>
      </c>
      <c r="D17" s="13">
        <f>IFERROR(__xludf.DUMMYFUNCTION("GOOGLEFINANCE(B17,""price"")"),4937.0)</f>
        <v>4937</v>
      </c>
      <c r="E17" s="14">
        <f>IFERROR(__xludf.DUMMYFUNCTION("GOOGLEFINANCE(B17,""Volume"")"),8018.0)</f>
        <v>8018</v>
      </c>
      <c r="F17" s="14">
        <f t="array" ref="F17">F16</f>
        <v>14</v>
      </c>
      <c r="G17" s="15" t="str">
        <f>IFERROR(__xludf.DUMMYFUNCTION("IF(E17&gt;AVERAGE(INDEX(GOOGLEFINANCE(B17,""volume"",WORKDAY(TODAY(),-$F$1),TODAY()),,2)),""Breakout"","""")"),"")</f>
        <v/>
      </c>
      <c r="H17" s="16">
        <f>IFERROR(__xludf.DUMMYFUNCTION("GOOGLEFINANCE(B17,""price"")"),4937.0)</f>
        <v>4937</v>
      </c>
      <c r="I17" s="17">
        <f>IFERROR(__xludf.DUMMYFUNCTION("AVERAGE(QUERY(SORT(GOOGLEFINANCE(B17,""price"",TODAY()-365,TODAY()),1,0),""select Col2 limit 10""))"),5120.05)</f>
        <v>5120.05</v>
      </c>
      <c r="J17" s="17">
        <f>IFERROR(__xludf.DUMMYFUNCTION("AVERAGE(QUERY(SORT(GOOGLEFINANCE(B17,""price"",TODAY()-365,TODAY()),1,0),""select Col2 limit 30""))"),5040.933333333333)</f>
        <v>5040.933333</v>
      </c>
      <c r="K17" s="18">
        <f>IFERROR(__xludf.DUMMYFUNCTION("AVERAGE(QUERY(SORT(GOOGLEFINANCE(B17,""price"",TODAY()-365,TODAY()),1,0),""select Col2 limit 60""))"),5070.575)</f>
        <v>5070.575</v>
      </c>
      <c r="L17" s="17">
        <f>IFERROR(__xludf.DUMMYFUNCTION("AVERAGE(QUERY(SORT(GOOGLEFINANCE(B17,""price"",TODAY()-365,TODAY()),1,0),""select Col2 limit 90""))"),5010.931111111111)</f>
        <v>5010.931111</v>
      </c>
      <c r="M17" s="17">
        <f>IFERROR(__xludf.DUMMYFUNCTION("AVERAGE(QUERY(SORT(GOOGLEFINANCE(B17,""price"",TODAY()-365,TODAY()),1,0),""select Col2 limit 120""))"),4892.405)</f>
        <v>4892.405</v>
      </c>
      <c r="N17" s="19">
        <f>IFERROR(__xludf.DUMMYFUNCTION("AVERAGE(QUERY(SORT(GOOGLEFINANCE(B17,""price"",TODAY()-365,TODAY()),1,0),""select Col2 limit 200""))"),4755.2305)</f>
        <v>4755.2305</v>
      </c>
      <c r="O17" s="20" t="str">
        <f t="shared" si="2"/>
        <v>Avoid</v>
      </c>
      <c r="P17" s="21" t="str">
        <f t="shared" si="3"/>
        <v/>
      </c>
      <c r="Q17" s="21" t="str">
        <f t="shared" si="4"/>
        <v/>
      </c>
      <c r="R17" s="22">
        <f>IFERROR(__xludf.DUMMYFUNCTION("GOOGLEFINANCE(B17, ""pe"")
"),28.93)</f>
        <v>28.93</v>
      </c>
    </row>
    <row r="18">
      <c r="A18" s="9" t="s">
        <v>31</v>
      </c>
      <c r="B18" s="11" t="str">
        <f t="shared" si="1"/>
        <v>NSE:MRPL</v>
      </c>
      <c r="C18" s="12">
        <f>IFERROR(__xludf.DUMMYFUNCTION("GOOGLEFINANCE(B18,""marketcap"")/10000000"),24094.7303032)</f>
        <v>24094.7303</v>
      </c>
      <c r="D18" s="13">
        <f>IFERROR(__xludf.DUMMYFUNCTION("GOOGLEFINANCE(B18,""price"")"),137.25)</f>
        <v>137.25</v>
      </c>
      <c r="E18" s="14">
        <f>IFERROR(__xludf.DUMMYFUNCTION("GOOGLEFINANCE(B18,""Volume"")"),2770690.0)</f>
        <v>2770690</v>
      </c>
      <c r="F18" s="14">
        <f t="array" ref="F18">F17</f>
        <v>14</v>
      </c>
      <c r="G18" s="15" t="str">
        <f>IFERROR(__xludf.DUMMYFUNCTION("IF(E18&gt;AVERAGE(INDEX(GOOGLEFINANCE(B18,""volume"",WORKDAY(TODAY(),-$F$1),TODAY()),,2)),""Breakout"","""")"),"")</f>
        <v/>
      </c>
      <c r="H18" s="16">
        <f>IFERROR(__xludf.DUMMYFUNCTION("GOOGLEFINANCE(B18,""price"")"),137.25)</f>
        <v>137.25</v>
      </c>
      <c r="I18" s="17">
        <f>IFERROR(__xludf.DUMMYFUNCTION("AVERAGE(QUERY(SORT(GOOGLEFINANCE(B18,""price"",TODAY()-365,TODAY()),1,0),""select Col2 limit 10""))"),146.349)</f>
        <v>146.349</v>
      </c>
      <c r="J18" s="17">
        <f>IFERROR(__xludf.DUMMYFUNCTION("AVERAGE(QUERY(SORT(GOOGLEFINANCE(B18,""price"",TODAY()-365,TODAY()),1,0),""select Col2 limit 30""))"),143.67433333333332)</f>
        <v>143.6743333</v>
      </c>
      <c r="K18" s="18">
        <f>IFERROR(__xludf.DUMMYFUNCTION("AVERAGE(QUERY(SORT(GOOGLEFINANCE(B18,""price"",TODAY()-365,TODAY()),1,0),""select Col2 limit 60""))"),141.1553333333333)</f>
        <v>141.1553333</v>
      </c>
      <c r="L18" s="17">
        <f>IFERROR(__xludf.DUMMYFUNCTION("AVERAGE(QUERY(SORT(GOOGLEFINANCE(B18,""price"",TODAY()-365,TODAY()),1,0),""select Col2 limit 90""))"),138.75633333333332)</f>
        <v>138.7563333</v>
      </c>
      <c r="M18" s="17">
        <f>IFERROR(__xludf.DUMMYFUNCTION("AVERAGE(QUERY(SORT(GOOGLEFINANCE(B18,""price"",TODAY()-365,TODAY()),1,0),""select Col2 limit 120""))"),133.00758333333334)</f>
        <v>133.0075833</v>
      </c>
      <c r="N18" s="19">
        <f>IFERROR(__xludf.DUMMYFUNCTION("AVERAGE(QUERY(SORT(GOOGLEFINANCE(B18,""price"",TODAY()-365,TODAY()),1,0),""select Col2 limit 200""))"),140.60779999999994)</f>
        <v>140.6078</v>
      </c>
      <c r="O18" s="20" t="str">
        <f t="shared" si="2"/>
        <v>Avoid</v>
      </c>
      <c r="P18" s="21" t="str">
        <f t="shared" si="3"/>
        <v/>
      </c>
      <c r="Q18" s="21" t="str">
        <f t="shared" si="4"/>
        <v/>
      </c>
      <c r="R18" s="22" t="str">
        <f>IFERROR(__xludf.DUMMYFUNCTION("GOOGLEFINANCE(B18, ""pe"")
"),"#N/A")</f>
        <v>#N/A</v>
      </c>
    </row>
    <row r="19">
      <c r="A19" s="9" t="s">
        <v>32</v>
      </c>
      <c r="B19" s="11" t="str">
        <f t="shared" si="1"/>
        <v>NSE:MEDANTA</v>
      </c>
      <c r="C19" s="12">
        <f>IFERROR(__xludf.DUMMYFUNCTION("GOOGLEFINANCE(B19,""marketcap"")/10000000"),36189.17636)</f>
        <v>36189.17636</v>
      </c>
      <c r="D19" s="13">
        <f>IFERROR(__xludf.DUMMYFUNCTION("GOOGLEFINANCE(B19,""price"")"),1343.6)</f>
        <v>1343.6</v>
      </c>
      <c r="E19" s="14">
        <f>IFERROR(__xludf.DUMMYFUNCTION("GOOGLEFINANCE(B19,""Volume"")"),452282.0)</f>
        <v>452282</v>
      </c>
      <c r="F19" s="14">
        <f t="array" ref="F19">F18</f>
        <v>14</v>
      </c>
      <c r="G19" s="15" t="str">
        <f>IFERROR(__xludf.DUMMYFUNCTION("IF(E19&gt;AVERAGE(INDEX(GOOGLEFINANCE(B19,""volume"",WORKDAY(TODAY(),-$F$1),TODAY()),,2)),""Breakout"","""")"),"")</f>
        <v/>
      </c>
      <c r="H19" s="16">
        <f>IFERROR(__xludf.DUMMYFUNCTION("GOOGLEFINANCE(B19,""price"")"),1343.6)</f>
        <v>1343.6</v>
      </c>
      <c r="I19" s="17">
        <f>IFERROR(__xludf.DUMMYFUNCTION("AVERAGE(QUERY(SORT(GOOGLEFINANCE(B19,""price"",TODAY()-365,TODAY()),1,0),""select Col2 limit 10""))"),1320.9099999999999)</f>
        <v>1320.91</v>
      </c>
      <c r="J19" s="17">
        <f>IFERROR(__xludf.DUMMYFUNCTION("AVERAGE(QUERY(SORT(GOOGLEFINANCE(B19,""price"",TODAY()-365,TODAY()),1,0),""select Col2 limit 30""))"),1229.846666666666)</f>
        <v>1229.846667</v>
      </c>
      <c r="K19" s="18">
        <f>IFERROR(__xludf.DUMMYFUNCTION("AVERAGE(QUERY(SORT(GOOGLEFINANCE(B19,""price"",TODAY()-365,TODAY()),1,0),""select Col2 limit 60""))"),1216.598333333333)</f>
        <v>1216.598333</v>
      </c>
      <c r="L19" s="17">
        <f>IFERROR(__xludf.DUMMYFUNCTION("AVERAGE(QUERY(SORT(GOOGLEFINANCE(B19,""price"",TODAY()-365,TODAY()),1,0),""select Col2 limit 90""))"),1222.082777777778)</f>
        <v>1222.082778</v>
      </c>
      <c r="M19" s="17">
        <f>IFERROR(__xludf.DUMMYFUNCTION("AVERAGE(QUERY(SORT(GOOGLEFINANCE(B19,""price"",TODAY()-365,TODAY()),1,0),""select Col2 limit 120""))"),1204.3537499999995)</f>
        <v>1204.35375</v>
      </c>
      <c r="N19" s="19">
        <f>IFERROR(__xludf.DUMMYFUNCTION("AVERAGE(QUERY(SORT(GOOGLEFINANCE(B19,""price"",TODAY()-365,TODAY()),1,0),""select Col2 limit 200""))"),1151.8185000000003)</f>
        <v>1151.8185</v>
      </c>
      <c r="O19" s="20" t="str">
        <f t="shared" si="2"/>
        <v>Avoid</v>
      </c>
      <c r="P19" s="21" t="str">
        <f t="shared" si="3"/>
        <v/>
      </c>
      <c r="Q19" s="21" t="str">
        <f t="shared" si="4"/>
        <v/>
      </c>
      <c r="R19" s="22">
        <f>IFERROR(__xludf.DUMMYFUNCTION("GOOGLEFINANCE(B19, ""pe"")
"),75.18)</f>
        <v>75.18</v>
      </c>
    </row>
    <row r="20">
      <c r="A20" s="9" t="s">
        <v>33</v>
      </c>
      <c r="B20" s="11" t="str">
        <f t="shared" si="1"/>
        <v>NSE:TATAINVEST</v>
      </c>
      <c r="C20" s="12">
        <f>IFERROR(__xludf.DUMMYFUNCTION("GOOGLEFINANCE(B20,""marketcap"")/10000000"),34098.688956)</f>
        <v>34098.68896</v>
      </c>
      <c r="D20" s="13">
        <f>IFERROR(__xludf.DUMMYFUNCTION("GOOGLEFINANCE(B20,""price"")"),6732.5)</f>
        <v>6732.5</v>
      </c>
      <c r="E20" s="14">
        <f>IFERROR(__xludf.DUMMYFUNCTION("GOOGLEFINANCE(B20,""Volume"")"),37311.0)</f>
        <v>37311</v>
      </c>
      <c r="F20" s="14">
        <f t="array" ref="F20">F19</f>
        <v>14</v>
      </c>
      <c r="G20" s="15" t="str">
        <f>IFERROR(__xludf.DUMMYFUNCTION("IF(E20&gt;AVERAGE(INDEX(GOOGLEFINANCE(B20,""volume"",WORKDAY(TODAY(),-$F$1),TODAY()),,2)),""Breakout"","""")"),"")</f>
        <v/>
      </c>
      <c r="H20" s="16">
        <f>IFERROR(__xludf.DUMMYFUNCTION("GOOGLEFINANCE(B20,""price"")"),6732.5)</f>
        <v>6732.5</v>
      </c>
      <c r="I20" s="17">
        <f>IFERROR(__xludf.DUMMYFUNCTION("AVERAGE(QUERY(SORT(GOOGLEFINANCE(B20,""price"",TODAY()-365,TODAY()),1,0),""select Col2 limit 10""))"),6647.25)</f>
        <v>6647.25</v>
      </c>
      <c r="J20" s="17">
        <f>IFERROR(__xludf.DUMMYFUNCTION("AVERAGE(QUERY(SORT(GOOGLEFINANCE(B20,""price"",TODAY()-365,TODAY()),1,0),""select Col2 limit 30""))"),6684.433333333333)</f>
        <v>6684.433333</v>
      </c>
      <c r="K20" s="18">
        <f>IFERROR(__xludf.DUMMYFUNCTION("AVERAGE(QUERY(SORT(GOOGLEFINANCE(B20,""price"",TODAY()-365,TODAY()),1,0),""select Col2 limit 60""))"),6542.925)</f>
        <v>6542.925</v>
      </c>
      <c r="L20" s="17">
        <f>IFERROR(__xludf.DUMMYFUNCTION("AVERAGE(QUERY(SORT(GOOGLEFINANCE(B20,""price"",TODAY()-365,TODAY()),1,0),""select Col2 limit 90""))"),6431.8949999999995)</f>
        <v>6431.895</v>
      </c>
      <c r="M20" s="17">
        <f>IFERROR(__xludf.DUMMYFUNCTION("AVERAGE(QUERY(SORT(GOOGLEFINANCE(B20,""price"",TODAY()-365,TODAY()),1,0),""select Col2 limit 120""))"),6296.540000000003)</f>
        <v>6296.54</v>
      </c>
      <c r="N20" s="19">
        <f>IFERROR(__xludf.DUMMYFUNCTION("AVERAGE(QUERY(SORT(GOOGLEFINANCE(B20,""price"",TODAY()-365,TODAY()),1,0),""select Col2 limit 200""))"),6439.884500000003)</f>
        <v>6439.8845</v>
      </c>
      <c r="O20" s="20" t="str">
        <f t="shared" si="2"/>
        <v>Avoid</v>
      </c>
      <c r="P20" s="21" t="str">
        <f t="shared" si="3"/>
        <v/>
      </c>
      <c r="Q20" s="21" t="str">
        <f t="shared" si="4"/>
        <v/>
      </c>
      <c r="R20" s="22">
        <f>IFERROR(__xludf.DUMMYFUNCTION("GOOGLEFINANCE(B20, ""pe"")
"),109.37)</f>
        <v>109.37</v>
      </c>
    </row>
    <row r="21">
      <c r="A21" s="9" t="s">
        <v>34</v>
      </c>
      <c r="B21" s="11" t="str">
        <f t="shared" si="1"/>
        <v>NSE:HINDCOPPER</v>
      </c>
      <c r="C21" s="12">
        <f>IFERROR(__xludf.DUMMYFUNCTION("GOOGLEFINANCE(B21,""marketcap"")/10000000"),24475.3754992)</f>
        <v>24475.3755</v>
      </c>
      <c r="D21" s="13">
        <f>IFERROR(__xludf.DUMMYFUNCTION("GOOGLEFINANCE(B21,""price"")"),253.2)</f>
        <v>253.2</v>
      </c>
      <c r="E21" s="14">
        <f>IFERROR(__xludf.DUMMYFUNCTION("GOOGLEFINANCE(B21,""Volume"")"),1984828.0)</f>
        <v>1984828</v>
      </c>
      <c r="F21" s="14">
        <f t="array" ref="F21">F20</f>
        <v>14</v>
      </c>
      <c r="G21" s="15" t="str">
        <f>IFERROR(__xludf.DUMMYFUNCTION("IF(E21&gt;AVERAGE(INDEX(GOOGLEFINANCE(B21,""volume"",WORKDAY(TODAY(),-$F$1),TODAY()),,2)),""Breakout"","""")"),"")</f>
        <v/>
      </c>
      <c r="H21" s="16">
        <f>IFERROR(__xludf.DUMMYFUNCTION("GOOGLEFINANCE(B21,""price"")"),253.2)</f>
        <v>253.2</v>
      </c>
      <c r="I21" s="17">
        <f>IFERROR(__xludf.DUMMYFUNCTION("AVERAGE(QUERY(SORT(GOOGLEFINANCE(B21,""price"",TODAY()-365,TODAY()),1,0),""select Col2 limit 10""))"),268.15500000000003)</f>
        <v>268.155</v>
      </c>
      <c r="J21" s="17">
        <f>IFERROR(__xludf.DUMMYFUNCTION("AVERAGE(QUERY(SORT(GOOGLEFINANCE(B21,""price"",TODAY()-365,TODAY()),1,0),""select Col2 limit 30""))"),266.8723333333334)</f>
        <v>266.8723333</v>
      </c>
      <c r="K21" s="18">
        <f>IFERROR(__xludf.DUMMYFUNCTION("AVERAGE(QUERY(SORT(GOOGLEFINANCE(B21,""price"",TODAY()-365,TODAY()),1,0),""select Col2 limit 60""))"),252.02483333333328)</f>
        <v>252.0248333</v>
      </c>
      <c r="L21" s="17">
        <f>IFERROR(__xludf.DUMMYFUNCTION("AVERAGE(QUERY(SORT(GOOGLEFINANCE(B21,""price"",TODAY()-365,TODAY()),1,0),""select Col2 limit 90""))"),240.37344444444437)</f>
        <v>240.3734444</v>
      </c>
      <c r="M21" s="17">
        <f>IFERROR(__xludf.DUMMYFUNCTION("AVERAGE(QUERY(SORT(GOOGLEFINANCE(B21,""price"",TODAY()-365,TODAY()),1,0),""select Col2 limit 120""))"),236.01841666666667)</f>
        <v>236.0184167</v>
      </c>
      <c r="N21" s="19">
        <f>IFERROR(__xludf.DUMMYFUNCTION("AVERAGE(QUERY(SORT(GOOGLEFINANCE(B21,""price"",TODAY()-365,TODAY()),1,0),""select Col2 limit 200""))"),251.32119999999992)</f>
        <v>251.3212</v>
      </c>
      <c r="O21" s="20" t="str">
        <f t="shared" si="2"/>
        <v>Avoid</v>
      </c>
      <c r="P21" s="21" t="str">
        <f t="shared" si="3"/>
        <v/>
      </c>
      <c r="Q21" s="21" t="str">
        <f t="shared" si="4"/>
        <v/>
      </c>
      <c r="R21" s="22">
        <f>IFERROR(__xludf.DUMMYFUNCTION("GOOGLEFINANCE(B21, ""pe"")
"),52.73)</f>
        <v>52.73</v>
      </c>
    </row>
    <row r="22">
      <c r="A22" s="9" t="s">
        <v>35</v>
      </c>
      <c r="B22" s="11" t="str">
        <f t="shared" si="1"/>
        <v>NSE:EIHOTEL</v>
      </c>
      <c r="C22" s="12">
        <f>IFERROR(__xludf.DUMMYFUNCTION("GOOGLEFINANCE(B22,""marketcap"")/10000000"),23594.9829566)</f>
        <v>23594.98296</v>
      </c>
      <c r="D22" s="13">
        <f>IFERROR(__xludf.DUMMYFUNCTION("GOOGLEFINANCE(B22,""price"")"),377.7)</f>
        <v>377.7</v>
      </c>
      <c r="E22" s="14">
        <f>IFERROR(__xludf.DUMMYFUNCTION("GOOGLEFINANCE(B22,""Volume"")"),303377.0)</f>
        <v>303377</v>
      </c>
      <c r="F22" s="14">
        <f t="array" ref="F22">F21</f>
        <v>14</v>
      </c>
      <c r="G22" s="15" t="str">
        <f>IFERROR(__xludf.DUMMYFUNCTION("IF(E22&gt;AVERAGE(INDEX(GOOGLEFINANCE(B22,""volume"",WORKDAY(TODAY(),-$F$1),TODAY()),,2)),""Breakout"","""")"),"")</f>
        <v/>
      </c>
      <c r="H22" s="16">
        <f>IFERROR(__xludf.DUMMYFUNCTION("GOOGLEFINANCE(B22,""price"")"),377.7)</f>
        <v>377.7</v>
      </c>
      <c r="I22" s="17">
        <f>IFERROR(__xludf.DUMMYFUNCTION("AVERAGE(QUERY(SORT(GOOGLEFINANCE(B22,""price"",TODAY()-365,TODAY()),1,0),""select Col2 limit 10""))"),380.94500000000005)</f>
        <v>380.945</v>
      </c>
      <c r="J22" s="17">
        <f>IFERROR(__xludf.DUMMYFUNCTION("AVERAGE(QUERY(SORT(GOOGLEFINANCE(B22,""price"",TODAY()-365,TODAY()),1,0),""select Col2 limit 30""))"),368.62833333333333)</f>
        <v>368.6283333</v>
      </c>
      <c r="K22" s="18">
        <f>IFERROR(__xludf.DUMMYFUNCTION("AVERAGE(QUERY(SORT(GOOGLEFINANCE(B22,""price"",TODAY()-365,TODAY()),1,0),""select Col2 limit 60""))"),368.8400000000001)</f>
        <v>368.84</v>
      </c>
      <c r="L22" s="17">
        <f>IFERROR(__xludf.DUMMYFUNCTION("AVERAGE(QUERY(SORT(GOOGLEFINANCE(B22,""price"",TODAY()-365,TODAY()),1,0),""select Col2 limit 90""))"),369.4044444444446)</f>
        <v>369.4044444</v>
      </c>
      <c r="M22" s="17">
        <f>IFERROR(__xludf.DUMMYFUNCTION("AVERAGE(QUERY(SORT(GOOGLEFINANCE(B22,""price"",TODAY()-365,TODAY()),1,0),""select Col2 limit 120""))"),363.2866666666668)</f>
        <v>363.2866667</v>
      </c>
      <c r="N22" s="19">
        <f>IFERROR(__xludf.DUMMYFUNCTION("AVERAGE(QUERY(SORT(GOOGLEFINANCE(B22,""price"",TODAY()-365,TODAY()),1,0),""select Col2 limit 200""))"),375.07249999999993)</f>
        <v>375.0725</v>
      </c>
      <c r="O22" s="20" t="str">
        <f t="shared" si="2"/>
        <v>Avoid</v>
      </c>
      <c r="P22" s="21" t="str">
        <f t="shared" si="3"/>
        <v>10 DMA</v>
      </c>
      <c r="Q22" s="21" t="str">
        <f t="shared" si="4"/>
        <v/>
      </c>
      <c r="R22" s="22">
        <f>IFERROR(__xludf.DUMMYFUNCTION("GOOGLEFINANCE(B22, ""pe"")
"),31.93)</f>
        <v>31.93</v>
      </c>
    </row>
    <row r="23">
      <c r="A23" s="9" t="s">
        <v>36</v>
      </c>
      <c r="B23" s="11" t="str">
        <f t="shared" si="1"/>
        <v>NSE:AARTIIND</v>
      </c>
      <c r="C23" s="12">
        <f>IFERROR(__xludf.DUMMYFUNCTION("GOOGLEFINANCE(B23,""marketcap"")/10000000"),15599.2265514)</f>
        <v>15599.22655</v>
      </c>
      <c r="D23" s="13">
        <f>IFERROR(__xludf.DUMMYFUNCTION("GOOGLEFINANCE(B23,""price"")"),431.0)</f>
        <v>431</v>
      </c>
      <c r="E23" s="14">
        <f>IFERROR(__xludf.DUMMYFUNCTION("GOOGLEFINANCE(B23,""Volume"")"),409217.0)</f>
        <v>409217</v>
      </c>
      <c r="F23" s="14">
        <f t="array" ref="F23">F22</f>
        <v>14</v>
      </c>
      <c r="G23" s="15" t="str">
        <f>IFERROR(__xludf.DUMMYFUNCTION("IF(E23&gt;AVERAGE(INDEX(GOOGLEFINANCE(B23,""volume"",WORKDAY(TODAY(),-$F$1),TODAY()),,2)),""Breakout"","""")"),"#N/A")</f>
        <v>#N/A</v>
      </c>
      <c r="H23" s="16">
        <f>IFERROR(__xludf.DUMMYFUNCTION("GOOGLEFINANCE(B23,""price"")"),431.0)</f>
        <v>431</v>
      </c>
      <c r="I23" s="17">
        <f>IFERROR(__xludf.DUMMYFUNCTION("AVERAGE(QUERY(SORT(GOOGLEFINANCE(B23,""price"",TODAY()-365,TODAY()),1,0),""select Col2 limit 10""))"),440.9700000000001)</f>
        <v>440.97</v>
      </c>
      <c r="J23" s="17">
        <f>IFERROR(__xludf.DUMMYFUNCTION("AVERAGE(QUERY(SORT(GOOGLEFINANCE(B23,""price"",TODAY()-365,TODAY()),1,0),""select Col2 limit 30""))"),455.37)</f>
        <v>455.37</v>
      </c>
      <c r="K23" s="18">
        <f>IFERROR(__xludf.DUMMYFUNCTION("AVERAGE(QUERY(SORT(GOOGLEFINANCE(B23,""price"",TODAY()-365,TODAY()),1,0),""select Col2 limit 60""))"),462.3475)</f>
        <v>462.3475</v>
      </c>
      <c r="L23" s="17">
        <f>IFERROR(__xludf.DUMMYFUNCTION("AVERAGE(QUERY(SORT(GOOGLEFINANCE(B23,""price"",TODAY()-365,TODAY()),1,0),""select Col2 limit 90""))"),442.2111111111111)</f>
        <v>442.2111111</v>
      </c>
      <c r="M23" s="17">
        <f>IFERROR(__xludf.DUMMYFUNCTION("AVERAGE(QUERY(SORT(GOOGLEFINANCE(B23,""price"",TODAY()-365,TODAY()),1,0),""select Col2 limit 120""))"),436.85916666666657)</f>
        <v>436.8591667</v>
      </c>
      <c r="N23" s="19">
        <f>IFERROR(__xludf.DUMMYFUNCTION("AVERAGE(QUERY(SORT(GOOGLEFINANCE(B23,""price"",TODAY()-365,TODAY()),1,0),""select Col2 limit 200""))"),445.66625000000005)</f>
        <v>445.66625</v>
      </c>
      <c r="O23" s="20" t="str">
        <f t="shared" si="2"/>
        <v>Avoid</v>
      </c>
      <c r="P23" s="21" t="str">
        <f t="shared" si="3"/>
        <v/>
      </c>
      <c r="Q23" s="21" t="str">
        <f t="shared" si="4"/>
        <v/>
      </c>
      <c r="R23" s="22">
        <f>IFERROR(__xludf.DUMMYFUNCTION("GOOGLEFINANCE(B23, ""pe"")
"),47.26)</f>
        <v>47.26</v>
      </c>
    </row>
    <row r="24">
      <c r="A24" s="9" t="s">
        <v>37</v>
      </c>
      <c r="B24" s="11" t="str">
        <f t="shared" si="1"/>
        <v>NSE:CHALET</v>
      </c>
      <c r="C24" s="12">
        <f>IFERROR(__xludf.DUMMYFUNCTION("GOOGLEFINANCE(B24,""marketcap"")/10000000"),20050.246916)</f>
        <v>20050.24692</v>
      </c>
      <c r="D24" s="13">
        <f>IFERROR(__xludf.DUMMYFUNCTION("GOOGLEFINANCE(B24,""price"")"),916.7)</f>
        <v>916.7</v>
      </c>
      <c r="E24" s="14">
        <f>IFERROR(__xludf.DUMMYFUNCTION("GOOGLEFINANCE(B24,""Volume"")"),36124.0)</f>
        <v>36124</v>
      </c>
      <c r="F24" s="14">
        <f t="array" ref="F24">F23</f>
        <v>14</v>
      </c>
      <c r="G24" s="15" t="str">
        <f>IFERROR(__xludf.DUMMYFUNCTION("IF(E24&gt;AVERAGE(INDEX(GOOGLEFINANCE(B24,""volume"",WORKDAY(TODAY(),-$F$1),TODAY()),,2)),""Breakout"","""")"),"")</f>
        <v/>
      </c>
      <c r="H24" s="16">
        <f>IFERROR(__xludf.DUMMYFUNCTION("GOOGLEFINANCE(B24,""price"")"),916.7)</f>
        <v>916.7</v>
      </c>
      <c r="I24" s="17">
        <f>IFERROR(__xludf.DUMMYFUNCTION("AVERAGE(QUERY(SORT(GOOGLEFINANCE(B24,""price"",TODAY()-365,TODAY()),1,0),""select Col2 limit 10""))"),916.0800000000002)</f>
        <v>916.08</v>
      </c>
      <c r="J24" s="17">
        <f>IFERROR(__xludf.DUMMYFUNCTION("AVERAGE(QUERY(SORT(GOOGLEFINANCE(B24,""price"",TODAY()-365,TODAY()),1,0),""select Col2 limit 30""))"),900.4200000000001)</f>
        <v>900.42</v>
      </c>
      <c r="K24" s="18">
        <f>IFERROR(__xludf.DUMMYFUNCTION("AVERAGE(QUERY(SORT(GOOGLEFINANCE(B24,""price"",TODAY()-365,TODAY()),1,0),""select Col2 limit 60""))"),895.7516666666666)</f>
        <v>895.7516667</v>
      </c>
      <c r="L24" s="17">
        <f>IFERROR(__xludf.DUMMYFUNCTION("AVERAGE(QUERY(SORT(GOOGLEFINANCE(B24,""price"",TODAY()-365,TODAY()),1,0),""select Col2 limit 90""))"),871.1444444444447)</f>
        <v>871.1444444</v>
      </c>
      <c r="M24" s="17">
        <f>IFERROR(__xludf.DUMMYFUNCTION("AVERAGE(QUERY(SORT(GOOGLEFINANCE(B24,""price"",TODAY()-365,TODAY()),1,0),""select Col2 limit 120""))"),838.2133333333337)</f>
        <v>838.2133333</v>
      </c>
      <c r="N24" s="19">
        <f>IFERROR(__xludf.DUMMYFUNCTION("AVERAGE(QUERY(SORT(GOOGLEFINANCE(B24,""price"",TODAY()-365,TODAY()),1,0),""select Col2 limit 200""))"),857.7652500000004)</f>
        <v>857.76525</v>
      </c>
      <c r="O24" s="20" t="str">
        <f t="shared" si="2"/>
        <v>Avoid</v>
      </c>
      <c r="P24" s="21" t="str">
        <f t="shared" si="3"/>
        <v/>
      </c>
      <c r="Q24" s="21" t="str">
        <f t="shared" si="4"/>
        <v/>
      </c>
      <c r="R24" s="22">
        <f>IFERROR(__xludf.DUMMYFUNCTION("GOOGLEFINANCE(B24, ""pe"")
"),140.53)</f>
        <v>140.53</v>
      </c>
    </row>
    <row r="25">
      <c r="A25" s="9" t="s">
        <v>38</v>
      </c>
      <c r="B25" s="11" t="str">
        <f t="shared" si="1"/>
        <v>NSE:NSLNISP</v>
      </c>
      <c r="C25" s="12">
        <f>IFERROR(__xludf.DUMMYFUNCTION("GOOGLEFINANCE(B25,""marketcap"")/10000000"),11077.6866764)</f>
        <v>11077.68668</v>
      </c>
      <c r="D25" s="13">
        <f>IFERROR(__xludf.DUMMYFUNCTION("GOOGLEFINANCE(B25,""price"")"),37.94)</f>
        <v>37.94</v>
      </c>
      <c r="E25" s="14">
        <f>IFERROR(__xludf.DUMMYFUNCTION("GOOGLEFINANCE(B25,""Volume"")"),616943.0)</f>
        <v>616943</v>
      </c>
      <c r="F25" s="14">
        <f t="array" ref="F25">F24</f>
        <v>14</v>
      </c>
      <c r="G25" s="15" t="str">
        <f>IFERROR(__xludf.DUMMYFUNCTION("IF(E25&gt;AVERAGE(INDEX(GOOGLEFINANCE(B25,""volume"",WORKDAY(TODAY(),-$F$1),TODAY()),,2)),""Breakout"","""")"),"")</f>
        <v/>
      </c>
      <c r="H25" s="16">
        <f>IFERROR(__xludf.DUMMYFUNCTION("GOOGLEFINANCE(B25,""price"")"),37.94)</f>
        <v>37.94</v>
      </c>
      <c r="I25" s="17">
        <f>IFERROR(__xludf.DUMMYFUNCTION("AVERAGE(QUERY(SORT(GOOGLEFINANCE(B25,""price"",TODAY()-365,TODAY()),1,0),""select Col2 limit 10""))"),39.260000000000005)</f>
        <v>39.26</v>
      </c>
      <c r="J25" s="17">
        <f>IFERROR(__xludf.DUMMYFUNCTION("AVERAGE(QUERY(SORT(GOOGLEFINANCE(B25,""price"",TODAY()-365,TODAY()),1,0),""select Col2 limit 30""))"),39.42133333333334)</f>
        <v>39.42133333</v>
      </c>
      <c r="K25" s="18">
        <f>IFERROR(__xludf.DUMMYFUNCTION("AVERAGE(QUERY(SORT(GOOGLEFINANCE(B25,""price"",TODAY()-365,TODAY()),1,0),""select Col2 limit 60""))"),38.78433333333332)</f>
        <v>38.78433333</v>
      </c>
      <c r="L25" s="17">
        <f>IFERROR(__xludf.DUMMYFUNCTION("AVERAGE(QUERY(SORT(GOOGLEFINANCE(B25,""price"",TODAY()-365,TODAY()),1,0),""select Col2 limit 90""))"),37.594444444444434)</f>
        <v>37.59444444</v>
      </c>
      <c r="M25" s="17">
        <f>IFERROR(__xludf.DUMMYFUNCTION("AVERAGE(QUERY(SORT(GOOGLEFINANCE(B25,""price"",TODAY()-365,TODAY()),1,0),""select Col2 limit 120""))"),37.6345)</f>
        <v>37.6345</v>
      </c>
      <c r="N25" s="19">
        <f>IFERROR(__xludf.DUMMYFUNCTION("AVERAGE(QUERY(SORT(GOOGLEFINANCE(B25,""price"",TODAY()-365,TODAY()),1,0),""select Col2 limit 200""))"),40.75704999999999)</f>
        <v>40.75705</v>
      </c>
      <c r="O25" s="20" t="str">
        <f t="shared" si="2"/>
        <v>Avoid</v>
      </c>
      <c r="P25" s="21" t="str">
        <f t="shared" si="3"/>
        <v/>
      </c>
      <c r="Q25" s="21" t="str">
        <f t="shared" si="4"/>
        <v/>
      </c>
      <c r="R25" s="22" t="str">
        <f>IFERROR(__xludf.DUMMYFUNCTION("GOOGLEFINANCE(B25, ""pe"")
"),"#N/A")</f>
        <v>#N/A</v>
      </c>
    </row>
    <row r="26">
      <c r="A26" s="9" t="s">
        <v>39</v>
      </c>
      <c r="B26" s="11" t="str">
        <f t="shared" si="1"/>
        <v>NSE:REDINGTON</v>
      </c>
      <c r="C26" s="12">
        <f>IFERROR(__xludf.DUMMYFUNCTION("GOOGLEFINANCE(B26,""marketcap"")/10000000"),22362.6528971)</f>
        <v>22362.6529</v>
      </c>
      <c r="D26" s="13">
        <f>IFERROR(__xludf.DUMMYFUNCTION("GOOGLEFINANCE(B26,""price"")"),284.75)</f>
        <v>284.75</v>
      </c>
      <c r="E26" s="14">
        <f>IFERROR(__xludf.DUMMYFUNCTION("GOOGLEFINANCE(B26,""Volume"")"),1130414.0)</f>
        <v>1130414</v>
      </c>
      <c r="F26" s="14">
        <f t="array" ref="F26">F25</f>
        <v>14</v>
      </c>
      <c r="G26" s="15" t="str">
        <f>IFERROR(__xludf.DUMMYFUNCTION("IF(E26&gt;AVERAGE(INDEX(GOOGLEFINANCE(B26,""volume"",WORKDAY(TODAY(),-$F$1),TODAY()),,2)),""Breakout"","""")"),"")</f>
        <v/>
      </c>
      <c r="H26" s="16">
        <f>IFERROR(__xludf.DUMMYFUNCTION("GOOGLEFINANCE(B26,""price"")"),284.75)</f>
        <v>284.75</v>
      </c>
      <c r="I26" s="17">
        <f>IFERROR(__xludf.DUMMYFUNCTION("AVERAGE(QUERY(SORT(GOOGLEFINANCE(B26,""price"",TODAY()-365,TODAY()),1,0),""select Col2 limit 10""))"),306.835)</f>
        <v>306.835</v>
      </c>
      <c r="J26" s="17">
        <f>IFERROR(__xludf.DUMMYFUNCTION("AVERAGE(QUERY(SORT(GOOGLEFINANCE(B26,""price"",TODAY()-365,TODAY()),1,0),""select Col2 limit 30""))"),305.7433333333333)</f>
        <v>305.7433333</v>
      </c>
      <c r="K26" s="18">
        <f>IFERROR(__xludf.DUMMYFUNCTION("AVERAGE(QUERY(SORT(GOOGLEFINANCE(B26,""price"",TODAY()-365,TODAY()),1,0),""select Col2 limit 60""))"),289.0760000000001)</f>
        <v>289.076</v>
      </c>
      <c r="L26" s="17">
        <f>IFERROR(__xludf.DUMMYFUNCTION("AVERAGE(QUERY(SORT(GOOGLEFINANCE(B26,""price"",TODAY()-365,TODAY()),1,0),""select Col2 limit 90""))"),269.90766666666667)</f>
        <v>269.9076667</v>
      </c>
      <c r="M26" s="17">
        <f>IFERROR(__xludf.DUMMYFUNCTION("AVERAGE(QUERY(SORT(GOOGLEFINANCE(B26,""price"",TODAY()-365,TODAY()),1,0),""select Col2 limit 120""))"),260.87416666666667)</f>
        <v>260.8741667</v>
      </c>
      <c r="N26" s="19">
        <f>IFERROR(__xludf.DUMMYFUNCTION("AVERAGE(QUERY(SORT(GOOGLEFINANCE(B26,""price"",TODAY()-365,TODAY()),1,0),""select Col2 limit 200""))"),235.21225000000007)</f>
        <v>235.21225</v>
      </c>
      <c r="O26" s="20" t="str">
        <f t="shared" si="2"/>
        <v>Avoid</v>
      </c>
      <c r="P26" s="21" t="str">
        <f t="shared" si="3"/>
        <v/>
      </c>
      <c r="Q26" s="21" t="str">
        <f t="shared" si="4"/>
        <v/>
      </c>
      <c r="R26" s="22">
        <f>IFERROR(__xludf.DUMMYFUNCTION("GOOGLEFINANCE(B26, ""pe"")
"),13.93)</f>
        <v>13.93</v>
      </c>
    </row>
    <row r="27">
      <c r="A27" s="9" t="s">
        <v>40</v>
      </c>
      <c r="B27" s="11" t="str">
        <f t="shared" si="1"/>
        <v>NSE:OLECTRA</v>
      </c>
      <c r="C27" s="12">
        <f>IFERROR(__xludf.DUMMYFUNCTION("GOOGLEFINANCE(B27,""marketcap"")/10000000"),12011.6986187)</f>
        <v>12011.69862</v>
      </c>
      <c r="D27" s="13">
        <f>IFERROR(__xludf.DUMMYFUNCTION("GOOGLEFINANCE(B27,""price"")"),1454.1)</f>
        <v>1454.1</v>
      </c>
      <c r="E27" s="14">
        <f>IFERROR(__xludf.DUMMYFUNCTION("GOOGLEFINANCE(B27,""Volume"")"),587838.0)</f>
        <v>587838</v>
      </c>
      <c r="F27" s="14">
        <f t="array" ref="F27">F26</f>
        <v>14</v>
      </c>
      <c r="G27" s="15" t="str">
        <f>IFERROR(__xludf.DUMMYFUNCTION("IF(E27&gt;AVERAGE(INDEX(GOOGLEFINANCE(B27,""volume"",WORKDAY(TODAY(),-$F$1),TODAY()),,2)),""Breakout"","""")"),"")</f>
        <v/>
      </c>
      <c r="H27" s="16">
        <f>IFERROR(__xludf.DUMMYFUNCTION("GOOGLEFINANCE(B27,""price"")"),1454.1)</f>
        <v>1454.1</v>
      </c>
      <c r="I27" s="17">
        <f>IFERROR(__xludf.DUMMYFUNCTION("AVERAGE(QUERY(SORT(GOOGLEFINANCE(B27,""price"",TODAY()-365,TODAY()),1,0),""select Col2 limit 10""))"),1312.33)</f>
        <v>1312.33</v>
      </c>
      <c r="J27" s="17">
        <f>IFERROR(__xludf.DUMMYFUNCTION("AVERAGE(QUERY(SORT(GOOGLEFINANCE(B27,""price"",TODAY()-365,TODAY()),1,0),""select Col2 limit 30""))"),1229.8433333333335)</f>
        <v>1229.843333</v>
      </c>
      <c r="K27" s="18">
        <f>IFERROR(__xludf.DUMMYFUNCTION("AVERAGE(QUERY(SORT(GOOGLEFINANCE(B27,""price"",TODAY()-365,TODAY()),1,0),""select Col2 limit 60""))"),1227.7283333333337)</f>
        <v>1227.728333</v>
      </c>
      <c r="L27" s="17">
        <f>IFERROR(__xludf.DUMMYFUNCTION("AVERAGE(QUERY(SORT(GOOGLEFINANCE(B27,""price"",TODAY()-365,TODAY()),1,0),""select Col2 limit 90""))"),1209.3961111111112)</f>
        <v>1209.396111</v>
      </c>
      <c r="M27" s="17">
        <f>IFERROR(__xludf.DUMMYFUNCTION("AVERAGE(QUERY(SORT(GOOGLEFINANCE(B27,""price"",TODAY()-365,TODAY()),1,0),""select Col2 limit 120""))"),1207.5091666666672)</f>
        <v>1207.509167</v>
      </c>
      <c r="N27" s="19">
        <f>IFERROR(__xludf.DUMMYFUNCTION("AVERAGE(QUERY(SORT(GOOGLEFINANCE(B27,""price"",TODAY()-365,TODAY()),1,0),""select Col2 limit 200""))"),1335.77775)</f>
        <v>1335.77775</v>
      </c>
      <c r="O27" s="20" t="str">
        <f t="shared" si="2"/>
        <v>Avoid</v>
      </c>
      <c r="P27" s="21" t="str">
        <f t="shared" si="3"/>
        <v/>
      </c>
      <c r="Q27" s="21" t="str">
        <f t="shared" si="4"/>
        <v/>
      </c>
      <c r="R27" s="22">
        <f>IFERROR(__xludf.DUMMYFUNCTION("GOOGLEFINANCE(B27, ""pe"")
"),85.93)</f>
        <v>85.93</v>
      </c>
    </row>
    <row r="28">
      <c r="A28" s="9" t="s">
        <v>41</v>
      </c>
      <c r="B28" s="11" t="str">
        <f t="shared" si="1"/>
        <v>NSE:RAYMOND</v>
      </c>
      <c r="C28" s="12">
        <f>IFERROR(__xludf.DUMMYFUNCTION("GOOGLEFINANCE(B28,""marketcap"")/10000000"),4588.0550572)</f>
        <v>4588.055057</v>
      </c>
      <c r="D28" s="13">
        <f>IFERROR(__xludf.DUMMYFUNCTION("GOOGLEFINANCE(B28,""price"")"),689.0)</f>
        <v>689</v>
      </c>
      <c r="E28" s="14">
        <f>IFERROR(__xludf.DUMMYFUNCTION("GOOGLEFINANCE(B28,""Volume"")"),221700.0)</f>
        <v>221700</v>
      </c>
      <c r="F28" s="14">
        <f t="array" ref="F28">F27</f>
        <v>14</v>
      </c>
      <c r="G28" s="15" t="str">
        <f>IFERROR(__xludf.DUMMYFUNCTION("IF(E28&gt;AVERAGE(INDEX(GOOGLEFINANCE(B28,""volume"",WORKDAY(TODAY(),-$F$1),TODAY()),,2)),""Breakout"","""")"),"")</f>
        <v/>
      </c>
      <c r="H28" s="16">
        <f>IFERROR(__xludf.DUMMYFUNCTION("GOOGLEFINANCE(B28,""price"")"),689.0)</f>
        <v>689</v>
      </c>
      <c r="I28" s="17">
        <f>IFERROR(__xludf.DUMMYFUNCTION("AVERAGE(QUERY(SORT(GOOGLEFINANCE(B28,""price"",TODAY()-365,TODAY()),1,0),""select Col2 limit 10""))"),710.285)</f>
        <v>710.285</v>
      </c>
      <c r="J28" s="17">
        <f>IFERROR(__xludf.DUMMYFUNCTION("AVERAGE(QUERY(SORT(GOOGLEFINANCE(B28,""price"",TODAY()-365,TODAY()),1,0),""select Col2 limit 30""))"),674.9833333333335)</f>
        <v>674.9833333</v>
      </c>
      <c r="K28" s="18">
        <f>IFERROR(__xludf.DUMMYFUNCTION("AVERAGE(QUERY(SORT(GOOGLEFINANCE(B28,""price"",TODAY()-365,TODAY()),1,0),""select Col2 limit 60""))"),755.7283333333332)</f>
        <v>755.7283333</v>
      </c>
      <c r="L28" s="17">
        <f>IFERROR(__xludf.DUMMYFUNCTION("AVERAGE(QUERY(SORT(GOOGLEFINANCE(B28,""price"",TODAY()-365,TODAY()),1,0),""select Col2 limit 90""))"),994.7411111111111)</f>
        <v>994.7411111</v>
      </c>
      <c r="M28" s="17">
        <f>IFERROR(__xludf.DUMMYFUNCTION("AVERAGE(QUERY(SORT(GOOGLEFINANCE(B28,""price"",TODAY()-365,TODAY()),1,0),""select Col2 limit 120""))"),1092.8354166666666)</f>
        <v>1092.835417</v>
      </c>
      <c r="N28" s="19">
        <f>IFERROR(__xludf.DUMMYFUNCTION("AVERAGE(QUERY(SORT(GOOGLEFINANCE(B28,""price"",TODAY()-365,TODAY()),1,0),""select Col2 limit 200""))"),1310.9065)</f>
        <v>1310.9065</v>
      </c>
      <c r="O28" s="20" t="str">
        <f t="shared" si="2"/>
        <v>Avoid</v>
      </c>
      <c r="P28" s="21" t="str">
        <f t="shared" si="3"/>
        <v/>
      </c>
      <c r="Q28" s="21" t="str">
        <f t="shared" si="4"/>
        <v/>
      </c>
      <c r="R28" s="22">
        <f>IFERROR(__xludf.DUMMYFUNCTION("GOOGLEFINANCE(B28, ""pe"")
"),96.12)</f>
        <v>96.12</v>
      </c>
    </row>
    <row r="29">
      <c r="A29" s="9" t="s">
        <v>42</v>
      </c>
      <c r="B29" s="11" t="str">
        <f t="shared" si="1"/>
        <v>NSE:JPPOWER</v>
      </c>
      <c r="C29" s="12">
        <f>IFERROR(__xludf.DUMMYFUNCTION("GOOGLEFINANCE(B29,""marketcap"")/10000000"),14159.2461894)</f>
        <v>14159.24619</v>
      </c>
      <c r="D29" s="13">
        <f>IFERROR(__xludf.DUMMYFUNCTION("GOOGLEFINANCE(B29,""price"")"),20.66)</f>
        <v>20.66</v>
      </c>
      <c r="E29" s="14">
        <f>IFERROR(__xludf.DUMMYFUNCTION("GOOGLEFINANCE(B29,""Volume"")"),3.7374178E7)</f>
        <v>37374178</v>
      </c>
      <c r="F29" s="14">
        <f t="array" ref="F29">F28</f>
        <v>14</v>
      </c>
      <c r="G29" s="15" t="str">
        <f>IFERROR(__xludf.DUMMYFUNCTION("IF(E29&gt;AVERAGE(INDEX(GOOGLEFINANCE(B29,""volume"",WORKDAY(TODAY(),-$F$1),TODAY()),,2)),""Breakout"","""")"),"")</f>
        <v/>
      </c>
      <c r="H29" s="16">
        <f>IFERROR(__xludf.DUMMYFUNCTION("GOOGLEFINANCE(B29,""price"")"),20.66)</f>
        <v>20.66</v>
      </c>
      <c r="I29" s="17">
        <f>IFERROR(__xludf.DUMMYFUNCTION("AVERAGE(QUERY(SORT(GOOGLEFINANCE(B29,""price"",TODAY()-365,TODAY()),1,0),""select Col2 limit 10""))"),22.676)</f>
        <v>22.676</v>
      </c>
      <c r="J29" s="17">
        <f>IFERROR(__xludf.DUMMYFUNCTION("AVERAGE(QUERY(SORT(GOOGLEFINANCE(B29,""price"",TODAY()-365,TODAY()),1,0),""select Col2 limit 30""))"),20.32133333333333)</f>
        <v>20.32133333</v>
      </c>
      <c r="K29" s="18">
        <f>IFERROR(__xludf.DUMMYFUNCTION("AVERAGE(QUERY(SORT(GOOGLEFINANCE(B29,""price"",TODAY()-365,TODAY()),1,0),""select Col2 limit 60""))"),17.819166666666668)</f>
        <v>17.81916667</v>
      </c>
      <c r="L29" s="17">
        <f>IFERROR(__xludf.DUMMYFUNCTION("AVERAGE(QUERY(SORT(GOOGLEFINANCE(B29,""price"",TODAY()-365,TODAY()),1,0),""select Col2 limit 90""))"),16.80044444444445)</f>
        <v>16.80044444</v>
      </c>
      <c r="M29" s="17">
        <f>IFERROR(__xludf.DUMMYFUNCTION("AVERAGE(QUERY(SORT(GOOGLEFINANCE(B29,""price"",TODAY()-365,TODAY()),1,0),""select Col2 limit 120""))"),16.125500000000006)</f>
        <v>16.1255</v>
      </c>
      <c r="N29" s="19">
        <f>IFERROR(__xludf.DUMMYFUNCTION("AVERAGE(QUERY(SORT(GOOGLEFINANCE(B29,""price"",TODAY()-365,TODAY()),1,0),""select Col2 limit 200""))"),16.9125)</f>
        <v>16.9125</v>
      </c>
      <c r="O29" s="20" t="str">
        <f t="shared" si="2"/>
        <v>Avoid</v>
      </c>
      <c r="P29" s="21" t="str">
        <f t="shared" si="3"/>
        <v/>
      </c>
      <c r="Q29" s="21" t="str">
        <f t="shared" si="4"/>
        <v/>
      </c>
      <c r="R29" s="22">
        <f>IFERROR(__xludf.DUMMYFUNCTION("GOOGLEFINANCE(B29, ""pe"")
"),17.45)</f>
        <v>17.45</v>
      </c>
    </row>
    <row r="30">
      <c r="A30" s="9" t="s">
        <v>43</v>
      </c>
      <c r="B30" s="11" t="str">
        <f t="shared" si="1"/>
        <v>NSE:STARCEMENT</v>
      </c>
      <c r="C30" s="12">
        <f>IFERROR(__xludf.DUMMYFUNCTION("GOOGLEFINANCE(B30,""marketcap"")/10000000"),9288.0657153)</f>
        <v>9288.065715</v>
      </c>
      <c r="D30" s="13">
        <f>IFERROR(__xludf.DUMMYFUNCTION("GOOGLEFINANCE(B30,""price"")"),229.79)</f>
        <v>229.79</v>
      </c>
      <c r="E30" s="14">
        <f>IFERROR(__xludf.DUMMYFUNCTION("GOOGLEFINANCE(B30,""Volume"")"),129557.0)</f>
        <v>129557</v>
      </c>
      <c r="F30" s="14">
        <f t="array" ref="F30">F29</f>
        <v>14</v>
      </c>
      <c r="G30" s="15" t="str">
        <f>IFERROR(__xludf.DUMMYFUNCTION("IF(E30&gt;AVERAGE(INDEX(GOOGLEFINANCE(B30,""volume"",WORKDAY(TODAY(),-$F$1),TODAY()),,2)),""Breakout"","""")"),"")</f>
        <v/>
      </c>
      <c r="H30" s="16">
        <f>IFERROR(__xludf.DUMMYFUNCTION("GOOGLEFINANCE(B30,""price"")"),229.79)</f>
        <v>229.79</v>
      </c>
      <c r="I30" s="17">
        <f>IFERROR(__xludf.DUMMYFUNCTION("AVERAGE(QUERY(SORT(GOOGLEFINANCE(B30,""price"",TODAY()-365,TODAY()),1,0),""select Col2 limit 10""))"),224.82199999999997)</f>
        <v>224.822</v>
      </c>
      <c r="J30" s="17">
        <f>IFERROR(__xludf.DUMMYFUNCTION("AVERAGE(QUERY(SORT(GOOGLEFINANCE(B30,""price"",TODAY()-365,TODAY()),1,0),""select Col2 limit 30""))"),216.71766666666664)</f>
        <v>216.7176667</v>
      </c>
      <c r="K30" s="18">
        <f>IFERROR(__xludf.DUMMYFUNCTION("AVERAGE(QUERY(SORT(GOOGLEFINANCE(B30,""price"",TODAY()-365,TODAY()),1,0),""select Col2 limit 60""))"),218.11283333333338)</f>
        <v>218.1128333</v>
      </c>
      <c r="L30" s="17">
        <f>IFERROR(__xludf.DUMMYFUNCTION("AVERAGE(QUERY(SORT(GOOGLEFINANCE(B30,""price"",TODAY()-365,TODAY()),1,0),""select Col2 limit 90""))"),218.14266666666663)</f>
        <v>218.1426667</v>
      </c>
      <c r="M30" s="17">
        <f>IFERROR(__xludf.DUMMYFUNCTION("AVERAGE(QUERY(SORT(GOOGLEFINANCE(B30,""price"",TODAY()-365,TODAY()),1,0),""select Col2 limit 120""))"),215.89508333333322)</f>
        <v>215.8950833</v>
      </c>
      <c r="N30" s="19">
        <f>IFERROR(__xludf.DUMMYFUNCTION("AVERAGE(QUERY(SORT(GOOGLEFINANCE(B30,""price"",TODAY()-365,TODAY()),1,0),""select Col2 limit 200""))"),212.36815)</f>
        <v>212.36815</v>
      </c>
      <c r="O30" s="20" t="str">
        <f t="shared" si="2"/>
        <v>Avoid</v>
      </c>
      <c r="P30" s="21" t="str">
        <f t="shared" si="3"/>
        <v/>
      </c>
      <c r="Q30" s="21" t="str">
        <f t="shared" si="4"/>
        <v/>
      </c>
      <c r="R30" s="22">
        <f>IFERROR(__xludf.DUMMYFUNCTION("GOOGLEFINANCE(B30, ""pe"")
"),54.98)</f>
        <v>54.98</v>
      </c>
    </row>
    <row r="31">
      <c r="A31" s="9" t="s">
        <v>44</v>
      </c>
      <c r="B31" s="11" t="str">
        <f t="shared" si="1"/>
        <v>NSE:MASTEK</v>
      </c>
      <c r="C31" s="12">
        <f>IFERROR(__xludf.DUMMYFUNCTION("GOOGLEFINANCE(B31,""marketcap"")/10000000"),7557.906972)</f>
        <v>7557.906972</v>
      </c>
      <c r="D31" s="13">
        <f>IFERROR(__xludf.DUMMYFUNCTION("GOOGLEFINANCE(B31,""price"")"),2443.1)</f>
        <v>2443.1</v>
      </c>
      <c r="E31" s="14">
        <f>IFERROR(__xludf.DUMMYFUNCTION("GOOGLEFINANCE(B31,""Volume"")"),48957.0)</f>
        <v>48957</v>
      </c>
      <c r="F31" s="14">
        <f t="array" ref="F31">F30</f>
        <v>14</v>
      </c>
      <c r="G31" s="15" t="str">
        <f>IFERROR(__xludf.DUMMYFUNCTION("IF(E31&gt;AVERAGE(INDEX(GOOGLEFINANCE(B31,""volume"",WORKDAY(TODAY(),-$F$1),TODAY()),,2)),""Breakout"","""")"),"")</f>
        <v/>
      </c>
      <c r="H31" s="16">
        <f>IFERROR(__xludf.DUMMYFUNCTION("GOOGLEFINANCE(B31,""price"")"),2443.1)</f>
        <v>2443.1</v>
      </c>
      <c r="I31" s="17">
        <f>IFERROR(__xludf.DUMMYFUNCTION("AVERAGE(QUERY(SORT(GOOGLEFINANCE(B31,""price"",TODAY()-365,TODAY()),1,0),""select Col2 limit 10""))"),2545.12)</f>
        <v>2545.12</v>
      </c>
      <c r="J31" s="17">
        <f>IFERROR(__xludf.DUMMYFUNCTION("AVERAGE(QUERY(SORT(GOOGLEFINANCE(B31,""price"",TODAY()-365,TODAY()),1,0),""select Col2 limit 30""))"),2502.2166666666667)</f>
        <v>2502.216667</v>
      </c>
      <c r="K31" s="18">
        <f>IFERROR(__xludf.DUMMYFUNCTION("AVERAGE(QUERY(SORT(GOOGLEFINANCE(B31,""price"",TODAY()-365,TODAY()),1,0),""select Col2 limit 60""))"),2398.9133333333334)</f>
        <v>2398.913333</v>
      </c>
      <c r="L31" s="17">
        <f>IFERROR(__xludf.DUMMYFUNCTION("AVERAGE(QUERY(SORT(GOOGLEFINANCE(B31,""price"",TODAY()-365,TODAY()),1,0),""select Col2 limit 90""))"),2335.406666666667)</f>
        <v>2335.406667</v>
      </c>
      <c r="M31" s="17">
        <f>IFERROR(__xludf.DUMMYFUNCTION("AVERAGE(QUERY(SORT(GOOGLEFINANCE(B31,""price"",TODAY()-365,TODAY()),1,0),""select Col2 limit 120""))"),2368.8166666666666)</f>
        <v>2368.816667</v>
      </c>
      <c r="N31" s="19">
        <f>IFERROR(__xludf.DUMMYFUNCTION("AVERAGE(QUERY(SORT(GOOGLEFINANCE(B31,""price"",TODAY()-365,TODAY()),1,0),""select Col2 limit 200""))"),2600.4437500000017)</f>
        <v>2600.44375</v>
      </c>
      <c r="O31" s="20" t="str">
        <f t="shared" si="2"/>
        <v>Avoid</v>
      </c>
      <c r="P31" s="21" t="str">
        <f t="shared" si="3"/>
        <v/>
      </c>
      <c r="Q31" s="21" t="str">
        <f t="shared" si="4"/>
        <v/>
      </c>
      <c r="R31" s="22">
        <f>IFERROR(__xludf.DUMMYFUNCTION("GOOGLEFINANCE(B31, ""pe"")
"),19.22)</f>
        <v>19.22</v>
      </c>
    </row>
    <row r="32">
      <c r="A32" s="9" t="s">
        <v>45</v>
      </c>
      <c r="B32" s="11" t="str">
        <f t="shared" si="1"/>
        <v>NSE:HEG</v>
      </c>
      <c r="C32" s="12">
        <f>IFERROR(__xludf.DUMMYFUNCTION("GOOGLEFINANCE(B32,""marketcap"")/10000000"),10068.6010625)</f>
        <v>10068.60106</v>
      </c>
      <c r="D32" s="13">
        <f>IFERROR(__xludf.DUMMYFUNCTION("GOOGLEFINANCE(B32,""price"")"),521.75)</f>
        <v>521.75</v>
      </c>
      <c r="E32" s="14">
        <f>IFERROR(__xludf.DUMMYFUNCTION("GOOGLEFINANCE(B32,""Volume"")"),251442.0)</f>
        <v>251442</v>
      </c>
      <c r="F32" s="14">
        <f t="array" ref="F32">F31</f>
        <v>14</v>
      </c>
      <c r="G32" s="15" t="str">
        <f>IFERROR(__xludf.DUMMYFUNCTION("IF(E32&gt;AVERAGE(INDEX(GOOGLEFINANCE(B32,""volume"",WORKDAY(TODAY(),-$F$1),TODAY()),,2)),""Breakout"","""")"),"#N/A")</f>
        <v>#N/A</v>
      </c>
      <c r="H32" s="16">
        <f>IFERROR(__xludf.DUMMYFUNCTION("GOOGLEFINANCE(B32,""price"")"),521.75)</f>
        <v>521.75</v>
      </c>
      <c r="I32" s="17">
        <f>IFERROR(__xludf.DUMMYFUNCTION("AVERAGE(QUERY(SORT(GOOGLEFINANCE(B32,""price"",TODAY()-365,TODAY()),1,0),""select Col2 limit 10""))"),535.1249999999999)</f>
        <v>535.125</v>
      </c>
      <c r="J32" s="17">
        <f>IFERROR(__xludf.DUMMYFUNCTION("AVERAGE(QUERY(SORT(GOOGLEFINANCE(B32,""price"",TODAY()-365,TODAY()),1,0),""select Col2 limit 30""))"),511.3383333333333)</f>
        <v>511.3383333</v>
      </c>
      <c r="K32" s="18">
        <f>IFERROR(__xludf.DUMMYFUNCTION("AVERAGE(QUERY(SORT(GOOGLEFINANCE(B32,""price"",TODAY()-365,TODAY()),1,0),""select Col2 limit 60""))"),502.32666666666665)</f>
        <v>502.3266667</v>
      </c>
      <c r="L32" s="17">
        <f>IFERROR(__xludf.DUMMYFUNCTION("AVERAGE(QUERY(SORT(GOOGLEFINANCE(B32,""price"",TODAY()-365,TODAY()),1,0),""select Col2 limit 90""))"),489.6261111111111)</f>
        <v>489.6261111</v>
      </c>
      <c r="M32" s="17">
        <f>IFERROR(__xludf.DUMMYFUNCTION("AVERAGE(QUERY(SORT(GOOGLEFINANCE(B32,""price"",TODAY()-365,TODAY()),1,0),""select Col2 limit 120""))"),458.8991666666668)</f>
        <v>458.8991667</v>
      </c>
      <c r="N32" s="19">
        <f>IFERROR(__xludf.DUMMYFUNCTION("AVERAGE(QUERY(SORT(GOOGLEFINANCE(B32,""price"",TODAY()-365,TODAY()),1,0),""select Col2 limit 200""))"),464.15295)</f>
        <v>464.15295</v>
      </c>
      <c r="O32" s="20" t="str">
        <f t="shared" si="2"/>
        <v>Avoid</v>
      </c>
      <c r="P32" s="21" t="str">
        <f t="shared" si="3"/>
        <v/>
      </c>
      <c r="Q32" s="21" t="str">
        <f t="shared" si="4"/>
        <v/>
      </c>
      <c r="R32" s="22">
        <f>IFERROR(__xludf.DUMMYFUNCTION("GOOGLEFINANCE(B32, ""pe"")
"),87.51)</f>
        <v>87.51</v>
      </c>
    </row>
    <row r="33">
      <c r="A33" s="9" t="s">
        <v>46</v>
      </c>
      <c r="B33" s="11" t="str">
        <f t="shared" si="1"/>
        <v>NSE:INFIBEAM</v>
      </c>
      <c r="C33" s="12">
        <f>IFERROR(__xludf.DUMMYFUNCTION("GOOGLEFINANCE(B33,""marketcap"")/10000000"),5112.7102338)</f>
        <v>5112.710234</v>
      </c>
      <c r="D33" s="13">
        <f>IFERROR(__xludf.DUMMYFUNCTION("GOOGLEFINANCE(B33,""price"")"),15.95)</f>
        <v>15.95</v>
      </c>
      <c r="E33" s="14">
        <f>IFERROR(__xludf.DUMMYFUNCTION("GOOGLEFINANCE(B33,""Volume"")"),5253735.0)</f>
        <v>5253735</v>
      </c>
      <c r="F33" s="14">
        <f t="array" ref="F33">F32</f>
        <v>14</v>
      </c>
      <c r="G33" s="15" t="str">
        <f>IFERROR(__xludf.DUMMYFUNCTION("IF(E33&gt;AVERAGE(INDEX(GOOGLEFINANCE(B33,""volume"",WORKDAY(TODAY(),-$F$1),TODAY()),,2)),""Breakout"","""")"),"")</f>
        <v/>
      </c>
      <c r="H33" s="16">
        <f>IFERROR(__xludf.DUMMYFUNCTION("GOOGLEFINANCE(B33,""price"")"),15.95)</f>
        <v>15.95</v>
      </c>
      <c r="I33" s="17">
        <f>IFERROR(__xludf.DUMMYFUNCTION("AVERAGE(QUERY(SORT(GOOGLEFINANCE(B33,""price"",TODAY()-365,TODAY()),1,0),""select Col2 limit 10""))"),16.204)</f>
        <v>16.204</v>
      </c>
      <c r="J33" s="17">
        <f>IFERROR(__xludf.DUMMYFUNCTION("AVERAGE(QUERY(SORT(GOOGLEFINANCE(B33,""price"",TODAY()-365,TODAY()),1,0),""select Col2 limit 30""))"),17.018666666666665)</f>
        <v>17.01866667</v>
      </c>
      <c r="K33" s="18">
        <f>IFERROR(__xludf.DUMMYFUNCTION("AVERAGE(QUERY(SORT(GOOGLEFINANCE(B33,""price"",TODAY()-365,TODAY()),1,0),""select Col2 limit 60""))"),17.470833333333328)</f>
        <v>17.47083333</v>
      </c>
      <c r="L33" s="17">
        <f>IFERROR(__xludf.DUMMYFUNCTION("AVERAGE(QUERY(SORT(GOOGLEFINANCE(B33,""price"",TODAY()-365,TODAY()),1,0),""select Col2 limit 90""))"),16.813999999999997)</f>
        <v>16.814</v>
      </c>
      <c r="M33" s="17">
        <f>IFERROR(__xludf.DUMMYFUNCTION("AVERAGE(QUERY(SORT(GOOGLEFINANCE(B33,""price"",TODAY()-365,TODAY()),1,0),""select Col2 limit 120""))"),17.122000000000003)</f>
        <v>17.122</v>
      </c>
      <c r="N33" s="19">
        <f>IFERROR(__xludf.DUMMYFUNCTION("AVERAGE(QUERY(SORT(GOOGLEFINANCE(B33,""price"",TODAY()-365,TODAY()),1,0),""select Col2 limit 200""))"),19.769250000000014)</f>
        <v>19.76925</v>
      </c>
      <c r="O33" s="20" t="str">
        <f t="shared" si="2"/>
        <v>Avoid</v>
      </c>
      <c r="P33" s="21" t="str">
        <f t="shared" si="3"/>
        <v/>
      </c>
      <c r="Q33" s="21" t="str">
        <f t="shared" si="4"/>
        <v/>
      </c>
      <c r="R33" s="22">
        <f>IFERROR(__xludf.DUMMYFUNCTION("GOOGLEFINANCE(B33, ""pe"")
"),21.24)</f>
        <v>21.24</v>
      </c>
    </row>
    <row r="34">
      <c r="A34" s="9" t="s">
        <v>47</v>
      </c>
      <c r="B34" s="11" t="str">
        <f t="shared" si="1"/>
        <v>NSE:MSTCLTD</v>
      </c>
      <c r="C34" s="12">
        <f>IFERROR(__xludf.DUMMYFUNCTION("GOOGLEFINANCE(B34,""marketcap"")/10000000"),3499.231914)</f>
        <v>3499.231914</v>
      </c>
      <c r="D34" s="13">
        <f>IFERROR(__xludf.DUMMYFUNCTION("GOOGLEFINANCE(B34,""price"")"),497.4)</f>
        <v>497.4</v>
      </c>
      <c r="E34" s="14">
        <f>IFERROR(__xludf.DUMMYFUNCTION("GOOGLEFINANCE(B34,""Volume"")"),62197.0)</f>
        <v>62197</v>
      </c>
      <c r="F34" s="14">
        <f t="array" ref="F34">F33</f>
        <v>14</v>
      </c>
      <c r="G34" s="15" t="str">
        <f>IFERROR(__xludf.DUMMYFUNCTION("IF(E34&gt;AVERAGE(INDEX(GOOGLEFINANCE(B34,""volume"",WORKDAY(TODAY(),-$F$1),TODAY()),,2)),""Breakout"","""")"),"")</f>
        <v/>
      </c>
      <c r="H34" s="16">
        <f>IFERROR(__xludf.DUMMYFUNCTION("GOOGLEFINANCE(B34,""price"")"),497.4)</f>
        <v>497.4</v>
      </c>
      <c r="I34" s="17">
        <f>IFERROR(__xludf.DUMMYFUNCTION("AVERAGE(QUERY(SORT(GOOGLEFINANCE(B34,""price"",TODAY()-365,TODAY()),1,0),""select Col2 limit 10""))"),524.4399999999999)</f>
        <v>524.44</v>
      </c>
      <c r="J34" s="17">
        <f>IFERROR(__xludf.DUMMYFUNCTION("AVERAGE(QUERY(SORT(GOOGLEFINANCE(B34,""price"",TODAY()-365,TODAY()),1,0),""select Col2 limit 30""))"),525.9866666666667)</f>
        <v>525.9866667</v>
      </c>
      <c r="K34" s="18">
        <f>IFERROR(__xludf.DUMMYFUNCTION("AVERAGE(QUERY(SORT(GOOGLEFINANCE(B34,""price"",TODAY()-365,TODAY()),1,0),""select Col2 limit 60""))"),534.0408333333334)</f>
        <v>534.0408333</v>
      </c>
      <c r="L34" s="17">
        <f>IFERROR(__xludf.DUMMYFUNCTION("AVERAGE(QUERY(SORT(GOOGLEFINANCE(B34,""price"",TODAY()-365,TODAY()),1,0),""select Col2 limit 90""))"),526.6950000000002)</f>
        <v>526.695</v>
      </c>
      <c r="M34" s="17">
        <f>IFERROR(__xludf.DUMMYFUNCTION("AVERAGE(QUERY(SORT(GOOGLEFINANCE(B34,""price"",TODAY()-365,TODAY()),1,0),""select Col2 limit 120""))"),523.0720833333334)</f>
        <v>523.0720833</v>
      </c>
      <c r="N34" s="19">
        <f>IFERROR(__xludf.DUMMYFUNCTION("AVERAGE(QUERY(SORT(GOOGLEFINANCE(B34,""price"",TODAY()-365,TODAY()),1,0),""select Col2 limit 200""))"),581.9)</f>
        <v>581.9</v>
      </c>
      <c r="O34" s="20" t="str">
        <f t="shared" si="2"/>
        <v>Avoid</v>
      </c>
      <c r="P34" s="21" t="str">
        <f t="shared" si="3"/>
        <v/>
      </c>
      <c r="Q34" s="21" t="str">
        <f t="shared" si="4"/>
        <v/>
      </c>
      <c r="R34" s="22">
        <f>IFERROR(__xludf.DUMMYFUNCTION("GOOGLEFINANCE(B34, ""pe"")
"),8.61)</f>
        <v>8.61</v>
      </c>
    </row>
    <row r="35">
      <c r="A35" s="9" t="s">
        <v>48</v>
      </c>
      <c r="B35" s="11" t="str">
        <f t="shared" si="1"/>
        <v>NSE:WONDERLA</v>
      </c>
      <c r="C35" s="12">
        <f>IFERROR(__xludf.DUMMYFUNCTION("GOOGLEFINANCE(B35,""marketcap"")/10000000"),4026.58199)</f>
        <v>4026.58199</v>
      </c>
      <c r="D35" s="13">
        <f>IFERROR(__xludf.DUMMYFUNCTION("GOOGLEFINANCE(B35,""price"")"),635.0)</f>
        <v>635</v>
      </c>
      <c r="E35" s="14">
        <f>IFERROR(__xludf.DUMMYFUNCTION("GOOGLEFINANCE(B35,""Volume"")"),18040.0)</f>
        <v>18040</v>
      </c>
      <c r="F35" s="14">
        <f t="array" ref="F35">F34</f>
        <v>14</v>
      </c>
      <c r="G35" s="15" t="str">
        <f>IFERROR(__xludf.DUMMYFUNCTION("IF(E35&gt;AVERAGE(INDEX(GOOGLEFINANCE(B35,""volume"",WORKDAY(TODAY(),-$F$1),TODAY()),,2)),""Breakout"","""")"),"")</f>
        <v/>
      </c>
      <c r="H35" s="16">
        <f>IFERROR(__xludf.DUMMYFUNCTION("GOOGLEFINANCE(B35,""price"")"),635.0)</f>
        <v>635</v>
      </c>
      <c r="I35" s="17">
        <f>IFERROR(__xludf.DUMMYFUNCTION("AVERAGE(QUERY(SORT(GOOGLEFINANCE(B35,""price"",TODAY()-365,TODAY()),1,0),""select Col2 limit 10""))"),651.49)</f>
        <v>651.49</v>
      </c>
      <c r="J35" s="17">
        <f>IFERROR(__xludf.DUMMYFUNCTION("AVERAGE(QUERY(SORT(GOOGLEFINANCE(B35,""price"",TODAY()-365,TODAY()),1,0),""select Col2 limit 30""))"),645.6133333333332)</f>
        <v>645.6133333</v>
      </c>
      <c r="K35" s="18">
        <f>IFERROR(__xludf.DUMMYFUNCTION("AVERAGE(QUERY(SORT(GOOGLEFINANCE(B35,""price"",TODAY()-365,TODAY()),1,0),""select Col2 limit 60""))"),652.7966666666669)</f>
        <v>652.7966667</v>
      </c>
      <c r="L35" s="17">
        <f>IFERROR(__xludf.DUMMYFUNCTION("AVERAGE(QUERY(SORT(GOOGLEFINANCE(B35,""price"",TODAY()-365,TODAY()),1,0),""select Col2 limit 90""))"),660.2216666666668)</f>
        <v>660.2216667</v>
      </c>
      <c r="M35" s="17">
        <f>IFERROR(__xludf.DUMMYFUNCTION("AVERAGE(QUERY(SORT(GOOGLEFINANCE(B35,""price"",TODAY()-365,TODAY()),1,0),""select Col2 limit 120""))"),661.0)</f>
        <v>661</v>
      </c>
      <c r="N35" s="19">
        <f>IFERROR(__xludf.DUMMYFUNCTION("AVERAGE(QUERY(SORT(GOOGLEFINANCE(B35,""price"",TODAY()-365,TODAY()),1,0),""select Col2 limit 200""))"),725.9037499999998)</f>
        <v>725.90375</v>
      </c>
      <c r="O35" s="20" t="str">
        <f t="shared" si="2"/>
        <v>Avoid</v>
      </c>
      <c r="P35" s="21" t="str">
        <f t="shared" si="3"/>
        <v/>
      </c>
      <c r="Q35" s="21" t="str">
        <f t="shared" si="4"/>
        <v/>
      </c>
      <c r="R35" s="22">
        <f>IFERROR(__xludf.DUMMYFUNCTION("GOOGLEFINANCE(B35, ""pe"")
"),34.31)</f>
        <v>34.31</v>
      </c>
    </row>
    <row r="36">
      <c r="A36" s="9" t="s">
        <v>49</v>
      </c>
      <c r="B36" s="11" t="str">
        <f t="shared" si="1"/>
        <v>NSE:JAMNAAUTO</v>
      </c>
      <c r="C36" s="12">
        <f>IFERROR(__xludf.DUMMYFUNCTION("GOOGLEFINANCE(B36,""marketcap"")/10000000"),3678.1948736)</f>
        <v>3678.194874</v>
      </c>
      <c r="D36" s="13">
        <f>IFERROR(__xludf.DUMMYFUNCTION("GOOGLEFINANCE(B36,""price"")"),92.03)</f>
        <v>92.03</v>
      </c>
      <c r="E36" s="14">
        <f>IFERROR(__xludf.DUMMYFUNCTION("GOOGLEFINANCE(B36,""Volume"")"),353306.0)</f>
        <v>353306</v>
      </c>
      <c r="F36" s="14">
        <f t="array" ref="F36">F35</f>
        <v>14</v>
      </c>
      <c r="G36" s="15" t="str">
        <f>IFERROR(__xludf.DUMMYFUNCTION("IF(E36&gt;AVERAGE(INDEX(GOOGLEFINANCE(B36,""volume"",WORKDAY(TODAY(),-$F$1),TODAY()),,2)),""Breakout"","""")"),"")</f>
        <v/>
      </c>
      <c r="H36" s="16">
        <f>IFERROR(__xludf.DUMMYFUNCTION("GOOGLEFINANCE(B36,""price"")"),92.03)</f>
        <v>92.03</v>
      </c>
      <c r="I36" s="17">
        <f>IFERROR(__xludf.DUMMYFUNCTION("AVERAGE(QUERY(SORT(GOOGLEFINANCE(B36,""price"",TODAY()-365,TODAY()),1,0),""select Col2 limit 10""))"),95.41899999999998)</f>
        <v>95.419</v>
      </c>
      <c r="J36" s="17">
        <f>IFERROR(__xludf.DUMMYFUNCTION("AVERAGE(QUERY(SORT(GOOGLEFINANCE(B36,""price"",TODAY()-365,TODAY()),1,0),""select Col2 limit 30""))"),93.69366666666669)</f>
        <v>93.69366667</v>
      </c>
      <c r="K36" s="18">
        <f>IFERROR(__xludf.DUMMYFUNCTION("AVERAGE(QUERY(SORT(GOOGLEFINANCE(B36,""price"",TODAY()-365,TODAY()),1,0),""select Col2 limit 60""))"),90.99800000000002)</f>
        <v>90.998</v>
      </c>
      <c r="L36" s="17">
        <f>IFERROR(__xludf.DUMMYFUNCTION("AVERAGE(QUERY(SORT(GOOGLEFINANCE(B36,""price"",TODAY()-365,TODAY()),1,0),""select Col2 limit 90""))"),86.50244444444445)</f>
        <v>86.50244444</v>
      </c>
      <c r="M36" s="17">
        <f>IFERROR(__xludf.DUMMYFUNCTION("AVERAGE(QUERY(SORT(GOOGLEFINANCE(B36,""price"",TODAY()-365,TODAY()),1,0),""select Col2 limit 120""))"),85.05258333333335)</f>
        <v>85.05258333</v>
      </c>
      <c r="N36" s="19">
        <f>IFERROR(__xludf.DUMMYFUNCTION("AVERAGE(QUERY(SORT(GOOGLEFINANCE(B36,""price"",TODAY()-365,TODAY()),1,0),""select Col2 limit 200""))"),92.38509999999998)</f>
        <v>92.3851</v>
      </c>
      <c r="O36" s="20" t="str">
        <f t="shared" si="2"/>
        <v>Avoid</v>
      </c>
      <c r="P36" s="21" t="str">
        <f t="shared" si="3"/>
        <v>200 DMA</v>
      </c>
      <c r="Q36" s="21" t="str">
        <f t="shared" si="4"/>
        <v/>
      </c>
      <c r="R36" s="22">
        <f>IFERROR(__xludf.DUMMYFUNCTION("GOOGLEFINANCE(B36, ""pe"")
"),20.44)</f>
        <v>20.44</v>
      </c>
    </row>
    <row r="37">
      <c r="A37" s="9" t="s">
        <v>50</v>
      </c>
      <c r="B37" s="11" t="str">
        <f t="shared" si="1"/>
        <v>NSE:SANGHVIMOV</v>
      </c>
      <c r="C37" s="12">
        <f>IFERROR(__xludf.DUMMYFUNCTION("GOOGLEFINANCE(B37,""marketcap"")/10000000"),2246.2141662)</f>
        <v>2246.214166</v>
      </c>
      <c r="D37" s="13">
        <f>IFERROR(__xludf.DUMMYFUNCTION("GOOGLEFINANCE(B37,""price"")"),259.0)</f>
        <v>259</v>
      </c>
      <c r="E37" s="14">
        <f>IFERROR(__xludf.DUMMYFUNCTION("GOOGLEFINANCE(B37,""Volume"")"),59276.0)</f>
        <v>59276</v>
      </c>
      <c r="F37" s="14">
        <f t="array" ref="F37">F36</f>
        <v>14</v>
      </c>
      <c r="G37" s="15" t="str">
        <f>IFERROR(__xludf.DUMMYFUNCTION("IF(E37&gt;AVERAGE(INDEX(GOOGLEFINANCE(B37,""volume"",WORKDAY(TODAY(),-$F$1),TODAY()),,2)),""Breakout"","""")"),"")</f>
        <v/>
      </c>
      <c r="H37" s="16">
        <f>IFERROR(__xludf.DUMMYFUNCTION("GOOGLEFINANCE(B37,""price"")"),259.0)</f>
        <v>259</v>
      </c>
      <c r="I37" s="17">
        <f>IFERROR(__xludf.DUMMYFUNCTION("AVERAGE(QUERY(SORT(GOOGLEFINANCE(B37,""price"",TODAY()-365,TODAY()),1,0),""select Col2 limit 10""))"),268.0199999999999)</f>
        <v>268.02</v>
      </c>
      <c r="J37" s="17">
        <f>IFERROR(__xludf.DUMMYFUNCTION("AVERAGE(QUERY(SORT(GOOGLEFINANCE(B37,""price"",TODAY()-365,TODAY()),1,0),""select Col2 limit 30""))"),276.7416666666666)</f>
        <v>276.7416667</v>
      </c>
      <c r="K37" s="18">
        <f>IFERROR(__xludf.DUMMYFUNCTION("AVERAGE(QUERY(SORT(GOOGLEFINANCE(B37,""price"",TODAY()-365,TODAY()),1,0),""select Col2 limit 60""))"),287.35916666666674)</f>
        <v>287.3591667</v>
      </c>
      <c r="L37" s="17">
        <f>IFERROR(__xludf.DUMMYFUNCTION("AVERAGE(QUERY(SORT(GOOGLEFINANCE(B37,""price"",TODAY()-365,TODAY()),1,0),""select Col2 limit 90""))"),279.16944444444454)</f>
        <v>279.1694444</v>
      </c>
      <c r="M37" s="17">
        <f>IFERROR(__xludf.DUMMYFUNCTION("AVERAGE(QUERY(SORT(GOOGLEFINANCE(B37,""price"",TODAY()-365,TODAY()),1,0),""select Col2 limit 120""))"),269.766)</f>
        <v>269.766</v>
      </c>
      <c r="N37" s="19">
        <f>IFERROR(__xludf.DUMMYFUNCTION("AVERAGE(QUERY(SORT(GOOGLEFINANCE(B37,""price"",TODAY()-365,TODAY()),1,0),""select Col2 limit 200""))"),299.12985000000003)</f>
        <v>299.12985</v>
      </c>
      <c r="O37" s="20" t="str">
        <f t="shared" si="2"/>
        <v>Avoid</v>
      </c>
      <c r="P37" s="21" t="str">
        <f t="shared" si="3"/>
        <v/>
      </c>
      <c r="Q37" s="21" t="str">
        <f t="shared" si="4"/>
        <v/>
      </c>
      <c r="R37" s="22">
        <f>IFERROR(__xludf.DUMMYFUNCTION("GOOGLEFINANCE(B37, ""pe"")
"),14.33)</f>
        <v>14.33</v>
      </c>
    </row>
    <row r="38">
      <c r="A38" s="9" t="s">
        <v>51</v>
      </c>
      <c r="B38" s="11" t="str">
        <f t="shared" si="1"/>
        <v>NSE:DYNAMATECH</v>
      </c>
      <c r="C38" s="12">
        <f>IFERROR(__xludf.DUMMYFUNCTION("GOOGLEFINANCE(B38,""marketcap"")/10000000"),4653.1571714)</f>
        <v>4653.157171</v>
      </c>
      <c r="D38" s="13">
        <f>IFERROR(__xludf.DUMMYFUNCTION("GOOGLEFINANCE(B38,""price"")"),6850.5)</f>
        <v>6850.5</v>
      </c>
      <c r="E38" s="14">
        <f>IFERROR(__xludf.DUMMYFUNCTION("GOOGLEFINANCE(B38,""Volume"")"),7086.0)</f>
        <v>7086</v>
      </c>
      <c r="F38" s="14">
        <f t="array" ref="F38">F37</f>
        <v>14</v>
      </c>
      <c r="G38" s="15" t="str">
        <f>IFERROR(__xludf.DUMMYFUNCTION("IF(E38&gt;AVERAGE(INDEX(GOOGLEFINANCE(B38,""volume"",WORKDAY(TODAY(),-$F$1),TODAY()),,2)),""Breakout"","""")"),"")</f>
        <v/>
      </c>
      <c r="H38" s="16">
        <f>IFERROR(__xludf.DUMMYFUNCTION("GOOGLEFINANCE(B38,""price"")"),6850.5)</f>
        <v>6850.5</v>
      </c>
      <c r="I38" s="17">
        <f>IFERROR(__xludf.DUMMYFUNCTION("AVERAGE(QUERY(SORT(GOOGLEFINANCE(B38,""price"",TODAY()-365,TODAY()),1,0),""select Col2 limit 10""))"),7179.45)</f>
        <v>7179.45</v>
      </c>
      <c r="J38" s="17">
        <f>IFERROR(__xludf.DUMMYFUNCTION("AVERAGE(QUERY(SORT(GOOGLEFINANCE(B38,""price"",TODAY()-365,TODAY()),1,0),""select Col2 limit 30""))"),7173.05)</f>
        <v>7173.05</v>
      </c>
      <c r="K38" s="18">
        <f>IFERROR(__xludf.DUMMYFUNCTION("AVERAGE(QUERY(SORT(GOOGLEFINANCE(B38,""price"",TODAY()-365,TODAY()),1,0),""select Col2 limit 60""))"),6992.908333333334)</f>
        <v>6992.908333</v>
      </c>
      <c r="L38" s="17">
        <f>IFERROR(__xludf.DUMMYFUNCTION("AVERAGE(QUERY(SORT(GOOGLEFINANCE(B38,""price"",TODAY()-365,TODAY()),1,0),""select Col2 limit 90""))"),6761.312222222219)</f>
        <v>6761.312222</v>
      </c>
      <c r="M38" s="17">
        <f>IFERROR(__xludf.DUMMYFUNCTION("AVERAGE(QUERY(SORT(GOOGLEFINANCE(B38,""price"",TODAY()-365,TODAY()),1,0),""select Col2 limit 120""))"),6715.162083333332)</f>
        <v>6715.162083</v>
      </c>
      <c r="N38" s="19">
        <f>IFERROR(__xludf.DUMMYFUNCTION("AVERAGE(QUERY(SORT(GOOGLEFINANCE(B38,""price"",TODAY()-365,TODAY()),1,0),""select Col2 limit 200""))"),7104.246250000001)</f>
        <v>7104.24625</v>
      </c>
      <c r="O38" s="20" t="str">
        <f t="shared" si="2"/>
        <v>Avoid</v>
      </c>
      <c r="P38" s="21" t="str">
        <f t="shared" si="3"/>
        <v/>
      </c>
      <c r="Q38" s="21" t="str">
        <f t="shared" si="4"/>
        <v/>
      </c>
      <c r="R38" s="22">
        <f>IFERROR(__xludf.DUMMYFUNCTION("GOOGLEFINANCE(B38, ""pe"")
"),108.06)</f>
        <v>108.06</v>
      </c>
    </row>
    <row r="39">
      <c r="A39" s="9" t="s">
        <v>52</v>
      </c>
      <c r="B39" s="11" t="str">
        <f t="shared" si="1"/>
        <v>NSE:ADVENZYMES</v>
      </c>
      <c r="C39" s="12">
        <f>IFERROR(__xludf.DUMMYFUNCTION("GOOGLEFINANCE(B39,""marketcap"")/10000000"),3861.0168292)</f>
        <v>3861.016829</v>
      </c>
      <c r="D39" s="13">
        <f>IFERROR(__xludf.DUMMYFUNCTION("GOOGLEFINANCE(B39,""price"")"),345.6)</f>
        <v>345.6</v>
      </c>
      <c r="E39" s="14">
        <f>IFERROR(__xludf.DUMMYFUNCTION("GOOGLEFINANCE(B39,""Volume"")"),934306.0)</f>
        <v>934306</v>
      </c>
      <c r="F39" s="14">
        <f t="array" ref="F39">F38</f>
        <v>14</v>
      </c>
      <c r="G39" s="15" t="str">
        <f>IFERROR(__xludf.DUMMYFUNCTION("IF(E39&gt;AVERAGE(INDEX(GOOGLEFINANCE(B39,""volume"",WORKDAY(TODAY(),-$F$1),TODAY()),,2)),""Breakout"","""")"),"Breakout")</f>
        <v>Breakout</v>
      </c>
      <c r="H39" s="16">
        <f>IFERROR(__xludf.DUMMYFUNCTION("GOOGLEFINANCE(B39,""price"")"),345.6)</f>
        <v>345.6</v>
      </c>
      <c r="I39" s="17">
        <f>IFERROR(__xludf.DUMMYFUNCTION("AVERAGE(QUERY(SORT(GOOGLEFINANCE(B39,""price"",TODAY()-365,TODAY()),1,0),""select Col2 limit 10""))"),329.355)</f>
        <v>329.355</v>
      </c>
      <c r="J39" s="17">
        <f>IFERROR(__xludf.DUMMYFUNCTION("AVERAGE(QUERY(SORT(GOOGLEFINANCE(B39,""price"",TODAY()-365,TODAY()),1,0),""select Col2 limit 30""))"),330.60166666666663)</f>
        <v>330.6016667</v>
      </c>
      <c r="K39" s="18">
        <f>IFERROR(__xludf.DUMMYFUNCTION("AVERAGE(QUERY(SORT(GOOGLEFINANCE(B39,""price"",TODAY()-365,TODAY()),1,0),""select Col2 limit 60""))"),314.7508333333334)</f>
        <v>314.7508333</v>
      </c>
      <c r="L39" s="17">
        <f>IFERROR(__xludf.DUMMYFUNCTION("AVERAGE(QUERY(SORT(GOOGLEFINANCE(B39,""price"",TODAY()-365,TODAY()),1,0),""select Col2 limit 90""))"),304.8300000000001)</f>
        <v>304.83</v>
      </c>
      <c r="M39" s="17">
        <f>IFERROR(__xludf.DUMMYFUNCTION("AVERAGE(QUERY(SORT(GOOGLEFINANCE(B39,""price"",TODAY()-365,TODAY()),1,0),""select Col2 limit 120""))"),304.02958333333333)</f>
        <v>304.0295833</v>
      </c>
      <c r="N39" s="19">
        <f>IFERROR(__xludf.DUMMYFUNCTION("AVERAGE(QUERY(SORT(GOOGLEFINANCE(B39,""price"",TODAY()-365,TODAY()),1,0),""select Col2 limit 200""))"),341.9587500000001)</f>
        <v>341.95875</v>
      </c>
      <c r="O39" s="20" t="str">
        <f t="shared" si="2"/>
        <v>Avoid</v>
      </c>
      <c r="P39" s="21" t="str">
        <f t="shared" si="3"/>
        <v/>
      </c>
      <c r="Q39" s="21" t="str">
        <f t="shared" si="4"/>
        <v/>
      </c>
      <c r="R39" s="22">
        <f>IFERROR(__xludf.DUMMYFUNCTION("GOOGLEFINANCE(B39, ""pe"")
"),29.41)</f>
        <v>29.41</v>
      </c>
    </row>
    <row r="40">
      <c r="A40" s="9" t="s">
        <v>53</v>
      </c>
      <c r="B40" s="11" t="str">
        <f t="shared" si="1"/>
        <v>NSE:FCL</v>
      </c>
      <c r="C40" s="12">
        <f>IFERROR(__xludf.DUMMYFUNCTION("GOOGLEFINANCE(B40,""marketcap"")/10000000"),3041.3935148)</f>
        <v>3041.393515</v>
      </c>
      <c r="D40" s="13">
        <f>IFERROR(__xludf.DUMMYFUNCTION("GOOGLEFINANCE(B40,""price"")"),265.45)</f>
        <v>265.45</v>
      </c>
      <c r="E40" s="14">
        <f>IFERROR(__xludf.DUMMYFUNCTION("GOOGLEFINANCE(B40,""Volume"")"),99330.0)</f>
        <v>99330</v>
      </c>
      <c r="F40" s="14">
        <f t="array" ref="F40">F39</f>
        <v>14</v>
      </c>
      <c r="G40" s="15" t="str">
        <f>IFERROR(__xludf.DUMMYFUNCTION("IF(E40&gt;AVERAGE(INDEX(GOOGLEFINANCE(B40,""volume"",WORKDAY(TODAY(),-$F$1),TODAY()),,2)),""Breakout"","""")"),"")</f>
        <v/>
      </c>
      <c r="H40" s="16">
        <f>IFERROR(__xludf.DUMMYFUNCTION("GOOGLEFINANCE(B40,""price"")"),265.45)</f>
        <v>265.45</v>
      </c>
      <c r="I40" s="17">
        <f>IFERROR(__xludf.DUMMYFUNCTION("AVERAGE(QUERY(SORT(GOOGLEFINANCE(B40,""price"",TODAY()-365,TODAY()),1,0),""select Col2 limit 10""))"),275.26)</f>
        <v>275.26</v>
      </c>
      <c r="J40" s="17">
        <f>IFERROR(__xludf.DUMMYFUNCTION("AVERAGE(QUERY(SORT(GOOGLEFINANCE(B40,""price"",TODAY()-365,TODAY()),1,0),""select Col2 limit 30""))"),274.5006666666667)</f>
        <v>274.5006667</v>
      </c>
      <c r="K40" s="18">
        <f>IFERROR(__xludf.DUMMYFUNCTION("AVERAGE(QUERY(SORT(GOOGLEFINANCE(B40,""price"",TODAY()-365,TODAY()),1,0),""select Col2 limit 60""))"),261.82266666666663)</f>
        <v>261.8226667</v>
      </c>
      <c r="L40" s="17">
        <f>IFERROR(__xludf.DUMMYFUNCTION("AVERAGE(QUERY(SORT(GOOGLEFINANCE(B40,""price"",TODAY()-365,TODAY()),1,0),""select Col2 limit 90""))"),252.89111111111117)</f>
        <v>252.8911111</v>
      </c>
      <c r="M40" s="17">
        <f>IFERROR(__xludf.DUMMYFUNCTION("AVERAGE(QUERY(SORT(GOOGLEFINANCE(B40,""price"",TODAY()-365,TODAY()),1,0),""select Col2 limit 120""))"),256.5879166666666)</f>
        <v>256.5879167</v>
      </c>
      <c r="N40" s="19">
        <f>IFERROR(__xludf.DUMMYFUNCTION("AVERAGE(QUERY(SORT(GOOGLEFINANCE(B40,""price"",TODAY()-365,TODAY()),1,0),""select Col2 limit 200""))"),294.99)</f>
        <v>294.99</v>
      </c>
      <c r="O40" s="20" t="str">
        <f t="shared" si="2"/>
        <v>Avoid</v>
      </c>
      <c r="P40" s="21" t="str">
        <f t="shared" si="3"/>
        <v/>
      </c>
      <c r="Q40" s="21" t="str">
        <f t="shared" si="4"/>
        <v/>
      </c>
      <c r="R40" s="22">
        <f>IFERROR(__xludf.DUMMYFUNCTION("GOOGLEFINANCE(B40, ""pe"")
"),27.85)</f>
        <v>27.85</v>
      </c>
    </row>
    <row r="41">
      <c r="A41" s="9" t="s">
        <v>54</v>
      </c>
      <c r="B41" s="11" t="str">
        <f t="shared" si="1"/>
        <v>NSE:IMAGICAA</v>
      </c>
      <c r="C41" s="12">
        <f>IFERROR(__xludf.DUMMYFUNCTION("GOOGLEFINANCE(B41,""marketcap"")/10000000"),3688.725)</f>
        <v>3688.725</v>
      </c>
      <c r="D41" s="13">
        <f>IFERROR(__xludf.DUMMYFUNCTION("GOOGLEFINANCE(B41,""price"")"),64.1)</f>
        <v>64.1</v>
      </c>
      <c r="E41" s="14">
        <f>IFERROR(__xludf.DUMMYFUNCTION("GOOGLEFINANCE(B41,""Volume"")"),232248.0)</f>
        <v>232248</v>
      </c>
      <c r="F41" s="14">
        <f t="array" ref="F41">F40</f>
        <v>14</v>
      </c>
      <c r="G41" s="15" t="str">
        <f>IFERROR(__xludf.DUMMYFUNCTION("IF(E41&gt;AVERAGE(INDEX(GOOGLEFINANCE(B41,""volume"",WORKDAY(TODAY(),-$F$1),TODAY()),,2)),""Breakout"","""")"),"")</f>
        <v/>
      </c>
      <c r="H41" s="16">
        <f>IFERROR(__xludf.DUMMYFUNCTION("GOOGLEFINANCE(B41,""price"")"),64.1)</f>
        <v>64.1</v>
      </c>
      <c r="I41" s="17">
        <f>IFERROR(__xludf.DUMMYFUNCTION("AVERAGE(QUERY(SORT(GOOGLEFINANCE(B41,""price"",TODAY()-365,TODAY()),1,0),""select Col2 limit 10""))"),66.97200000000001)</f>
        <v>66.972</v>
      </c>
      <c r="J41" s="17">
        <f>IFERROR(__xludf.DUMMYFUNCTION("AVERAGE(QUERY(SORT(GOOGLEFINANCE(B41,""price"",TODAY()-365,TODAY()),1,0),""select Col2 limit 30""))"),67.48166666666667)</f>
        <v>67.48166667</v>
      </c>
      <c r="K41" s="18">
        <f>IFERROR(__xludf.DUMMYFUNCTION("AVERAGE(QUERY(SORT(GOOGLEFINANCE(B41,""price"",TODAY()-365,TODAY()),1,0),""select Col2 limit 60""))"),67.109)</f>
        <v>67.109</v>
      </c>
      <c r="L41" s="17">
        <f>IFERROR(__xludf.DUMMYFUNCTION("AVERAGE(QUERY(SORT(GOOGLEFINANCE(B41,""price"",TODAY()-365,TODAY()),1,0),""select Col2 limit 90""))"),66.87577777777777)</f>
        <v>66.87577778</v>
      </c>
      <c r="M41" s="17">
        <f>IFERROR(__xludf.DUMMYFUNCTION("AVERAGE(QUERY(SORT(GOOGLEFINANCE(B41,""price"",TODAY()-365,TODAY()),1,0),""select Col2 limit 120""))"),66.73825)</f>
        <v>66.73825</v>
      </c>
      <c r="N41" s="19">
        <f>IFERROR(__xludf.DUMMYFUNCTION("AVERAGE(QUERY(SORT(GOOGLEFINANCE(B41,""price"",TODAY()-365,TODAY()),1,0),""select Col2 limit 200""))"),69.23445000000001)</f>
        <v>69.23445</v>
      </c>
      <c r="O41" s="20" t="str">
        <f t="shared" si="2"/>
        <v>Avoid</v>
      </c>
      <c r="P41" s="21" t="str">
        <f t="shared" si="3"/>
        <v/>
      </c>
      <c r="Q41" s="21" t="str">
        <f t="shared" si="4"/>
        <v/>
      </c>
      <c r="R41" s="22" t="str">
        <f>IFERROR(__xludf.DUMMYFUNCTION("GOOGLEFINANCE(B41, ""pe"")
"),"#N/A")</f>
        <v>#N/A</v>
      </c>
    </row>
    <row r="42">
      <c r="A42" s="9" t="s">
        <v>55</v>
      </c>
      <c r="B42" s="11" t="str">
        <f t="shared" si="1"/>
        <v>NSE:UNICHEMLAB</v>
      </c>
      <c r="C42" s="12">
        <f>IFERROR(__xludf.DUMMYFUNCTION("GOOGLEFINANCE(B42,""marketcap"")/10000000"),4385.2219668)</f>
        <v>4385.221967</v>
      </c>
      <c r="D42" s="13">
        <f>IFERROR(__xludf.DUMMYFUNCTION("GOOGLEFINANCE(B42,""price"")"),622.2)</f>
        <v>622.2</v>
      </c>
      <c r="E42" s="14">
        <f>IFERROR(__xludf.DUMMYFUNCTION("GOOGLEFINANCE(B42,""Volume"")"),5938.0)</f>
        <v>5938</v>
      </c>
      <c r="F42" s="14">
        <f t="array" ref="F42">F41</f>
        <v>14</v>
      </c>
      <c r="G42" s="15" t="str">
        <f>IFERROR(__xludf.DUMMYFUNCTION("IF(E42&gt;AVERAGE(INDEX(GOOGLEFINANCE(B42,""volume"",WORKDAY(TODAY(),-$F$1),TODAY()),,2)),""Breakout"","""")"),"")</f>
        <v/>
      </c>
      <c r="H42" s="16">
        <f>IFERROR(__xludf.DUMMYFUNCTION("GOOGLEFINANCE(B42,""price"")"),622.2)</f>
        <v>622.2</v>
      </c>
      <c r="I42" s="17">
        <f>IFERROR(__xludf.DUMMYFUNCTION("AVERAGE(QUERY(SORT(GOOGLEFINANCE(B42,""price"",TODAY()-365,TODAY()),1,0),""select Col2 limit 10""))"),628.245)</f>
        <v>628.245</v>
      </c>
      <c r="J42" s="17">
        <f>IFERROR(__xludf.DUMMYFUNCTION("AVERAGE(QUERY(SORT(GOOGLEFINANCE(B42,""price"",TODAY()-365,TODAY()),1,0),""select Col2 limit 30""))"),604.035)</f>
        <v>604.035</v>
      </c>
      <c r="K42" s="18">
        <f>IFERROR(__xludf.DUMMYFUNCTION("AVERAGE(QUERY(SORT(GOOGLEFINANCE(B42,""price"",TODAY()-365,TODAY()),1,0),""select Col2 limit 60""))"),600.1608333333332)</f>
        <v>600.1608333</v>
      </c>
      <c r="L42" s="17">
        <f>IFERROR(__xludf.DUMMYFUNCTION("AVERAGE(QUERY(SORT(GOOGLEFINANCE(B42,""price"",TODAY()-365,TODAY()),1,0),""select Col2 limit 90""))"),614.317222222222)</f>
        <v>614.3172222</v>
      </c>
      <c r="M42" s="17">
        <f>IFERROR(__xludf.DUMMYFUNCTION("AVERAGE(QUERY(SORT(GOOGLEFINANCE(B42,""price"",TODAY()-365,TODAY()),1,0),""select Col2 limit 120""))"),630.9270833333329)</f>
        <v>630.9270833</v>
      </c>
      <c r="N42" s="19">
        <f>IFERROR(__xludf.DUMMYFUNCTION("AVERAGE(QUERY(SORT(GOOGLEFINANCE(B42,""price"",TODAY()-365,TODAY()),1,0),""select Col2 limit 200""))"),685.7402499999998)</f>
        <v>685.74025</v>
      </c>
      <c r="O42" s="20" t="str">
        <f t="shared" si="2"/>
        <v>Avoid</v>
      </c>
      <c r="P42" s="21" t="str">
        <f t="shared" si="3"/>
        <v>10 DMA</v>
      </c>
      <c r="Q42" s="21" t="str">
        <f t="shared" si="4"/>
        <v/>
      </c>
      <c r="R42" s="22">
        <f>IFERROR(__xludf.DUMMYFUNCTION("GOOGLEFINANCE(B42, ""pe"")
"),31.95)</f>
        <v>31.95</v>
      </c>
    </row>
    <row r="43">
      <c r="A43" s="9" t="s">
        <v>56</v>
      </c>
      <c r="B43" s="11" t="str">
        <f t="shared" si="1"/>
        <v>NSE:NRBBEARING</v>
      </c>
      <c r="C43" s="12">
        <f>IFERROR(__xludf.DUMMYFUNCTION("GOOGLEFINANCE(B43,""marketcap"")/10000000"),2768.5940098)</f>
        <v>2768.59401</v>
      </c>
      <c r="D43" s="13">
        <f>IFERROR(__xludf.DUMMYFUNCTION("GOOGLEFINANCE(B43,""price"")"),286.2)</f>
        <v>286.2</v>
      </c>
      <c r="E43" s="14">
        <f>IFERROR(__xludf.DUMMYFUNCTION("GOOGLEFINANCE(B43,""Volume"")"),58273.0)</f>
        <v>58273</v>
      </c>
      <c r="F43" s="14">
        <f t="array" ref="F43">F42</f>
        <v>14</v>
      </c>
      <c r="G43" s="15" t="str">
        <f>IFERROR(__xludf.DUMMYFUNCTION("IF(E43&gt;AVERAGE(INDEX(GOOGLEFINANCE(B43,""volume"",WORKDAY(TODAY(),-$F$1),TODAY()),,2)),""Breakout"","""")"),"")</f>
        <v/>
      </c>
      <c r="H43" s="16">
        <f>IFERROR(__xludf.DUMMYFUNCTION("GOOGLEFINANCE(B43,""price"")"),286.2)</f>
        <v>286.2</v>
      </c>
      <c r="I43" s="17">
        <f>IFERROR(__xludf.DUMMYFUNCTION("AVERAGE(QUERY(SORT(GOOGLEFINANCE(B43,""price"",TODAY()-365,TODAY()),1,0),""select Col2 limit 10""))"),298.745)</f>
        <v>298.745</v>
      </c>
      <c r="J43" s="17">
        <f>IFERROR(__xludf.DUMMYFUNCTION("AVERAGE(QUERY(SORT(GOOGLEFINANCE(B43,""price"",TODAY()-365,TODAY()),1,0),""select Col2 limit 30""))"),290.1599999999999)</f>
        <v>290.16</v>
      </c>
      <c r="K43" s="18">
        <f>IFERROR(__xludf.DUMMYFUNCTION("AVERAGE(QUERY(SORT(GOOGLEFINANCE(B43,""price"",TODAY()-365,TODAY()),1,0),""select Col2 limit 60""))"),274.16483333333326)</f>
        <v>274.1648333</v>
      </c>
      <c r="L43" s="17">
        <f>IFERROR(__xludf.DUMMYFUNCTION("AVERAGE(QUERY(SORT(GOOGLEFINANCE(B43,""price"",TODAY()-365,TODAY()),1,0),""select Col2 limit 90""))"),255.13377777777774)</f>
        <v>255.1337778</v>
      </c>
      <c r="M43" s="17">
        <f>IFERROR(__xludf.DUMMYFUNCTION("AVERAGE(QUERY(SORT(GOOGLEFINANCE(B43,""price"",TODAY()-365,TODAY()),1,0),""select Col2 limit 120""))"),247.24075)</f>
        <v>247.24075</v>
      </c>
      <c r="N43" s="19">
        <f>IFERROR(__xludf.DUMMYFUNCTION("AVERAGE(QUERY(SORT(GOOGLEFINANCE(B43,""price"",TODAY()-365,TODAY()),1,0),""select Col2 limit 200""))"),259.64845)</f>
        <v>259.64845</v>
      </c>
      <c r="O43" s="20" t="str">
        <f t="shared" si="2"/>
        <v>Avoid</v>
      </c>
      <c r="P43" s="21" t="str">
        <f t="shared" si="3"/>
        <v/>
      </c>
      <c r="Q43" s="21" t="str">
        <f t="shared" si="4"/>
        <v/>
      </c>
      <c r="R43" s="22">
        <f>IFERROR(__xludf.DUMMYFUNCTION("GOOGLEFINANCE(B43, ""pe"")
"),34.9)</f>
        <v>34.9</v>
      </c>
    </row>
    <row r="44">
      <c r="A44" s="9" t="s">
        <v>57</v>
      </c>
      <c r="B44" s="11" t="str">
        <f t="shared" si="1"/>
        <v>NSE:SALASAR</v>
      </c>
      <c r="C44" s="12">
        <f>IFERROR(__xludf.DUMMYFUNCTION("GOOGLEFINANCE(B44,""marketcap"")/10000000"),1246.7279037)</f>
        <v>1246.727904</v>
      </c>
      <c r="D44" s="13">
        <f>IFERROR(__xludf.DUMMYFUNCTION("GOOGLEFINANCE(B44,""price"")"),7.22)</f>
        <v>7.22</v>
      </c>
      <c r="E44" s="14">
        <f>IFERROR(__xludf.DUMMYFUNCTION("GOOGLEFINANCE(B44,""Volume"")"),2427809.0)</f>
        <v>2427809</v>
      </c>
      <c r="F44" s="14">
        <f t="array" ref="F44">F43</f>
        <v>14</v>
      </c>
      <c r="G44" s="15" t="str">
        <f>IFERROR(__xludf.DUMMYFUNCTION("IF(E44&gt;AVERAGE(INDEX(GOOGLEFINANCE(B44,""volume"",WORKDAY(TODAY(),-$F$1),TODAY()),,2)),""Breakout"","""")"),"")</f>
        <v/>
      </c>
      <c r="H44" s="16">
        <f>IFERROR(__xludf.DUMMYFUNCTION("GOOGLEFINANCE(B44,""price"")"),7.22)</f>
        <v>7.22</v>
      </c>
      <c r="I44" s="17">
        <f>IFERROR(__xludf.DUMMYFUNCTION("AVERAGE(QUERY(SORT(GOOGLEFINANCE(B44,""price"",TODAY()-365,TODAY()),1,0),""select Col2 limit 10""))"),7.575)</f>
        <v>7.575</v>
      </c>
      <c r="J44" s="17">
        <f>IFERROR(__xludf.DUMMYFUNCTION("AVERAGE(QUERY(SORT(GOOGLEFINANCE(B44,""price"",TODAY()-365,TODAY()),1,0),""select Col2 limit 30""))"),7.6823333333333315)</f>
        <v>7.682333333</v>
      </c>
      <c r="K44" s="18">
        <f>IFERROR(__xludf.DUMMYFUNCTION("AVERAGE(QUERY(SORT(GOOGLEFINANCE(B44,""price"",TODAY()-365,TODAY()),1,0),""select Col2 limit 60""))"),8.247666666666667)</f>
        <v>8.247666667</v>
      </c>
      <c r="L44" s="17">
        <f>IFERROR(__xludf.DUMMYFUNCTION("AVERAGE(QUERY(SORT(GOOGLEFINANCE(B44,""price"",TODAY()-365,TODAY()),1,0),""select Col2 limit 90""))"),8.518555555555551)</f>
        <v>8.518555556</v>
      </c>
      <c r="M44" s="17">
        <f>IFERROR(__xludf.DUMMYFUNCTION("AVERAGE(QUERY(SORT(GOOGLEFINANCE(B44,""price"",TODAY()-365,TODAY()),1,0),""select Col2 limit 120""))"),8.991416666666664)</f>
        <v>8.991416667</v>
      </c>
      <c r="N44" s="19">
        <f>IFERROR(__xludf.DUMMYFUNCTION("AVERAGE(QUERY(SORT(GOOGLEFINANCE(B44,""price"",TODAY()-365,TODAY()),1,0),""select Col2 limit 200""))"),11.691399999999998)</f>
        <v>11.6914</v>
      </c>
      <c r="O44" s="20" t="str">
        <f t="shared" si="2"/>
        <v>Avoid</v>
      </c>
      <c r="P44" s="21" t="str">
        <f t="shared" si="3"/>
        <v/>
      </c>
      <c r="Q44" s="21" t="str">
        <f t="shared" si="4"/>
        <v/>
      </c>
      <c r="R44" s="22">
        <f>IFERROR(__xludf.DUMMYFUNCTION("GOOGLEFINANCE(B44, ""pe"")
"),65.64)</f>
        <v>65.64</v>
      </c>
    </row>
    <row r="45">
      <c r="A45" s="9" t="s">
        <v>58</v>
      </c>
      <c r="B45" s="11" t="str">
        <f t="shared" si="1"/>
        <v>NSE:BFUTILITIE</v>
      </c>
      <c r="C45" s="12">
        <f>IFERROR(__xludf.DUMMYFUNCTION("GOOGLEFINANCE(B45,""marketcap"")/10000000"),2820.3630475)</f>
        <v>2820.363048</v>
      </c>
      <c r="D45" s="13">
        <f>IFERROR(__xludf.DUMMYFUNCTION("GOOGLEFINANCE(B45,""price"")"),749.15)</f>
        <v>749.15</v>
      </c>
      <c r="E45" s="14">
        <f>IFERROR(__xludf.DUMMYFUNCTION("GOOGLEFINANCE(B45,""Volume"")"),37610.0)</f>
        <v>37610</v>
      </c>
      <c r="F45" s="14">
        <f t="array" ref="F45">F44</f>
        <v>14</v>
      </c>
      <c r="G45" s="15" t="str">
        <f>IFERROR(__xludf.DUMMYFUNCTION("IF(E45&gt;AVERAGE(INDEX(GOOGLEFINANCE(B45,""volume"",WORKDAY(TODAY(),-$F$1),TODAY()),,2)),""Breakout"","""")"),"")</f>
        <v/>
      </c>
      <c r="H45" s="16">
        <f>IFERROR(__xludf.DUMMYFUNCTION("GOOGLEFINANCE(B45,""price"")"),749.15)</f>
        <v>749.15</v>
      </c>
      <c r="I45" s="17">
        <f>IFERROR(__xludf.DUMMYFUNCTION("AVERAGE(QUERY(SORT(GOOGLEFINANCE(B45,""price"",TODAY()-365,TODAY()),1,0),""select Col2 limit 10""))"),810.6049999999999)</f>
        <v>810.605</v>
      </c>
      <c r="J45" s="17">
        <f>IFERROR(__xludf.DUMMYFUNCTION("AVERAGE(QUERY(SORT(GOOGLEFINANCE(B45,""price"",TODAY()-365,TODAY()),1,0),""select Col2 limit 30""))"),797.875)</f>
        <v>797.875</v>
      </c>
      <c r="K45" s="18">
        <f>IFERROR(__xludf.DUMMYFUNCTION("AVERAGE(QUERY(SORT(GOOGLEFINANCE(B45,""price"",TODAY()-365,TODAY()),1,0),""select Col2 limit 60""))"),774.2425)</f>
        <v>774.2425</v>
      </c>
      <c r="L45" s="17">
        <f>IFERROR(__xludf.DUMMYFUNCTION("AVERAGE(QUERY(SORT(GOOGLEFINANCE(B45,""price"",TODAY()-365,TODAY()),1,0),""select Col2 limit 90""))"),758.5366666666669)</f>
        <v>758.5366667</v>
      </c>
      <c r="M45" s="17">
        <f>IFERROR(__xludf.DUMMYFUNCTION("AVERAGE(QUERY(SORT(GOOGLEFINANCE(B45,""price"",TODAY()-365,TODAY()),1,0),""select Col2 limit 120""))"),746.6954166666669)</f>
        <v>746.6954167</v>
      </c>
      <c r="N45" s="19">
        <f>IFERROR(__xludf.DUMMYFUNCTION("AVERAGE(QUERY(SORT(GOOGLEFINANCE(B45,""price"",TODAY()-365,TODAY()),1,0),""select Col2 limit 200""))"),824.8144999999997)</f>
        <v>824.8145</v>
      </c>
      <c r="O45" s="20" t="str">
        <f t="shared" si="2"/>
        <v>Avoid</v>
      </c>
      <c r="P45" s="21" t="str">
        <f t="shared" si="3"/>
        <v/>
      </c>
      <c r="Q45" s="21" t="str">
        <f t="shared" si="4"/>
        <v/>
      </c>
      <c r="R45" s="22">
        <f>IFERROR(__xludf.DUMMYFUNCTION("GOOGLEFINANCE(B45, ""pe"")
"),19.02)</f>
        <v>19.02</v>
      </c>
    </row>
    <row r="46">
      <c r="A46" s="9" t="s">
        <v>59</v>
      </c>
      <c r="B46" s="11" t="str">
        <f t="shared" si="1"/>
        <v>NSE:DOLLAR</v>
      </c>
      <c r="C46" s="12">
        <f>IFERROR(__xludf.DUMMYFUNCTION("GOOGLEFINANCE(B46,""marketcap"")/10000000"),2138.197347)</f>
        <v>2138.197347</v>
      </c>
      <c r="D46" s="13">
        <f>IFERROR(__xludf.DUMMYFUNCTION("GOOGLEFINANCE(B46,""price"")"),376.85)</f>
        <v>376.85</v>
      </c>
      <c r="E46" s="14">
        <f>IFERROR(__xludf.DUMMYFUNCTION("GOOGLEFINANCE(B46,""Volume"")"),20905.0)</f>
        <v>20905</v>
      </c>
      <c r="F46" s="14">
        <f t="array" ref="F46">F45</f>
        <v>14</v>
      </c>
      <c r="G46" s="15" t="str">
        <f>IFERROR(__xludf.DUMMYFUNCTION("IF(E46&gt;AVERAGE(INDEX(GOOGLEFINANCE(B46,""volume"",WORKDAY(TODAY(),-$F$1),TODAY()),,2)),""Breakout"","""")"),"")</f>
        <v/>
      </c>
      <c r="H46" s="16">
        <f>IFERROR(__xludf.DUMMYFUNCTION("GOOGLEFINANCE(B46,""price"")"),376.85)</f>
        <v>376.85</v>
      </c>
      <c r="I46" s="17">
        <f>IFERROR(__xludf.DUMMYFUNCTION("AVERAGE(QUERY(SORT(GOOGLEFINANCE(B46,""price"",TODAY()-365,TODAY()),1,0),""select Col2 limit 10""))"),396.2900000000001)</f>
        <v>396.29</v>
      </c>
      <c r="J46" s="17">
        <f>IFERROR(__xludf.DUMMYFUNCTION("AVERAGE(QUERY(SORT(GOOGLEFINANCE(B46,""price"",TODAY()-365,TODAY()),1,0),""select Col2 limit 30""))"),385.9300000000001)</f>
        <v>385.93</v>
      </c>
      <c r="K46" s="18">
        <f>IFERROR(__xludf.DUMMYFUNCTION("AVERAGE(QUERY(SORT(GOOGLEFINANCE(B46,""price"",TODAY()-365,TODAY()),1,0),""select Col2 limit 60""))"),391.9125000000001)</f>
        <v>391.9125</v>
      </c>
      <c r="L46" s="17">
        <f>IFERROR(__xludf.DUMMYFUNCTION("AVERAGE(QUERY(SORT(GOOGLEFINANCE(B46,""price"",TODAY()-365,TODAY()),1,0),""select Col2 limit 90""))"),389.9572222222223)</f>
        <v>389.9572222</v>
      </c>
      <c r="M46" s="17">
        <f>IFERROR(__xludf.DUMMYFUNCTION("AVERAGE(QUERY(SORT(GOOGLEFINANCE(B46,""price"",TODAY()-365,TODAY()),1,0),""select Col2 limit 120""))"),393.4650000000001)</f>
        <v>393.465</v>
      </c>
      <c r="N46" s="19">
        <f>IFERROR(__xludf.DUMMYFUNCTION("AVERAGE(QUERY(SORT(GOOGLEFINANCE(B46,""price"",TODAY()-365,TODAY()),1,0),""select Col2 limit 200""))"),434.40399999999994)</f>
        <v>434.404</v>
      </c>
      <c r="O46" s="20" t="str">
        <f t="shared" si="2"/>
        <v>Avoid</v>
      </c>
      <c r="P46" s="21" t="str">
        <f t="shared" si="3"/>
        <v/>
      </c>
      <c r="Q46" s="21" t="str">
        <f t="shared" si="4"/>
        <v/>
      </c>
      <c r="R46" s="22">
        <f>IFERROR(__xludf.DUMMYFUNCTION("GOOGLEFINANCE(B46, ""pe"")
"),23.5)</f>
        <v>23.5</v>
      </c>
    </row>
    <row r="47">
      <c r="A47" s="9" t="s">
        <v>60</v>
      </c>
      <c r="B47" s="11" t="str">
        <f t="shared" si="1"/>
        <v>NSE:SMLISUZU</v>
      </c>
      <c r="C47" s="12">
        <f>IFERROR(__xludf.DUMMYFUNCTION("GOOGLEFINANCE(B47,""marketcap"")/10000000"),5223.538458)</f>
        <v>5223.538458</v>
      </c>
      <c r="D47" s="13">
        <f>IFERROR(__xludf.DUMMYFUNCTION("GOOGLEFINANCE(B47,""price"")"),3609.5)</f>
        <v>3609.5</v>
      </c>
      <c r="E47" s="14">
        <f>IFERROR(__xludf.DUMMYFUNCTION("GOOGLEFINANCE(B47,""Volume"")"),168046.0)</f>
        <v>168046</v>
      </c>
      <c r="F47" s="14">
        <f t="array" ref="F47">F46</f>
        <v>14</v>
      </c>
      <c r="G47" s="15" t="str">
        <f>IFERROR(__xludf.DUMMYFUNCTION("IF(E47&gt;AVERAGE(INDEX(GOOGLEFINANCE(B47,""volume"",WORKDAY(TODAY(),-$F$1),TODAY()),,2)),""Breakout"","""")"),"")</f>
        <v/>
      </c>
      <c r="H47" s="16">
        <f>IFERROR(__xludf.DUMMYFUNCTION("GOOGLEFINANCE(B47,""price"")"),3609.5)</f>
        <v>3609.5</v>
      </c>
      <c r="I47" s="17">
        <f>IFERROR(__xludf.DUMMYFUNCTION("AVERAGE(QUERY(SORT(GOOGLEFINANCE(B47,""price"",TODAY()-365,TODAY()),1,0),""select Col2 limit 10""))"),3515.45)</f>
        <v>3515.45</v>
      </c>
      <c r="J47" s="17">
        <f>IFERROR(__xludf.DUMMYFUNCTION("AVERAGE(QUERY(SORT(GOOGLEFINANCE(B47,""price"",TODAY()-365,TODAY()),1,0),""select Col2 limit 30""))"),2678.3600000000006)</f>
        <v>2678.36</v>
      </c>
      <c r="K47" s="18">
        <f>IFERROR(__xludf.DUMMYFUNCTION("AVERAGE(QUERY(SORT(GOOGLEFINANCE(B47,""price"",TODAY()-365,TODAY()),1,0),""select Col2 limit 60""))"),2212.8349999999996)</f>
        <v>2212.835</v>
      </c>
      <c r="L47" s="17">
        <f>IFERROR(__xludf.DUMMYFUNCTION("AVERAGE(QUERY(SORT(GOOGLEFINANCE(B47,""price"",TODAY()-365,TODAY()),1,0),""select Col2 limit 90""))"),2009.392222222222)</f>
        <v>2009.392222</v>
      </c>
      <c r="M47" s="17">
        <f>IFERROR(__xludf.DUMMYFUNCTION("AVERAGE(QUERY(SORT(GOOGLEFINANCE(B47,""price"",TODAY()-365,TODAY()),1,0),""select Col2 limit 120""))"),1809.3154166666668)</f>
        <v>1809.315417</v>
      </c>
      <c r="N47" s="19">
        <f>IFERROR(__xludf.DUMMYFUNCTION("AVERAGE(QUERY(SORT(GOOGLEFINANCE(B47,""price"",TODAY()-365,TODAY()),1,0),""select Col2 limit 200""))"),1724.5430000000001)</f>
        <v>1724.543</v>
      </c>
      <c r="O47" s="20" t="str">
        <f t="shared" si="2"/>
        <v>Avoid</v>
      </c>
      <c r="P47" s="21" t="str">
        <f t="shared" si="3"/>
        <v/>
      </c>
      <c r="Q47" s="21" t="str">
        <f t="shared" si="4"/>
        <v/>
      </c>
      <c r="R47" s="22">
        <f>IFERROR(__xludf.DUMMYFUNCTION("GOOGLEFINANCE(B47, ""pe"")
"),36.72)</f>
        <v>36.72</v>
      </c>
    </row>
    <row r="48">
      <c r="A48" s="9" t="s">
        <v>61</v>
      </c>
      <c r="B48" s="11" t="str">
        <f t="shared" si="1"/>
        <v>NSE:SHK</v>
      </c>
      <c r="C48" s="12">
        <f>IFERROR(__xludf.DUMMYFUNCTION("GOOGLEFINANCE(B48,""marketcap"")/10000000"),3544.264415)</f>
        <v>3544.264415</v>
      </c>
      <c r="D48" s="13">
        <f>IFERROR(__xludf.DUMMYFUNCTION("GOOGLEFINANCE(B48,""price"")"),256.27)</f>
        <v>256.27</v>
      </c>
      <c r="E48" s="14">
        <f>IFERROR(__xludf.DUMMYFUNCTION("GOOGLEFINANCE(B48,""Volume"")"),143191.0)</f>
        <v>143191</v>
      </c>
      <c r="F48" s="14">
        <f t="array" ref="F48">F47</f>
        <v>14</v>
      </c>
      <c r="G48" s="15" t="str">
        <f>IFERROR(__xludf.DUMMYFUNCTION("IF(E48&gt;AVERAGE(INDEX(GOOGLEFINANCE(B48,""volume"",WORKDAY(TODAY(),-$F$1),TODAY()),,2)),""Breakout"","""")"),"")</f>
        <v/>
      </c>
      <c r="H48" s="16">
        <f>IFERROR(__xludf.DUMMYFUNCTION("GOOGLEFINANCE(B48,""price"")"),256.27)</f>
        <v>256.27</v>
      </c>
      <c r="I48" s="17">
        <f>IFERROR(__xludf.DUMMYFUNCTION("AVERAGE(QUERY(SORT(GOOGLEFINANCE(B48,""price"",TODAY()-365,TODAY()),1,0),""select Col2 limit 10""))"),249.998)</f>
        <v>249.998</v>
      </c>
      <c r="J48" s="17">
        <f>IFERROR(__xludf.DUMMYFUNCTION("AVERAGE(QUERY(SORT(GOOGLEFINANCE(B48,""price"",TODAY()-365,TODAY()),1,0),""select Col2 limit 30""))"),240.91100000000003)</f>
        <v>240.911</v>
      </c>
      <c r="K48" s="18">
        <f>IFERROR(__xludf.DUMMYFUNCTION("AVERAGE(QUERY(SORT(GOOGLEFINANCE(B48,""price"",TODAY()-365,TODAY()),1,0),""select Col2 limit 60""))"),233.45833333333334)</f>
        <v>233.4583333</v>
      </c>
      <c r="L48" s="17">
        <f>IFERROR(__xludf.DUMMYFUNCTION("AVERAGE(QUERY(SORT(GOOGLEFINANCE(B48,""price"",TODAY()-365,TODAY()),1,0),""select Col2 limit 90""))"),218.82077777777778)</f>
        <v>218.8207778</v>
      </c>
      <c r="M48" s="17">
        <f>IFERROR(__xludf.DUMMYFUNCTION("AVERAGE(QUERY(SORT(GOOGLEFINANCE(B48,""price"",TODAY()-365,TODAY()),1,0),""select Col2 limit 120""))"),210.5985)</f>
        <v>210.5985</v>
      </c>
      <c r="N48" s="19">
        <f>IFERROR(__xludf.DUMMYFUNCTION("AVERAGE(QUERY(SORT(GOOGLEFINANCE(B48,""price"",TODAY()-365,TODAY()),1,0),""select Col2 limit 200""))"),234.4058000000001)</f>
        <v>234.4058</v>
      </c>
      <c r="O48" s="20" t="str">
        <f t="shared" si="2"/>
        <v>Avoid</v>
      </c>
      <c r="P48" s="21" t="str">
        <f t="shared" si="3"/>
        <v/>
      </c>
      <c r="Q48" s="21" t="str">
        <f t="shared" si="4"/>
        <v/>
      </c>
      <c r="R48" s="22">
        <f>IFERROR(__xludf.DUMMYFUNCTION("GOOGLEFINANCE(B48, ""pe"")
"),47.78)</f>
        <v>47.78</v>
      </c>
    </row>
    <row r="49">
      <c r="A49" s="9" t="s">
        <v>62</v>
      </c>
      <c r="B49" s="11" t="str">
        <f t="shared" si="1"/>
        <v>NSE:AJMERA</v>
      </c>
      <c r="C49" s="12">
        <f>IFERROR(__xludf.DUMMYFUNCTION("GOOGLEFINANCE(B49,""marketcap"")/10000000"),3644.655438)</f>
        <v>3644.655438</v>
      </c>
      <c r="D49" s="13">
        <f>IFERROR(__xludf.DUMMYFUNCTION("GOOGLEFINANCE(B49,""price"")"),924.95)</f>
        <v>924.95</v>
      </c>
      <c r="E49" s="14">
        <f>IFERROR(__xludf.DUMMYFUNCTION("GOOGLEFINANCE(B49,""Volume"")"),43725.0)</f>
        <v>43725</v>
      </c>
      <c r="F49" s="14">
        <f t="array" ref="F49">F48</f>
        <v>14</v>
      </c>
      <c r="G49" s="15" t="str">
        <f>IFERROR(__xludf.DUMMYFUNCTION("IF(E49&gt;AVERAGE(INDEX(GOOGLEFINANCE(B49,""volume"",WORKDAY(TODAY(),-$F$1),TODAY()),,2)),""Breakout"","""")"),"")</f>
        <v/>
      </c>
      <c r="H49" s="16">
        <f>IFERROR(__xludf.DUMMYFUNCTION("GOOGLEFINANCE(B49,""price"")"),924.95)</f>
        <v>924.95</v>
      </c>
      <c r="I49" s="17">
        <f>IFERROR(__xludf.DUMMYFUNCTION("AVERAGE(QUERY(SORT(GOOGLEFINANCE(B49,""price"",TODAY()-365,TODAY()),1,0),""select Col2 limit 10""))"),919.11)</f>
        <v>919.11</v>
      </c>
      <c r="J49" s="17">
        <f>IFERROR(__xludf.DUMMYFUNCTION("AVERAGE(QUERY(SORT(GOOGLEFINANCE(B49,""price"",TODAY()-365,TODAY()),1,0),""select Col2 limit 30""))"),925.878333333333)</f>
        <v>925.8783333</v>
      </c>
      <c r="K49" s="18">
        <f>IFERROR(__xludf.DUMMYFUNCTION("AVERAGE(QUERY(SORT(GOOGLEFINANCE(B49,""price"",TODAY()-365,TODAY()),1,0),""select Col2 limit 60""))"),880.7524999999998)</f>
        <v>880.7525</v>
      </c>
      <c r="L49" s="17">
        <f>IFERROR(__xludf.DUMMYFUNCTION("AVERAGE(QUERY(SORT(GOOGLEFINANCE(B49,""price"",TODAY()-365,TODAY()),1,0),""select Col2 limit 90""))"),873.9072222222221)</f>
        <v>873.9072222</v>
      </c>
      <c r="M49" s="17">
        <f>IFERROR(__xludf.DUMMYFUNCTION("AVERAGE(QUERY(SORT(GOOGLEFINANCE(B49,""price"",TODAY()-365,TODAY()),1,0),""select Col2 limit 120""))"),869.4091666666667)</f>
        <v>869.4091667</v>
      </c>
      <c r="N49" s="19">
        <f>IFERROR(__xludf.DUMMYFUNCTION("AVERAGE(QUERY(SORT(GOOGLEFINANCE(B49,""price"",TODAY()-365,TODAY()),1,0),""select Col2 limit 200""))"),907.9680000000003)</f>
        <v>907.968</v>
      </c>
      <c r="O49" s="20" t="str">
        <f t="shared" si="2"/>
        <v>Avoid</v>
      </c>
      <c r="P49" s="21" t="str">
        <f t="shared" si="3"/>
        <v>30 DMA</v>
      </c>
      <c r="Q49" s="21" t="str">
        <f t="shared" si="4"/>
        <v/>
      </c>
      <c r="R49" s="22">
        <f>IFERROR(__xludf.DUMMYFUNCTION("GOOGLEFINANCE(B49, ""pe"")
"),26.45)</f>
        <v>26.45</v>
      </c>
    </row>
    <row r="50">
      <c r="A50" s="9" t="s">
        <v>63</v>
      </c>
      <c r="B50" s="11" t="str">
        <f t="shared" si="1"/>
        <v>NSE:CAPACITE</v>
      </c>
      <c r="C50" s="12">
        <f>IFERROR(__xludf.DUMMYFUNCTION("GOOGLEFINANCE(B50,""marketcap"")/10000000"),2627.3786694)</f>
        <v>2627.378669</v>
      </c>
      <c r="D50" s="13">
        <f>IFERROR(__xludf.DUMMYFUNCTION("GOOGLEFINANCE(B50,""price"")"),310.55)</f>
        <v>310.55</v>
      </c>
      <c r="E50" s="14">
        <f>IFERROR(__xludf.DUMMYFUNCTION("GOOGLEFINANCE(B50,""Volume"")"),279740.0)</f>
        <v>279740</v>
      </c>
      <c r="F50" s="14">
        <f t="array" ref="F50">F49</f>
        <v>14</v>
      </c>
      <c r="G50" s="15" t="str">
        <f>IFERROR(__xludf.DUMMYFUNCTION("IF(E50&gt;AVERAGE(INDEX(GOOGLEFINANCE(B50,""volume"",WORKDAY(TODAY(),-$F$1),TODAY()),,2)),""Breakout"","""")"),"")</f>
        <v/>
      </c>
      <c r="H50" s="16">
        <f>IFERROR(__xludf.DUMMYFUNCTION("GOOGLEFINANCE(B50,""price"")"),310.55)</f>
        <v>310.55</v>
      </c>
      <c r="I50" s="17" t="str">
        <f>IFERROR(__xludf.DUMMYFUNCTION("AVERAGE(QUERY(SORT(GOOGLEFINANCE(B50,""price"",TODAY()-365,TODAY()),1,0),""select Col2 limit 10""))"),"#N/A")</f>
        <v>#N/A</v>
      </c>
      <c r="J50" s="17" t="str">
        <f>IFERROR(__xludf.DUMMYFUNCTION("AVERAGE(QUERY(SORT(GOOGLEFINANCE(B50,""price"",TODAY()-365,TODAY()),1,0),""select Col2 limit 30""))"),"#N/A")</f>
        <v>#N/A</v>
      </c>
      <c r="K50" s="18" t="str">
        <f>IFERROR(__xludf.DUMMYFUNCTION("AVERAGE(QUERY(SORT(GOOGLEFINANCE(B50,""price"",TODAY()-365,TODAY()),1,0),""select Col2 limit 60""))"),"#N/A")</f>
        <v>#N/A</v>
      </c>
      <c r="L50" s="17" t="str">
        <f>IFERROR(__xludf.DUMMYFUNCTION("AVERAGE(QUERY(SORT(GOOGLEFINANCE(B50,""price"",TODAY()-365,TODAY()),1,0),""select Col2 limit 90""))"),"#N/A")</f>
        <v>#N/A</v>
      </c>
      <c r="M50" s="17" t="str">
        <f>IFERROR(__xludf.DUMMYFUNCTION("AVERAGE(QUERY(SORT(GOOGLEFINANCE(B50,""price"",TODAY()-365,TODAY()),1,0),""select Col2 limit 120""))"),"#N/A")</f>
        <v>#N/A</v>
      </c>
      <c r="N50" s="19" t="str">
        <f>IFERROR(__xludf.DUMMYFUNCTION("AVERAGE(QUERY(SORT(GOOGLEFINANCE(B50,""price"",TODAY()-365,TODAY()),1,0),""select Col2 limit 200""))"),"#N/A")</f>
        <v>#N/A</v>
      </c>
      <c r="O50" s="20" t="str">
        <f t="shared" si="2"/>
        <v>#N/A</v>
      </c>
      <c r="P50" s="21" t="str">
        <f t="shared" si="3"/>
        <v>#N/A</v>
      </c>
      <c r="Q50" s="21" t="str">
        <f t="shared" si="4"/>
        <v>#N/A</v>
      </c>
      <c r="R50" s="22">
        <f>IFERROR(__xludf.DUMMYFUNCTION("GOOGLEFINANCE(B50, ""pe"")
"),12.97)</f>
        <v>12.97</v>
      </c>
    </row>
    <row r="51">
      <c r="A51" s="9" t="s">
        <v>64</v>
      </c>
      <c r="B51" s="11" t="str">
        <f t="shared" si="1"/>
        <v>NSE:ORIENTHOT</v>
      </c>
      <c r="C51" s="12">
        <f>IFERROR(__xludf.DUMMYFUNCTION("GOOGLEFINANCE(B51,""marketcap"")/10000000"),2612.7261139)</f>
        <v>2612.726114</v>
      </c>
      <c r="D51" s="13">
        <f>IFERROR(__xludf.DUMMYFUNCTION("GOOGLEFINANCE(B51,""price"")"),146.05)</f>
        <v>146.05</v>
      </c>
      <c r="E51" s="14">
        <f>IFERROR(__xludf.DUMMYFUNCTION("GOOGLEFINANCE(B51,""Volume"")"),35957.0)</f>
        <v>35957</v>
      </c>
      <c r="F51" s="14">
        <f t="array" ref="F51">F50</f>
        <v>14</v>
      </c>
      <c r="G51" s="15" t="str">
        <f>IFERROR(__xludf.DUMMYFUNCTION("IF(E51&gt;AVERAGE(INDEX(GOOGLEFINANCE(B51,""volume"",WORKDAY(TODAY(),-$F$1),TODAY()),,2)),""Breakout"","""")"),"")</f>
        <v/>
      </c>
      <c r="H51" s="16">
        <f>IFERROR(__xludf.DUMMYFUNCTION("GOOGLEFINANCE(B51,""price"")"),146.05)</f>
        <v>146.05</v>
      </c>
      <c r="I51" s="17">
        <f>IFERROR(__xludf.DUMMYFUNCTION("AVERAGE(QUERY(SORT(GOOGLEFINANCE(B51,""price"",TODAY()-365,TODAY()),1,0),""select Col2 limit 10""))"),153.721)</f>
        <v>153.721</v>
      </c>
      <c r="J51" s="17">
        <f>IFERROR(__xludf.DUMMYFUNCTION("AVERAGE(QUERY(SORT(GOOGLEFINANCE(B51,""price"",TODAY()-365,TODAY()),1,0),""select Col2 limit 30""))"),149.90766666666664)</f>
        <v>149.9076667</v>
      </c>
      <c r="K51" s="18">
        <f>IFERROR(__xludf.DUMMYFUNCTION("AVERAGE(QUERY(SORT(GOOGLEFINANCE(B51,""price"",TODAY()-365,TODAY()),1,0),""select Col2 limit 60""))"),149.57649999999998)</f>
        <v>149.5765</v>
      </c>
      <c r="L51" s="17">
        <f>IFERROR(__xludf.DUMMYFUNCTION("AVERAGE(QUERY(SORT(GOOGLEFINANCE(B51,""price"",TODAY()-365,TODAY()),1,0),""select Col2 limit 90""))"),148.25555555555553)</f>
        <v>148.2555556</v>
      </c>
      <c r="M51" s="17">
        <f>IFERROR(__xludf.DUMMYFUNCTION("AVERAGE(QUERY(SORT(GOOGLEFINANCE(B51,""price"",TODAY()-365,TODAY()),1,0),""select Col2 limit 120""))"),146.52824999999993)</f>
        <v>146.52825</v>
      </c>
      <c r="N51" s="19">
        <f>IFERROR(__xludf.DUMMYFUNCTION("AVERAGE(QUERY(SORT(GOOGLEFINANCE(B51,""price"",TODAY()-365,TODAY()),1,0),""select Col2 limit 200""))"),158.67924999999994)</f>
        <v>158.67925</v>
      </c>
      <c r="O51" s="20" t="str">
        <f t="shared" si="2"/>
        <v>Avoid</v>
      </c>
      <c r="P51" s="21" t="str">
        <f t="shared" si="3"/>
        <v>120 DMA</v>
      </c>
      <c r="Q51" s="21" t="str">
        <f t="shared" si="4"/>
        <v/>
      </c>
      <c r="R51" s="22">
        <f>IFERROR(__xludf.DUMMYFUNCTION("GOOGLEFINANCE(B51, ""pe"")
"),55.57)</f>
        <v>55.57</v>
      </c>
    </row>
    <row r="52">
      <c r="A52" s="9" t="s">
        <v>65</v>
      </c>
      <c r="B52" s="11" t="str">
        <f t="shared" si="1"/>
        <v>NSE:CUPID</v>
      </c>
      <c r="C52" s="12">
        <f>IFERROR(__xludf.DUMMYFUNCTION("GOOGLEFINANCE(B52,""marketcap"")/10000000"),4026.9189877)</f>
        <v>4026.918988</v>
      </c>
      <c r="D52" s="13">
        <f>IFERROR(__xludf.DUMMYFUNCTION("GOOGLEFINANCE(B52,""price"")"),150.1)</f>
        <v>150.1</v>
      </c>
      <c r="E52" s="14">
        <f>IFERROR(__xludf.DUMMYFUNCTION("GOOGLEFINANCE(B52,""Volume"")"),1524661.0)</f>
        <v>1524661</v>
      </c>
      <c r="F52" s="14">
        <f t="array" ref="F52">F51</f>
        <v>14</v>
      </c>
      <c r="G52" s="15" t="str">
        <f>IFERROR(__xludf.DUMMYFUNCTION("IF(E52&gt;AVERAGE(INDEX(GOOGLEFINANCE(B52,""volume"",WORKDAY(TODAY(),-$F$1),TODAY()),,2)),""Breakout"","""")"),"")</f>
        <v/>
      </c>
      <c r="H52" s="16">
        <f>IFERROR(__xludf.DUMMYFUNCTION("GOOGLEFINANCE(B52,""price"")"),150.1)</f>
        <v>150.1</v>
      </c>
      <c r="I52" s="17">
        <f>IFERROR(__xludf.DUMMYFUNCTION("AVERAGE(QUERY(SORT(GOOGLEFINANCE(B52,""price"",TODAY()-365,TODAY()),1,0),""select Col2 limit 10""))"),140.839)</f>
        <v>140.839</v>
      </c>
      <c r="J52" s="17">
        <f>IFERROR(__xludf.DUMMYFUNCTION("AVERAGE(QUERY(SORT(GOOGLEFINANCE(B52,""price"",TODAY()-365,TODAY()),1,0),""select Col2 limit 30""))"),115.512)</f>
        <v>115.512</v>
      </c>
      <c r="K52" s="18">
        <f>IFERROR(__xludf.DUMMYFUNCTION("AVERAGE(QUERY(SORT(GOOGLEFINANCE(B52,""price"",TODAY()-365,TODAY()),1,0),""select Col2 limit 60""))"),106.64166666666664)</f>
        <v>106.6416667</v>
      </c>
      <c r="L52" s="17">
        <f>IFERROR(__xludf.DUMMYFUNCTION("AVERAGE(QUERY(SORT(GOOGLEFINANCE(B52,""price"",TODAY()-365,TODAY()),1,0),""select Col2 limit 90""))"),93.51688888888883)</f>
        <v>93.51688889</v>
      </c>
      <c r="M52" s="17">
        <f>IFERROR(__xludf.DUMMYFUNCTION("AVERAGE(QUERY(SORT(GOOGLEFINANCE(B52,""price"",TODAY()-365,TODAY()),1,0),""select Col2 limit 120""))"),87.53266666666659)</f>
        <v>87.53266667</v>
      </c>
      <c r="N52" s="19">
        <f>IFERROR(__xludf.DUMMYFUNCTION("AVERAGE(QUERY(SORT(GOOGLEFINANCE(B52,""price"",TODAY()-365,TODAY()),1,0),""select Col2 limit 200""))"),84.04484999999991)</f>
        <v>84.04485</v>
      </c>
      <c r="O52" s="20" t="str">
        <f t="shared" si="2"/>
        <v>Avoid</v>
      </c>
      <c r="P52" s="21" t="str">
        <f t="shared" si="3"/>
        <v/>
      </c>
      <c r="Q52" s="21" t="str">
        <f t="shared" si="4"/>
        <v/>
      </c>
      <c r="R52" s="22">
        <f>IFERROR(__xludf.DUMMYFUNCTION("GOOGLEFINANCE(B52, ""pe"")
"),99.6)</f>
        <v>99.6</v>
      </c>
    </row>
    <row r="53">
      <c r="A53" s="9" t="s">
        <v>66</v>
      </c>
      <c r="B53" s="11" t="str">
        <f t="shared" si="1"/>
        <v>NSE:CENTUM</v>
      </c>
      <c r="C53" s="12">
        <f>IFERROR(__xludf.DUMMYFUNCTION("GOOGLEFINANCE(B53,""marketcap"")/10000000"),3215.8655626)</f>
        <v>3215.865563</v>
      </c>
      <c r="D53" s="13">
        <f>IFERROR(__xludf.DUMMYFUNCTION("GOOGLEFINANCE(B53,""price"")"),2207.9)</f>
        <v>2207.9</v>
      </c>
      <c r="E53" s="14">
        <f>IFERROR(__xludf.DUMMYFUNCTION("GOOGLEFINANCE(B53,""Volume"")"),12471.0)</f>
        <v>12471</v>
      </c>
      <c r="F53" s="14">
        <f t="array" ref="F53">F52</f>
        <v>14</v>
      </c>
      <c r="G53" s="15" t="str">
        <f>IFERROR(__xludf.DUMMYFUNCTION("IF(E53&gt;AVERAGE(INDEX(GOOGLEFINANCE(B53,""volume"",WORKDAY(TODAY(),-$F$1),TODAY()),,2)),""Breakout"","""")"),"Breakout")</f>
        <v>Breakout</v>
      </c>
      <c r="H53" s="16">
        <f>IFERROR(__xludf.DUMMYFUNCTION("GOOGLEFINANCE(B53,""price"")"),2207.9)</f>
        <v>2207.9</v>
      </c>
      <c r="I53" s="17">
        <f>IFERROR(__xludf.DUMMYFUNCTION("AVERAGE(QUERY(SORT(GOOGLEFINANCE(B53,""price"",TODAY()-365,TODAY()),1,0),""select Col2 limit 10""))"),2323.35)</f>
        <v>2323.35</v>
      </c>
      <c r="J53" s="17">
        <f>IFERROR(__xludf.DUMMYFUNCTION("AVERAGE(QUERY(SORT(GOOGLEFINANCE(B53,""price"",TODAY()-365,TODAY()),1,0),""select Col2 limit 30""))"),2331.513333333334)</f>
        <v>2331.513333</v>
      </c>
      <c r="K53" s="18">
        <f>IFERROR(__xludf.DUMMYFUNCTION("AVERAGE(QUERY(SORT(GOOGLEFINANCE(B53,""price"",TODAY()-365,TODAY()),1,0),""select Col2 limit 60""))"),2237.0800000000004)</f>
        <v>2237.08</v>
      </c>
      <c r="L53" s="17">
        <f>IFERROR(__xludf.DUMMYFUNCTION("AVERAGE(QUERY(SORT(GOOGLEFINANCE(B53,""price"",TODAY()-365,TODAY()),1,0),""select Col2 limit 90""))"),2029.9833333333327)</f>
        <v>2029.983333</v>
      </c>
      <c r="M53" s="17">
        <f>IFERROR(__xludf.DUMMYFUNCTION("AVERAGE(QUERY(SORT(GOOGLEFINANCE(B53,""price"",TODAY()-365,TODAY()),1,0),""select Col2 limit 120""))"),1886.2395833333328)</f>
        <v>1886.239583</v>
      </c>
      <c r="N53" s="19">
        <f>IFERROR(__xludf.DUMMYFUNCTION("AVERAGE(QUERY(SORT(GOOGLEFINANCE(B53,""price"",TODAY()-365,TODAY()),1,0),""select Col2 limit 200""))"),1865.855749999999)</f>
        <v>1865.85575</v>
      </c>
      <c r="O53" s="20" t="str">
        <f t="shared" si="2"/>
        <v>Avoid</v>
      </c>
      <c r="P53" s="21" t="str">
        <f t="shared" si="3"/>
        <v/>
      </c>
      <c r="Q53" s="21" t="str">
        <f t="shared" si="4"/>
        <v/>
      </c>
      <c r="R53" s="22">
        <f>IFERROR(__xludf.DUMMYFUNCTION("GOOGLEFINANCE(B53, ""pe"")
"),1166.18)</f>
        <v>1166.18</v>
      </c>
    </row>
    <row r="54">
      <c r="A54" s="9" t="s">
        <v>67</v>
      </c>
      <c r="B54" s="11" t="str">
        <f t="shared" si="1"/>
        <v>NSE:TAJGVK</v>
      </c>
      <c r="C54" s="12">
        <f>IFERROR(__xludf.DUMMYFUNCTION("GOOGLEFINANCE(B54,""marketcap"")/10000000"),2583.3018)</f>
        <v>2583.3018</v>
      </c>
      <c r="D54" s="13">
        <f>IFERROR(__xludf.DUMMYFUNCTION("GOOGLEFINANCE(B54,""price"")"),412.6)</f>
        <v>412.6</v>
      </c>
      <c r="E54" s="14">
        <f>IFERROR(__xludf.DUMMYFUNCTION("GOOGLEFINANCE(B54,""Volume"")"),55131.0)</f>
        <v>55131</v>
      </c>
      <c r="F54" s="14">
        <f t="array" ref="F54">F53</f>
        <v>14</v>
      </c>
      <c r="G54" s="15" t="str">
        <f>IFERROR(__xludf.DUMMYFUNCTION("IF(E54&gt;AVERAGE(INDEX(GOOGLEFINANCE(B54,""volume"",WORKDAY(TODAY(),-$F$1),TODAY()),,2)),""Breakout"","""")"),"")</f>
        <v/>
      </c>
      <c r="H54" s="16">
        <f>IFERROR(__xludf.DUMMYFUNCTION("GOOGLEFINANCE(B54,""price"")"),412.6)</f>
        <v>412.6</v>
      </c>
      <c r="I54" s="17">
        <f>IFERROR(__xludf.DUMMYFUNCTION("AVERAGE(QUERY(SORT(GOOGLEFINANCE(B54,""price"",TODAY()-365,TODAY()),1,0),""select Col2 limit 10""))"),421.84)</f>
        <v>421.84</v>
      </c>
      <c r="J54" s="17">
        <f>IFERROR(__xludf.DUMMYFUNCTION("AVERAGE(QUERY(SORT(GOOGLEFINANCE(B54,""price"",TODAY()-365,TODAY()),1,0),""select Col2 limit 30""))"),409.2166666666666)</f>
        <v>409.2166667</v>
      </c>
      <c r="K54" s="18">
        <f>IFERROR(__xludf.DUMMYFUNCTION("AVERAGE(QUERY(SORT(GOOGLEFINANCE(B54,""price"",TODAY()-365,TODAY()),1,0),""select Col2 limit 60""))"),415.86416666666685)</f>
        <v>415.8641667</v>
      </c>
      <c r="L54" s="17">
        <f>IFERROR(__xludf.DUMMYFUNCTION("AVERAGE(QUERY(SORT(GOOGLEFINANCE(B54,""price"",TODAY()-365,TODAY()),1,0),""select Col2 limit 90""))"),429.1766666666669)</f>
        <v>429.1766667</v>
      </c>
      <c r="M54" s="17">
        <f>IFERROR(__xludf.DUMMYFUNCTION("AVERAGE(QUERY(SORT(GOOGLEFINANCE(B54,""price"",TODAY()-365,TODAY()),1,0),""select Col2 limit 120""))"),430.1400000000002)</f>
        <v>430.14</v>
      </c>
      <c r="N54" s="19">
        <f>IFERROR(__xludf.DUMMYFUNCTION("AVERAGE(QUERY(SORT(GOOGLEFINANCE(B54,""price"",TODAY()-365,TODAY()),1,0),""select Col2 limit 200""))"),397.5012500000001)</f>
        <v>397.50125</v>
      </c>
      <c r="O54" s="20" t="str">
        <f t="shared" si="2"/>
        <v>Avoid</v>
      </c>
      <c r="P54" s="21" t="str">
        <f t="shared" si="3"/>
        <v>60 DMA</v>
      </c>
      <c r="Q54" s="21" t="str">
        <f t="shared" si="4"/>
        <v/>
      </c>
      <c r="R54" s="22">
        <f>IFERROR(__xludf.DUMMYFUNCTION("GOOGLEFINANCE(B54, ""pe"")
"),22.15)</f>
        <v>22.15</v>
      </c>
    </row>
    <row r="55">
      <c r="A55" s="9" t="s">
        <v>68</v>
      </c>
      <c r="B55" s="11" t="str">
        <f t="shared" si="1"/>
        <v>NSE:SURYODAY</v>
      </c>
      <c r="C55" s="12">
        <f>IFERROR(__xludf.DUMMYFUNCTION("GOOGLEFINANCE(B55,""marketcap"")/10000000"),1372.5619007)</f>
        <v>1372.561901</v>
      </c>
      <c r="D55" s="13">
        <f>IFERROR(__xludf.DUMMYFUNCTION("GOOGLEFINANCE(B55,""price"")"),129.29)</f>
        <v>129.29</v>
      </c>
      <c r="E55" s="14">
        <f>IFERROR(__xludf.DUMMYFUNCTION("GOOGLEFINANCE(B55,""Volume"")"),135569.0)</f>
        <v>135569</v>
      </c>
      <c r="F55" s="14">
        <f t="array" ref="F55">F54</f>
        <v>14</v>
      </c>
      <c r="G55" s="15" t="str">
        <f>IFERROR(__xludf.DUMMYFUNCTION("IF(E55&gt;AVERAGE(INDEX(GOOGLEFINANCE(B55,""volume"",WORKDAY(TODAY(),-$F$1),TODAY()),,2)),""Breakout"","""")"),"")</f>
        <v/>
      </c>
      <c r="H55" s="16">
        <f>IFERROR(__xludf.DUMMYFUNCTION("GOOGLEFINANCE(B55,""price"")"),129.29)</f>
        <v>129.29</v>
      </c>
      <c r="I55" s="17" t="str">
        <f>IFERROR(__xludf.DUMMYFUNCTION("AVERAGE(QUERY(SORT(GOOGLEFINANCE(B55,""price"",TODAY()-365,TODAY()),1,0),""select Col2 limit 10""))"),"#N/A")</f>
        <v>#N/A</v>
      </c>
      <c r="J55" s="17" t="str">
        <f>IFERROR(__xludf.DUMMYFUNCTION("AVERAGE(QUERY(SORT(GOOGLEFINANCE(B55,""price"",TODAY()-365,TODAY()),1,0),""select Col2 limit 30""))"),"#N/A")</f>
        <v>#N/A</v>
      </c>
      <c r="K55" s="18" t="str">
        <f>IFERROR(__xludf.DUMMYFUNCTION("AVERAGE(QUERY(SORT(GOOGLEFINANCE(B55,""price"",TODAY()-365,TODAY()),1,0),""select Col2 limit 60""))"),"#N/A")</f>
        <v>#N/A</v>
      </c>
      <c r="L55" s="17" t="str">
        <f>IFERROR(__xludf.DUMMYFUNCTION("AVERAGE(QUERY(SORT(GOOGLEFINANCE(B55,""price"",TODAY()-365,TODAY()),1,0),""select Col2 limit 90""))"),"#N/A")</f>
        <v>#N/A</v>
      </c>
      <c r="M55" s="17" t="str">
        <f>IFERROR(__xludf.DUMMYFUNCTION("AVERAGE(QUERY(SORT(GOOGLEFINANCE(B55,""price"",TODAY()-365,TODAY()),1,0),""select Col2 limit 120""))"),"#N/A")</f>
        <v>#N/A</v>
      </c>
      <c r="N55" s="19" t="str">
        <f>IFERROR(__xludf.DUMMYFUNCTION("AVERAGE(QUERY(SORT(GOOGLEFINANCE(B55,""price"",TODAY()-365,TODAY()),1,0),""select Col2 limit 200""))"),"#N/A")</f>
        <v>#N/A</v>
      </c>
      <c r="O55" s="20" t="str">
        <f t="shared" si="2"/>
        <v>#N/A</v>
      </c>
      <c r="P55" s="21" t="str">
        <f t="shared" si="3"/>
        <v>#N/A</v>
      </c>
      <c r="Q55" s="21" t="str">
        <f t="shared" si="4"/>
        <v>#N/A</v>
      </c>
      <c r="R55" s="22">
        <f>IFERROR(__xludf.DUMMYFUNCTION("GOOGLEFINANCE(B55, ""pe"")
"),17.21)</f>
        <v>17.21</v>
      </c>
    </row>
    <row r="56">
      <c r="A56" s="9" t="s">
        <v>69</v>
      </c>
      <c r="B56" s="11" t="str">
        <f t="shared" si="1"/>
        <v>NSE:MONARCH</v>
      </c>
      <c r="C56" s="12">
        <f>IFERROR(__xludf.DUMMYFUNCTION("GOOGLEFINANCE(B56,""marketcap"")/10000000"),2893.2471625)</f>
        <v>2893.247163</v>
      </c>
      <c r="D56" s="13">
        <f>IFERROR(__xludf.DUMMYFUNCTION("GOOGLEFINANCE(B56,""price"")"),367.65)</f>
        <v>367.65</v>
      </c>
      <c r="E56" s="14">
        <f>IFERROR(__xludf.DUMMYFUNCTION("GOOGLEFINANCE(B56,""Volume"")"),203855.0)</f>
        <v>203855</v>
      </c>
      <c r="F56" s="14">
        <f t="array" ref="F56">F55</f>
        <v>14</v>
      </c>
      <c r="G56" s="15" t="str">
        <f>IFERROR(__xludf.DUMMYFUNCTION("IF(E56&gt;AVERAGE(INDEX(GOOGLEFINANCE(B56,""volume"",WORKDAY(TODAY(),-$F$1),TODAY()),,2)),""Breakout"","""")"),"")</f>
        <v/>
      </c>
      <c r="H56" s="16">
        <f>IFERROR(__xludf.DUMMYFUNCTION("GOOGLEFINANCE(B56,""price"")"),367.65)</f>
        <v>367.65</v>
      </c>
      <c r="I56" s="17">
        <f>IFERROR(__xludf.DUMMYFUNCTION("AVERAGE(QUERY(SORT(GOOGLEFINANCE(B56,""price"",TODAY()-365,TODAY()),1,0),""select Col2 limit 10""))"),374.455)</f>
        <v>374.455</v>
      </c>
      <c r="J56" s="17">
        <f>IFERROR(__xludf.DUMMYFUNCTION("AVERAGE(QUERY(SORT(GOOGLEFINANCE(B56,""price"",TODAY()-365,TODAY()),1,0),""select Col2 limit 30""))"),351.3616666666667)</f>
        <v>351.3616667</v>
      </c>
      <c r="K56" s="18">
        <f>IFERROR(__xludf.DUMMYFUNCTION("AVERAGE(QUERY(SORT(GOOGLEFINANCE(B56,""price"",TODAY()-365,TODAY()),1,0),""select Col2 limit 60""))"),331.5791666666667)</f>
        <v>331.5791667</v>
      </c>
      <c r="L56" s="17">
        <f>IFERROR(__xludf.DUMMYFUNCTION("AVERAGE(QUERY(SORT(GOOGLEFINANCE(B56,""price"",TODAY()-365,TODAY()),1,0),""select Col2 limit 90""))"),329.92500000000007)</f>
        <v>329.925</v>
      </c>
      <c r="M56" s="17">
        <f>IFERROR(__xludf.DUMMYFUNCTION("AVERAGE(QUERY(SORT(GOOGLEFINANCE(B56,""price"",TODAY()-365,TODAY()),1,0),""select Col2 limit 120""))"),338.5979166666665)</f>
        <v>338.5979167</v>
      </c>
      <c r="N56" s="19">
        <f>IFERROR(__xludf.DUMMYFUNCTION("AVERAGE(QUERY(SORT(GOOGLEFINANCE(B56,""price"",TODAY()-365,TODAY()),1,0),""select Col2 limit 200""))"),372.67349999999976)</f>
        <v>372.6735</v>
      </c>
      <c r="O56" s="20" t="str">
        <f t="shared" si="2"/>
        <v>Avoid</v>
      </c>
      <c r="P56" s="21" t="str">
        <f t="shared" si="3"/>
        <v/>
      </c>
      <c r="Q56" s="21" t="str">
        <f t="shared" si="4"/>
        <v/>
      </c>
      <c r="R56" s="22">
        <f>IFERROR(__xludf.DUMMYFUNCTION("GOOGLEFINANCE(B56, ""pe"")
"),18.47)</f>
        <v>18.47</v>
      </c>
    </row>
    <row r="57">
      <c r="A57" s="9" t="s">
        <v>70</v>
      </c>
      <c r="B57" s="11" t="str">
        <f t="shared" si="1"/>
        <v>NSE:RICOAUTO</v>
      </c>
      <c r="C57" s="12">
        <f>IFERROR(__xludf.DUMMYFUNCTION("GOOGLEFINANCE(B57,""marketcap"")/10000000"),972.0227043)</f>
        <v>972.0227043</v>
      </c>
      <c r="D57" s="13">
        <f>IFERROR(__xludf.DUMMYFUNCTION("GOOGLEFINANCE(B57,""price"")"),71.7)</f>
        <v>71.7</v>
      </c>
      <c r="E57" s="14">
        <f>IFERROR(__xludf.DUMMYFUNCTION("GOOGLEFINANCE(B57,""Volume"")"),136597.0)</f>
        <v>136597</v>
      </c>
      <c r="F57" s="14">
        <f t="array" ref="F57">F56</f>
        <v>14</v>
      </c>
      <c r="G57" s="15" t="str">
        <f>IFERROR(__xludf.DUMMYFUNCTION("IF(E57&gt;AVERAGE(INDEX(GOOGLEFINANCE(B57,""volume"",WORKDAY(TODAY(),-$F$1),TODAY()),,2)),""Breakout"","""")"),"")</f>
        <v/>
      </c>
      <c r="H57" s="16">
        <f>IFERROR(__xludf.DUMMYFUNCTION("GOOGLEFINANCE(B57,""price"")"),71.7)</f>
        <v>71.7</v>
      </c>
      <c r="I57" s="17" t="str">
        <f>IFERROR(__xludf.DUMMYFUNCTION("AVERAGE(QUERY(SORT(GOOGLEFINANCE(B57,""price"",TODAY()-365,TODAY()),1,0),""select Col2 limit 10""))"),"#N/A")</f>
        <v>#N/A</v>
      </c>
      <c r="J57" s="17" t="str">
        <f>IFERROR(__xludf.DUMMYFUNCTION("AVERAGE(QUERY(SORT(GOOGLEFINANCE(B57,""price"",TODAY()-365,TODAY()),1,0),""select Col2 limit 30""))"),"#N/A")</f>
        <v>#N/A</v>
      </c>
      <c r="K57" s="18" t="str">
        <f>IFERROR(__xludf.DUMMYFUNCTION("AVERAGE(QUERY(SORT(GOOGLEFINANCE(B57,""price"",TODAY()-365,TODAY()),1,0),""select Col2 limit 60""))"),"#N/A")</f>
        <v>#N/A</v>
      </c>
      <c r="L57" s="17" t="str">
        <f>IFERROR(__xludf.DUMMYFUNCTION("AVERAGE(QUERY(SORT(GOOGLEFINANCE(B57,""price"",TODAY()-365,TODAY()),1,0),""select Col2 limit 90""))"),"#N/A")</f>
        <v>#N/A</v>
      </c>
      <c r="M57" s="17" t="str">
        <f>IFERROR(__xludf.DUMMYFUNCTION("AVERAGE(QUERY(SORT(GOOGLEFINANCE(B57,""price"",TODAY()-365,TODAY()),1,0),""select Col2 limit 120""))"),"#N/A")</f>
        <v>#N/A</v>
      </c>
      <c r="N57" s="19" t="str">
        <f>IFERROR(__xludf.DUMMYFUNCTION("AVERAGE(QUERY(SORT(GOOGLEFINANCE(B57,""price"",TODAY()-365,TODAY()),1,0),""select Col2 limit 200""))"),"#N/A")</f>
        <v>#N/A</v>
      </c>
      <c r="O57" s="20" t="str">
        <f t="shared" si="2"/>
        <v>#N/A</v>
      </c>
      <c r="P57" s="21" t="str">
        <f t="shared" si="3"/>
        <v>#N/A</v>
      </c>
      <c r="Q57" s="21" t="str">
        <f t="shared" si="4"/>
        <v>#N/A</v>
      </c>
      <c r="R57" s="22">
        <f>IFERROR(__xludf.DUMMYFUNCTION("GOOGLEFINANCE(B57, ""pe"")
"),45.47)</f>
        <v>45.47</v>
      </c>
    </row>
    <row r="58">
      <c r="A58" s="9" t="s">
        <v>71</v>
      </c>
      <c r="B58" s="11" t="str">
        <f t="shared" si="1"/>
        <v>NSE:SHREDIGCEM</v>
      </c>
      <c r="C58" s="12">
        <f>IFERROR(__xludf.DUMMYFUNCTION("GOOGLEFINANCE(B58,""marketcap"")/10000000"),1291.7862138)</f>
        <v>1291.786214</v>
      </c>
      <c r="D58" s="13">
        <f>IFERROR(__xludf.DUMMYFUNCTION("GOOGLEFINANCE(B58,""price"")"),87.36)</f>
        <v>87.36</v>
      </c>
      <c r="E58" s="14">
        <f>IFERROR(__xludf.DUMMYFUNCTION("GOOGLEFINANCE(B58,""Volume"")"),431081.0)</f>
        <v>431081</v>
      </c>
      <c r="F58" s="14">
        <f t="array" ref="F58">F57</f>
        <v>14</v>
      </c>
      <c r="G58" s="15" t="str">
        <f>IFERROR(__xludf.DUMMYFUNCTION("IF(E58&gt;AVERAGE(INDEX(GOOGLEFINANCE(B58,""volume"",WORKDAY(TODAY(),-$F$1),TODAY()),,2)),""Breakout"","""")"),"#N/A")</f>
        <v>#N/A</v>
      </c>
      <c r="H58" s="16">
        <f>IFERROR(__xludf.DUMMYFUNCTION("GOOGLEFINANCE(B58,""price"")"),87.36)</f>
        <v>87.36</v>
      </c>
      <c r="I58" s="17">
        <f>IFERROR(__xludf.DUMMYFUNCTION("AVERAGE(QUERY(SORT(GOOGLEFINANCE(B58,""price"",TODAY()-365,TODAY()),1,0),""select Col2 limit 10""))"),84.247)</f>
        <v>84.247</v>
      </c>
      <c r="J58" s="17">
        <f>IFERROR(__xludf.DUMMYFUNCTION("AVERAGE(QUERY(SORT(GOOGLEFINANCE(B58,""price"",TODAY()-365,TODAY()),1,0),""select Col2 limit 30""))"),80.28866666666666)</f>
        <v>80.28866667</v>
      </c>
      <c r="K58" s="18">
        <f>IFERROR(__xludf.DUMMYFUNCTION("AVERAGE(QUERY(SORT(GOOGLEFINANCE(B58,""price"",TODAY()-365,TODAY()),1,0),""select Col2 limit 60""))"),80.11866666666667)</f>
        <v>80.11866667</v>
      </c>
      <c r="L58" s="17">
        <f>IFERROR(__xludf.DUMMYFUNCTION("AVERAGE(QUERY(SORT(GOOGLEFINANCE(B58,""price"",TODAY()-365,TODAY()),1,0),""select Col2 limit 90""))"),77.87933333333335)</f>
        <v>77.87933333</v>
      </c>
      <c r="M58" s="17">
        <f>IFERROR(__xludf.DUMMYFUNCTION("AVERAGE(QUERY(SORT(GOOGLEFINANCE(B58,""price"",TODAY()-365,TODAY()),1,0),""select Col2 limit 120""))"),75.99674999999999)</f>
        <v>75.99675</v>
      </c>
      <c r="N58" s="19">
        <f>IFERROR(__xludf.DUMMYFUNCTION("AVERAGE(QUERY(SORT(GOOGLEFINANCE(B58,""price"",TODAY()-365,TODAY()),1,0),""select Col2 limit 200""))"),80.25364999999998)</f>
        <v>80.25365</v>
      </c>
      <c r="O58" s="20" t="str">
        <f t="shared" si="2"/>
        <v>Avoid</v>
      </c>
      <c r="P58" s="21" t="str">
        <f t="shared" si="3"/>
        <v/>
      </c>
      <c r="Q58" s="21" t="str">
        <f t="shared" si="4"/>
        <v/>
      </c>
      <c r="R58" s="22">
        <f>IFERROR(__xludf.DUMMYFUNCTION("GOOGLEFINANCE(B58, ""pe"")
"),51.02)</f>
        <v>51.02</v>
      </c>
    </row>
    <row r="59">
      <c r="A59" s="9" t="s">
        <v>72</v>
      </c>
      <c r="B59" s="11" t="str">
        <f t="shared" si="1"/>
        <v>NSE:STEELXIND</v>
      </c>
      <c r="C59" s="12">
        <f>IFERROR(__xludf.DUMMYFUNCTION("GOOGLEFINANCE(B59,""marketcap"")/10000000"),1286.2578145)</f>
        <v>1286.257815</v>
      </c>
      <c r="D59" s="13">
        <f>IFERROR(__xludf.DUMMYFUNCTION("GOOGLEFINANCE(B59,""price"")"),10.74)</f>
        <v>10.74</v>
      </c>
      <c r="E59" s="14">
        <f>IFERROR(__xludf.DUMMYFUNCTION("GOOGLEFINANCE(B59,""Volume"")"),2557912.0)</f>
        <v>2557912</v>
      </c>
      <c r="F59" s="14">
        <f t="array" ref="F59">F58</f>
        <v>14</v>
      </c>
      <c r="G59" s="15" t="str">
        <f>IFERROR(__xludf.DUMMYFUNCTION("IF(E59&gt;AVERAGE(INDEX(GOOGLEFINANCE(B59,""volume"",WORKDAY(TODAY(),-$F$1),TODAY()),,2)),""Breakout"","""")"),"")</f>
        <v/>
      </c>
      <c r="H59" s="16">
        <f>IFERROR(__xludf.DUMMYFUNCTION("GOOGLEFINANCE(B59,""price"")"),10.74)</f>
        <v>10.74</v>
      </c>
      <c r="I59" s="17">
        <f>IFERROR(__xludf.DUMMYFUNCTION("AVERAGE(QUERY(SORT(GOOGLEFINANCE(B59,""price"",TODAY()-365,TODAY()),1,0),""select Col2 limit 10""))"),10.725)</f>
        <v>10.725</v>
      </c>
      <c r="J59" s="17">
        <f>IFERROR(__xludf.DUMMYFUNCTION("AVERAGE(QUERY(SORT(GOOGLEFINANCE(B59,""price"",TODAY()-365,TODAY()),1,0),""select Col2 limit 30""))"),9.752999999999998)</f>
        <v>9.753</v>
      </c>
      <c r="K59" s="18">
        <f>IFERROR(__xludf.DUMMYFUNCTION("AVERAGE(QUERY(SORT(GOOGLEFINANCE(B59,""price"",TODAY()-365,TODAY()),1,0),""select Col2 limit 60""))"),9.031833333333333)</f>
        <v>9.031833333</v>
      </c>
      <c r="L59" s="17">
        <f>IFERROR(__xludf.DUMMYFUNCTION("AVERAGE(QUERY(SORT(GOOGLEFINANCE(B59,""price"",TODAY()-365,TODAY()),1,0),""select Col2 limit 90""))"),8.782666666666668)</f>
        <v>8.782666667</v>
      </c>
      <c r="M59" s="17">
        <f>IFERROR(__xludf.DUMMYFUNCTION("AVERAGE(QUERY(SORT(GOOGLEFINANCE(B59,""price"",TODAY()-365,TODAY()),1,0),""select Col2 limit 120""))"),8.800250000000002)</f>
        <v>8.80025</v>
      </c>
      <c r="N59" s="19">
        <f>IFERROR(__xludf.DUMMYFUNCTION("AVERAGE(QUERY(SORT(GOOGLEFINANCE(B59,""price"",TODAY()-365,TODAY()),1,0),""select Col2 limit 200""))"),9.622000000000002)</f>
        <v>9.622</v>
      </c>
      <c r="O59" s="20" t="str">
        <f t="shared" si="2"/>
        <v>Avoid</v>
      </c>
      <c r="P59" s="21" t="str">
        <f t="shared" si="3"/>
        <v/>
      </c>
      <c r="Q59" s="21" t="str">
        <f t="shared" si="4"/>
        <v/>
      </c>
      <c r="R59" s="22">
        <f>IFERROR(__xludf.DUMMYFUNCTION("GOOGLEFINANCE(B59, ""pe"")
"),48.82)</f>
        <v>48.82</v>
      </c>
    </row>
    <row r="60">
      <c r="A60" s="9" t="s">
        <v>73</v>
      </c>
      <c r="B60" s="11" t="str">
        <f t="shared" si="1"/>
        <v>NSE:KAMDHENU</v>
      </c>
      <c r="C60" s="12">
        <f>IFERROR(__xludf.DUMMYFUNCTION("GOOGLEFINANCE(B60,""marketcap"")/10000000"),834.0188984)</f>
        <v>834.0188984</v>
      </c>
      <c r="D60" s="13">
        <f>IFERROR(__xludf.DUMMYFUNCTION("GOOGLEFINANCE(B60,""price"")"),29.68)</f>
        <v>29.68</v>
      </c>
      <c r="E60" s="14">
        <f>IFERROR(__xludf.DUMMYFUNCTION("GOOGLEFINANCE(B60,""Volume"")"),275784.0)</f>
        <v>275784</v>
      </c>
      <c r="F60" s="14">
        <f t="array" ref="F60">F59</f>
        <v>14</v>
      </c>
      <c r="G60" s="15" t="str">
        <f>IFERROR(__xludf.DUMMYFUNCTION("IF(E60&gt;AVERAGE(INDEX(GOOGLEFINANCE(B60,""volume"",WORKDAY(TODAY(),-$F$1),TODAY()),,2)),""Breakout"","""")"),"")</f>
        <v/>
      </c>
      <c r="H60" s="16">
        <f>IFERROR(__xludf.DUMMYFUNCTION("GOOGLEFINANCE(B60,""price"")"),29.68)</f>
        <v>29.68</v>
      </c>
      <c r="I60" s="17" t="str">
        <f>IFERROR(__xludf.DUMMYFUNCTION("AVERAGE(QUERY(SORT(GOOGLEFINANCE(B60,""price"",TODAY()-365,TODAY()),1,0),""select Col2 limit 10""))"),"#N/A")</f>
        <v>#N/A</v>
      </c>
      <c r="J60" s="17" t="str">
        <f>IFERROR(__xludf.DUMMYFUNCTION("AVERAGE(QUERY(SORT(GOOGLEFINANCE(B60,""price"",TODAY()-365,TODAY()),1,0),""select Col2 limit 30""))"),"#N/A")</f>
        <v>#N/A</v>
      </c>
      <c r="K60" s="18" t="str">
        <f>IFERROR(__xludf.DUMMYFUNCTION("AVERAGE(QUERY(SORT(GOOGLEFINANCE(B60,""price"",TODAY()-365,TODAY()),1,0),""select Col2 limit 60""))"),"#N/A")</f>
        <v>#N/A</v>
      </c>
      <c r="L60" s="17" t="str">
        <f>IFERROR(__xludf.DUMMYFUNCTION("AVERAGE(QUERY(SORT(GOOGLEFINANCE(B60,""price"",TODAY()-365,TODAY()),1,0),""select Col2 limit 90""))"),"#N/A")</f>
        <v>#N/A</v>
      </c>
      <c r="M60" s="17" t="str">
        <f>IFERROR(__xludf.DUMMYFUNCTION("AVERAGE(QUERY(SORT(GOOGLEFINANCE(B60,""price"",TODAY()-365,TODAY()),1,0),""select Col2 limit 120""))"),"#N/A")</f>
        <v>#N/A</v>
      </c>
      <c r="N60" s="19" t="str">
        <f>IFERROR(__xludf.DUMMYFUNCTION("AVERAGE(QUERY(SORT(GOOGLEFINANCE(B60,""price"",TODAY()-365,TODAY()),1,0),""select Col2 limit 200""))"),"#N/A")</f>
        <v>#N/A</v>
      </c>
      <c r="O60" s="20" t="str">
        <f t="shared" si="2"/>
        <v>#N/A</v>
      </c>
      <c r="P60" s="21" t="str">
        <f t="shared" si="3"/>
        <v>#N/A</v>
      </c>
      <c r="Q60" s="21" t="str">
        <f t="shared" si="4"/>
        <v>#N/A</v>
      </c>
      <c r="R60" s="22">
        <f>IFERROR(__xludf.DUMMYFUNCTION("GOOGLEFINANCE(B60, ""pe"")
"),13.6)</f>
        <v>13.6</v>
      </c>
    </row>
    <row r="61">
      <c r="A61" s="9" t="s">
        <v>74</v>
      </c>
      <c r="B61" s="11" t="str">
        <f t="shared" si="1"/>
        <v>NSE:ENIL</v>
      </c>
      <c r="C61" s="12">
        <f>IFERROR(__xludf.DUMMYFUNCTION("GOOGLEFINANCE(B61,""marketcap"")/10000000"),695.987986)</f>
        <v>695.987986</v>
      </c>
      <c r="D61" s="13">
        <f>IFERROR(__xludf.DUMMYFUNCTION("GOOGLEFINANCE(B61,""price"")"),146.0)</f>
        <v>146</v>
      </c>
      <c r="E61" s="14">
        <f>IFERROR(__xludf.DUMMYFUNCTION("GOOGLEFINANCE(B61,""Volume"")"),16249.0)</f>
        <v>16249</v>
      </c>
      <c r="F61" s="14">
        <f t="array" ref="F61">F60</f>
        <v>14</v>
      </c>
      <c r="G61" s="15" t="str">
        <f>IFERROR(__xludf.DUMMYFUNCTION("IF(E61&gt;AVERAGE(INDEX(GOOGLEFINANCE(B61,""volume"",WORKDAY(TODAY(),-$F$1),TODAY()),,2)),""Breakout"","""")"),"Breakout")</f>
        <v>Breakout</v>
      </c>
      <c r="H61" s="16">
        <f>IFERROR(__xludf.DUMMYFUNCTION("GOOGLEFINANCE(B61,""price"")"),146.0)</f>
        <v>146</v>
      </c>
      <c r="I61" s="17">
        <f>IFERROR(__xludf.DUMMYFUNCTION("AVERAGE(QUERY(SORT(GOOGLEFINANCE(B61,""price"",TODAY()-365,TODAY()),1,0),""select Col2 limit 10""))"),147.968)</f>
        <v>147.968</v>
      </c>
      <c r="J61" s="17">
        <f>IFERROR(__xludf.DUMMYFUNCTION("AVERAGE(QUERY(SORT(GOOGLEFINANCE(B61,""price"",TODAY()-365,TODAY()),1,0),""select Col2 limit 30""))"),147.48033333333336)</f>
        <v>147.4803333</v>
      </c>
      <c r="K61" s="18">
        <f>IFERROR(__xludf.DUMMYFUNCTION("AVERAGE(QUERY(SORT(GOOGLEFINANCE(B61,""price"",TODAY()-365,TODAY()),1,0),""select Col2 limit 60""))"),145.35933333333332)</f>
        <v>145.3593333</v>
      </c>
      <c r="L61" s="17">
        <f>IFERROR(__xludf.DUMMYFUNCTION("AVERAGE(QUERY(SORT(GOOGLEFINANCE(B61,""price"",TODAY()-365,TODAY()),1,0),""select Col2 limit 90""))"),141.46777777777774)</f>
        <v>141.4677778</v>
      </c>
      <c r="M61" s="17">
        <f>IFERROR(__xludf.DUMMYFUNCTION("AVERAGE(QUERY(SORT(GOOGLEFINANCE(B61,""price"",TODAY()-365,TODAY()),1,0),""select Col2 limit 120""))"),142.17033333333336)</f>
        <v>142.1703333</v>
      </c>
      <c r="N61" s="19">
        <f>IFERROR(__xludf.DUMMYFUNCTION("AVERAGE(QUERY(SORT(GOOGLEFINANCE(B61,""price"",TODAY()-365,TODAY()),1,0),""select Col2 limit 200""))"),158.95640000000003)</f>
        <v>158.9564</v>
      </c>
      <c r="O61" s="20" t="str">
        <f t="shared" si="2"/>
        <v>Avoid</v>
      </c>
      <c r="P61" s="21" t="str">
        <f t="shared" si="3"/>
        <v/>
      </c>
      <c r="Q61" s="21" t="str">
        <f t="shared" si="4"/>
        <v/>
      </c>
      <c r="R61" s="22">
        <f>IFERROR(__xludf.DUMMYFUNCTION("GOOGLEFINANCE(B61, ""pe"")
"),58.17)</f>
        <v>58.17</v>
      </c>
    </row>
    <row r="62">
      <c r="A62" s="9" t="s">
        <v>75</v>
      </c>
      <c r="B62" s="11" t="str">
        <f t="shared" si="1"/>
        <v>NSE:URJA</v>
      </c>
      <c r="C62" s="12">
        <f>IFERROR(__xludf.DUMMYFUNCTION("GOOGLEFINANCE(B62,""marketcap"")/10000000"),752.4491095)</f>
        <v>752.4491095</v>
      </c>
      <c r="D62" s="13">
        <f>IFERROR(__xludf.DUMMYFUNCTION("GOOGLEFINANCE(B62,""price"")"),14.29)</f>
        <v>14.29</v>
      </c>
      <c r="E62" s="14">
        <f>IFERROR(__xludf.DUMMYFUNCTION("GOOGLEFINANCE(B62,""Volume"")"),422545.0)</f>
        <v>422545</v>
      </c>
      <c r="F62" s="14">
        <f t="array" ref="F62">F61</f>
        <v>14</v>
      </c>
      <c r="G62" s="15" t="str">
        <f>IFERROR(__xludf.DUMMYFUNCTION("IF(E62&gt;AVERAGE(INDEX(GOOGLEFINANCE(B62,""volume"",WORKDAY(TODAY(),-$F$1),TODAY()),,2)),""Breakout"","""")"),"")</f>
        <v/>
      </c>
      <c r="H62" s="16">
        <f>IFERROR(__xludf.DUMMYFUNCTION("GOOGLEFINANCE(B62,""price"")"),14.29)</f>
        <v>14.29</v>
      </c>
      <c r="I62" s="17">
        <f>IFERROR(__xludf.DUMMYFUNCTION("AVERAGE(QUERY(SORT(GOOGLEFINANCE(B62,""price"",TODAY()-365,TODAY()),1,0),""select Col2 limit 10""))"),14.959999999999999)</f>
        <v>14.96</v>
      </c>
      <c r="J62" s="17">
        <f>IFERROR(__xludf.DUMMYFUNCTION("AVERAGE(QUERY(SORT(GOOGLEFINANCE(B62,""price"",TODAY()-365,TODAY()),1,0),""select Col2 limit 30""))"),15.136333333333335)</f>
        <v>15.13633333</v>
      </c>
      <c r="K62" s="18">
        <f>IFERROR(__xludf.DUMMYFUNCTION("AVERAGE(QUERY(SORT(GOOGLEFINANCE(B62,""price"",TODAY()-365,TODAY()),1,0),""select Col2 limit 60""))"),15.136000000000003)</f>
        <v>15.136</v>
      </c>
      <c r="L62" s="17">
        <f>IFERROR(__xludf.DUMMYFUNCTION("AVERAGE(QUERY(SORT(GOOGLEFINANCE(B62,""price"",TODAY()-365,TODAY()),1,0),""select Col2 limit 90""))"),14.326333333333332)</f>
        <v>14.32633333</v>
      </c>
      <c r="M62" s="17">
        <f>IFERROR(__xludf.DUMMYFUNCTION("AVERAGE(QUERY(SORT(GOOGLEFINANCE(B62,""price"",TODAY()-365,TODAY()),1,0),""select Col2 limit 120""))"),14.081000000000001)</f>
        <v>14.081</v>
      </c>
      <c r="N62" s="19">
        <f>IFERROR(__xludf.DUMMYFUNCTION("AVERAGE(QUERY(SORT(GOOGLEFINANCE(B62,""price"",TODAY()-365,TODAY()),1,0),""select Col2 limit 200""))"),15.650150000000004)</f>
        <v>15.65015</v>
      </c>
      <c r="O62" s="20" t="str">
        <f t="shared" si="2"/>
        <v>Avoid</v>
      </c>
      <c r="P62" s="21" t="str">
        <f t="shared" si="3"/>
        <v>90 DMA</v>
      </c>
      <c r="Q62" s="21" t="str">
        <f t="shared" si="4"/>
        <v/>
      </c>
      <c r="R62" s="22">
        <f>IFERROR(__xludf.DUMMYFUNCTION("GOOGLEFINANCE(B62, ""pe"")
"),595.42)</f>
        <v>595.42</v>
      </c>
    </row>
    <row r="63">
      <c r="A63" s="9" t="s">
        <v>76</v>
      </c>
      <c r="B63" s="11" t="str">
        <f t="shared" si="1"/>
        <v>NSE:CREATIVE</v>
      </c>
      <c r="C63" s="12">
        <f>IFERROR(__xludf.DUMMYFUNCTION("GOOGLEFINANCE(B63,""marketcap"")/10000000"),918.5176263)</f>
        <v>918.5176263</v>
      </c>
      <c r="D63" s="13">
        <f>IFERROR(__xludf.DUMMYFUNCTION("GOOGLEFINANCE(B63,""price"")"),650.8)</f>
        <v>650.8</v>
      </c>
      <c r="E63" s="14">
        <f>IFERROR(__xludf.DUMMYFUNCTION("GOOGLEFINANCE(B63,""Volume"")"),5219.0)</f>
        <v>5219</v>
      </c>
      <c r="F63" s="14">
        <f t="array" ref="F63">F62</f>
        <v>14</v>
      </c>
      <c r="G63" s="15" t="str">
        <f>IFERROR(__xludf.DUMMYFUNCTION("IF(E63&gt;AVERAGE(INDEX(GOOGLEFINANCE(B63,""volume"",WORKDAY(TODAY(),-$F$1),TODAY()),,2)),""Breakout"","""")"),"")</f>
        <v/>
      </c>
      <c r="H63" s="16">
        <f>IFERROR(__xludf.DUMMYFUNCTION("GOOGLEFINANCE(B63,""price"")"),650.8)</f>
        <v>650.8</v>
      </c>
      <c r="I63" s="17">
        <f>IFERROR(__xludf.DUMMYFUNCTION("AVERAGE(QUERY(SORT(GOOGLEFINANCE(B63,""price"",TODAY()-365,TODAY()),1,0),""select Col2 limit 10""))"),652.265)</f>
        <v>652.265</v>
      </c>
      <c r="J63" s="17">
        <f>IFERROR(__xludf.DUMMYFUNCTION("AVERAGE(QUERY(SORT(GOOGLEFINANCE(B63,""price"",TODAY()-365,TODAY()),1,0),""select Col2 limit 30""))"),663.9716666666667)</f>
        <v>663.9716667</v>
      </c>
      <c r="K63" s="18">
        <f>IFERROR(__xludf.DUMMYFUNCTION("AVERAGE(QUERY(SORT(GOOGLEFINANCE(B63,""price"",TODAY()-365,TODAY()),1,0),""select Col2 limit 60""))"),687.1674999999999)</f>
        <v>687.1675</v>
      </c>
      <c r="L63" s="17">
        <f>IFERROR(__xludf.DUMMYFUNCTION("AVERAGE(QUERY(SORT(GOOGLEFINANCE(B63,""price"",TODAY()-365,TODAY()),1,0),""select Col2 limit 90""))"),699.6844444444447)</f>
        <v>699.6844444</v>
      </c>
      <c r="M63" s="17">
        <f>IFERROR(__xludf.DUMMYFUNCTION("AVERAGE(QUERY(SORT(GOOGLEFINANCE(B63,""price"",TODAY()-365,TODAY()),1,0),""select Col2 limit 120""))"),725.4716666666668)</f>
        <v>725.4716667</v>
      </c>
      <c r="N63" s="19">
        <f>IFERROR(__xludf.DUMMYFUNCTION("AVERAGE(QUERY(SORT(GOOGLEFINANCE(B63,""price"",TODAY()-365,TODAY()),1,0),""select Col2 limit 200""))"),800.6137500000003)</f>
        <v>800.61375</v>
      </c>
      <c r="O63" s="20" t="str">
        <f t="shared" si="2"/>
        <v>Avoid</v>
      </c>
      <c r="P63" s="21" t="str">
        <f t="shared" si="3"/>
        <v>10 DMA</v>
      </c>
      <c r="Q63" s="21" t="str">
        <f t="shared" si="4"/>
        <v>10 DMA cross best</v>
      </c>
      <c r="R63" s="22">
        <f>IFERROR(__xludf.DUMMYFUNCTION("GOOGLEFINANCE(B63, ""pe"")
"),20.22)</f>
        <v>20.22</v>
      </c>
    </row>
    <row r="64">
      <c r="A64" s="9" t="s">
        <v>77</v>
      </c>
      <c r="B64" s="11" t="str">
        <f t="shared" si="1"/>
        <v>NSE:DHANBANK</v>
      </c>
      <c r="C64" s="12">
        <f>IFERROR(__xludf.DUMMYFUNCTION("GOOGLEFINANCE(B64,""marketcap"")/10000000"),1081.053072)</f>
        <v>1081.053072</v>
      </c>
      <c r="D64" s="13">
        <f>IFERROR(__xludf.DUMMYFUNCTION("GOOGLEFINANCE(B64,""price"")"),27.36)</f>
        <v>27.36</v>
      </c>
      <c r="E64" s="14">
        <f>IFERROR(__xludf.DUMMYFUNCTION("GOOGLEFINANCE(B64,""Volume"")"),532066.0)</f>
        <v>532066</v>
      </c>
      <c r="F64" s="14">
        <f t="array" ref="F64">F63</f>
        <v>14</v>
      </c>
      <c r="G64" s="15" t="str">
        <f>IFERROR(__xludf.DUMMYFUNCTION("IF(E64&gt;AVERAGE(INDEX(GOOGLEFINANCE(B64,""volume"",WORKDAY(TODAY(),-$F$1),TODAY()),,2)),""Breakout"","""")"),"")</f>
        <v/>
      </c>
      <c r="H64" s="16">
        <f>IFERROR(__xludf.DUMMYFUNCTION("GOOGLEFINANCE(B64,""price"")"),27.36)</f>
        <v>27.36</v>
      </c>
      <c r="I64" s="17">
        <f>IFERROR(__xludf.DUMMYFUNCTION("AVERAGE(QUERY(SORT(GOOGLEFINANCE(B64,""price"",TODAY()-365,TODAY()),1,0),""select Col2 limit 10""))"),29.243000000000002)</f>
        <v>29.243</v>
      </c>
      <c r="J64" s="17">
        <f>IFERROR(__xludf.DUMMYFUNCTION("AVERAGE(QUERY(SORT(GOOGLEFINANCE(B64,""price"",TODAY()-365,TODAY()),1,0),""select Col2 limit 30""))"),29.515333333333338)</f>
        <v>29.51533333</v>
      </c>
      <c r="K64" s="18">
        <f>IFERROR(__xludf.DUMMYFUNCTION("AVERAGE(QUERY(SORT(GOOGLEFINANCE(B64,""price"",TODAY()-365,TODAY()),1,0),""select Col2 limit 60""))"),29.839000000000006)</f>
        <v>29.839</v>
      </c>
      <c r="L64" s="17">
        <f>IFERROR(__xludf.DUMMYFUNCTION("AVERAGE(QUERY(SORT(GOOGLEFINANCE(B64,""price"",TODAY()-365,TODAY()),1,0),""select Col2 limit 90""))"),29.34155555555555)</f>
        <v>29.34155556</v>
      </c>
      <c r="M64" s="17">
        <f>IFERROR(__xludf.DUMMYFUNCTION("AVERAGE(QUERY(SORT(GOOGLEFINANCE(B64,""price"",TODAY()-365,TODAY()),1,0),""select Col2 limit 120""))"),28.1005)</f>
        <v>28.1005</v>
      </c>
      <c r="N64" s="19">
        <f>IFERROR(__xludf.DUMMYFUNCTION("AVERAGE(QUERY(SORT(GOOGLEFINANCE(B64,""price"",TODAY()-365,TODAY()),1,0),""select Col2 limit 200""))"),28.272950000000005)</f>
        <v>28.27295</v>
      </c>
      <c r="O64" s="20" t="str">
        <f t="shared" si="2"/>
        <v>Avoid</v>
      </c>
      <c r="P64" s="21" t="str">
        <f t="shared" si="3"/>
        <v/>
      </c>
      <c r="Q64" s="21" t="str">
        <f t="shared" si="4"/>
        <v/>
      </c>
      <c r="R64" s="22">
        <f>IFERROR(__xludf.DUMMYFUNCTION("GOOGLEFINANCE(B64, ""pe"")
"),10.98)</f>
        <v>10.98</v>
      </c>
    </row>
    <row r="65">
      <c r="A65" s="9" t="s">
        <v>78</v>
      </c>
      <c r="B65" s="11" t="str">
        <f t="shared" si="1"/>
        <v>NSE:VISAKAIND</v>
      </c>
      <c r="C65" s="12">
        <f>IFERROR(__xludf.DUMMYFUNCTION("GOOGLEFINANCE(B65,""marketcap"")/10000000"),716.2953906)</f>
        <v>716.2953906</v>
      </c>
      <c r="D65" s="13">
        <f>IFERROR(__xludf.DUMMYFUNCTION("GOOGLEFINANCE(B65,""price"")"),82.6)</f>
        <v>82.6</v>
      </c>
      <c r="E65" s="14">
        <f>IFERROR(__xludf.DUMMYFUNCTION("GOOGLEFINANCE(B65,""Volume"")"),16863.0)</f>
        <v>16863</v>
      </c>
      <c r="F65" s="14">
        <f t="array" ref="F65">F64</f>
        <v>14</v>
      </c>
      <c r="G65" s="15" t="str">
        <f>IFERROR(__xludf.DUMMYFUNCTION("IF(E65&gt;AVERAGE(INDEX(GOOGLEFINANCE(B65,""volume"",WORKDAY(TODAY(),-$F$1),TODAY()),,2)),""Breakout"","""")"),"")</f>
        <v/>
      </c>
      <c r="H65" s="16">
        <f>IFERROR(__xludf.DUMMYFUNCTION("GOOGLEFINANCE(B65,""price"")"),82.6)</f>
        <v>82.6</v>
      </c>
      <c r="I65" s="17">
        <f>IFERROR(__xludf.DUMMYFUNCTION("AVERAGE(QUERY(SORT(GOOGLEFINANCE(B65,""price"",TODAY()-365,TODAY()),1,0),""select Col2 limit 10""))"),85.66600000000001)</f>
        <v>85.666</v>
      </c>
      <c r="J65" s="17">
        <f>IFERROR(__xludf.DUMMYFUNCTION("AVERAGE(QUERY(SORT(GOOGLEFINANCE(B65,""price"",TODAY()-365,TODAY()),1,0),""select Col2 limit 30""))"),86.50933333333333)</f>
        <v>86.50933333</v>
      </c>
      <c r="K65" s="18">
        <f>IFERROR(__xludf.DUMMYFUNCTION("AVERAGE(QUERY(SORT(GOOGLEFINANCE(B65,""price"",TODAY()-365,TODAY()),1,0),""select Col2 limit 60""))"),82.15733333333334)</f>
        <v>82.15733333</v>
      </c>
      <c r="L65" s="17">
        <f>IFERROR(__xludf.DUMMYFUNCTION("AVERAGE(QUERY(SORT(GOOGLEFINANCE(B65,""price"",TODAY()-365,TODAY()),1,0),""select Col2 limit 90""))"),75.23188888888889)</f>
        <v>75.23188889</v>
      </c>
      <c r="M65" s="17">
        <f>IFERROR(__xludf.DUMMYFUNCTION("AVERAGE(QUERY(SORT(GOOGLEFINANCE(B65,""price"",TODAY()-365,TODAY()),1,0),""select Col2 limit 120""))"),75.02566666666668)</f>
        <v>75.02566667</v>
      </c>
      <c r="N65" s="19">
        <f>IFERROR(__xludf.DUMMYFUNCTION("AVERAGE(QUERY(SORT(GOOGLEFINANCE(B65,""price"",TODAY()-365,TODAY()),1,0),""select Col2 limit 200""))"),83.30495000000005)</f>
        <v>83.30495</v>
      </c>
      <c r="O65" s="20" t="str">
        <f t="shared" si="2"/>
        <v>Avoid</v>
      </c>
      <c r="P65" s="21" t="str">
        <f t="shared" si="3"/>
        <v>200 DMA</v>
      </c>
      <c r="Q65" s="21" t="str">
        <f t="shared" si="4"/>
        <v/>
      </c>
      <c r="R65" s="22" t="str">
        <f>IFERROR(__xludf.DUMMYFUNCTION("GOOGLEFINANCE(B65, ""pe"")
"),"#N/A")</f>
        <v>#N/A</v>
      </c>
    </row>
    <row r="66">
      <c r="A66" s="9" t="s">
        <v>79</v>
      </c>
      <c r="B66" s="11" t="str">
        <f t="shared" si="1"/>
        <v>NSE:OSWALGREEN</v>
      </c>
      <c r="C66" s="12">
        <f>IFERROR(__xludf.DUMMYFUNCTION("GOOGLEFINANCE(B66,""marketcap"")/10000000"),1136.637)</f>
        <v>1136.637</v>
      </c>
      <c r="D66" s="13">
        <f>IFERROR(__xludf.DUMMYFUNCTION("GOOGLEFINANCE(B66,""price"")"),43.53)</f>
        <v>43.53</v>
      </c>
      <c r="E66" s="14">
        <f>IFERROR(__xludf.DUMMYFUNCTION("GOOGLEFINANCE(B66,""Volume"")"),148072.0)</f>
        <v>148072</v>
      </c>
      <c r="F66" s="14">
        <f t="array" ref="F66">F65</f>
        <v>14</v>
      </c>
      <c r="G66" s="15" t="str">
        <f>IFERROR(__xludf.DUMMYFUNCTION("IF(E66&gt;AVERAGE(INDEX(GOOGLEFINANCE(B66,""volume"",WORKDAY(TODAY(),-$F$1),TODAY()),,2)),""Breakout"","""")"),"#N/A")</f>
        <v>#N/A</v>
      </c>
      <c r="H66" s="16">
        <f>IFERROR(__xludf.DUMMYFUNCTION("GOOGLEFINANCE(B66,""price"")"),43.53)</f>
        <v>43.53</v>
      </c>
      <c r="I66" s="17">
        <f>IFERROR(__xludf.DUMMYFUNCTION("AVERAGE(QUERY(SORT(GOOGLEFINANCE(B66,""price"",TODAY()-365,TODAY()),1,0),""select Col2 limit 10""))"),45.654)</f>
        <v>45.654</v>
      </c>
      <c r="J66" s="17">
        <f>IFERROR(__xludf.DUMMYFUNCTION("AVERAGE(QUERY(SORT(GOOGLEFINANCE(B66,""price"",TODAY()-365,TODAY()),1,0),""select Col2 limit 30""))"),45.852666666666664)</f>
        <v>45.85266667</v>
      </c>
      <c r="K66" s="18">
        <f>IFERROR(__xludf.DUMMYFUNCTION("AVERAGE(QUERY(SORT(GOOGLEFINANCE(B66,""price"",TODAY()-365,TODAY()),1,0),""select Col2 limit 60""))"),44.107)</f>
        <v>44.107</v>
      </c>
      <c r="L66" s="17">
        <f>IFERROR(__xludf.DUMMYFUNCTION("AVERAGE(QUERY(SORT(GOOGLEFINANCE(B66,""price"",TODAY()-365,TODAY()),1,0),""select Col2 limit 90""))"),42.10944444444445)</f>
        <v>42.10944444</v>
      </c>
      <c r="M66" s="17">
        <f>IFERROR(__xludf.DUMMYFUNCTION("AVERAGE(QUERY(SORT(GOOGLEFINANCE(B66,""price"",TODAY()-365,TODAY()),1,0),""select Col2 limit 120""))"),41.60566666666667)</f>
        <v>41.60566667</v>
      </c>
      <c r="N66" s="19">
        <f>IFERROR(__xludf.DUMMYFUNCTION("AVERAGE(QUERY(SORT(GOOGLEFINANCE(B66,""price"",TODAY()-365,TODAY()),1,0),""select Col2 limit 200""))"),44.96799999999999)</f>
        <v>44.968</v>
      </c>
      <c r="O66" s="20" t="str">
        <f t="shared" si="2"/>
        <v>Avoid</v>
      </c>
      <c r="P66" s="21" t="str">
        <f t="shared" si="3"/>
        <v/>
      </c>
      <c r="Q66" s="21" t="str">
        <f t="shared" si="4"/>
        <v/>
      </c>
      <c r="R66" s="22">
        <f>IFERROR(__xludf.DUMMYFUNCTION("GOOGLEFINANCE(B66, ""pe"")
"),15.37)</f>
        <v>15.37</v>
      </c>
    </row>
    <row r="67">
      <c r="A67" s="9" t="s">
        <v>80</v>
      </c>
      <c r="B67" s="11" t="str">
        <f t="shared" si="1"/>
        <v>NSE:CHEVIOT</v>
      </c>
      <c r="C67" s="12">
        <f>IFERROR(__xludf.DUMMYFUNCTION("GOOGLEFINANCE(B67,""marketcap"")/10000000"),695.241911)</f>
        <v>695.241911</v>
      </c>
      <c r="D67" s="13">
        <f>IFERROR(__xludf.DUMMYFUNCTION("GOOGLEFINANCE(B67,""price"")"),1190.0)</f>
        <v>1190</v>
      </c>
      <c r="E67" s="14">
        <f>IFERROR(__xludf.DUMMYFUNCTION("GOOGLEFINANCE(B67,""Volume"")"),1739.0)</f>
        <v>1739</v>
      </c>
      <c r="F67" s="14">
        <f t="array" ref="F67">F66</f>
        <v>14</v>
      </c>
      <c r="G67" s="15" t="str">
        <f>IFERROR(__xludf.DUMMYFUNCTION("IF(E67&gt;AVERAGE(INDEX(GOOGLEFINANCE(B67,""volume"",WORKDAY(TODAY(),-$F$1),TODAY()),,2)),""Breakout"","""")"),"")</f>
        <v/>
      </c>
      <c r="H67" s="16">
        <f>IFERROR(__xludf.DUMMYFUNCTION("GOOGLEFINANCE(B67,""price"")"),1190.0)</f>
        <v>1190</v>
      </c>
      <c r="I67" s="17">
        <f>IFERROR(__xludf.DUMMYFUNCTION("AVERAGE(QUERY(SORT(GOOGLEFINANCE(B67,""price"",TODAY()-365,TODAY()),1,0),""select Col2 limit 10""))"),1175.96)</f>
        <v>1175.96</v>
      </c>
      <c r="J67" s="17">
        <f>IFERROR(__xludf.DUMMYFUNCTION("AVERAGE(QUERY(SORT(GOOGLEFINANCE(B67,""price"",TODAY()-365,TODAY()),1,0),""select Col2 limit 30""))"),1155.8)</f>
        <v>1155.8</v>
      </c>
      <c r="K67" s="18">
        <f>IFERROR(__xludf.DUMMYFUNCTION("AVERAGE(QUERY(SORT(GOOGLEFINANCE(B67,""price"",TODAY()-365,TODAY()),1,0),""select Col2 limit 60""))"),1118.2700000000002)</f>
        <v>1118.27</v>
      </c>
      <c r="L67" s="17">
        <f>IFERROR(__xludf.DUMMYFUNCTION("AVERAGE(QUERY(SORT(GOOGLEFINANCE(B67,""price"",TODAY()-365,TODAY()),1,0),""select Col2 limit 90""))"),1092.9188888888891)</f>
        <v>1092.918889</v>
      </c>
      <c r="M67" s="17">
        <f>IFERROR(__xludf.DUMMYFUNCTION("AVERAGE(QUERY(SORT(GOOGLEFINANCE(B67,""price"",TODAY()-365,TODAY()),1,0),""select Col2 limit 120""))"),1096.971666666667)</f>
        <v>1096.971667</v>
      </c>
      <c r="N67" s="19">
        <f>IFERROR(__xludf.DUMMYFUNCTION("AVERAGE(QUERY(SORT(GOOGLEFINANCE(B67,""price"",TODAY()-365,TODAY()),1,0),""select Col2 limit 200""))"),1172.5092499999998)</f>
        <v>1172.50925</v>
      </c>
      <c r="O67" s="20" t="str">
        <f t="shared" si="2"/>
        <v>Avoid</v>
      </c>
      <c r="P67" s="21" t="str">
        <f t="shared" si="3"/>
        <v/>
      </c>
      <c r="Q67" s="21" t="str">
        <f t="shared" si="4"/>
        <v/>
      </c>
      <c r="R67" s="22">
        <f>IFERROR(__xludf.DUMMYFUNCTION("GOOGLEFINANCE(B67, ""pe"")
"),12.13)</f>
        <v>12.13</v>
      </c>
    </row>
    <row r="68">
      <c r="A68" s="9" t="s">
        <v>81</v>
      </c>
      <c r="B68" s="11" t="str">
        <f t="shared" si="1"/>
        <v>NSE:HMVL</v>
      </c>
      <c r="C68" s="12">
        <f>IFERROR(__xludf.DUMMYFUNCTION("GOOGLEFINANCE(B68,""marketcap"")/10000000"),648.1065918)</f>
        <v>648.1065918</v>
      </c>
      <c r="D68" s="13">
        <f>IFERROR(__xludf.DUMMYFUNCTION("GOOGLEFINANCE(B68,""price"")"),88.16)</f>
        <v>88.16</v>
      </c>
      <c r="E68" s="14">
        <f>IFERROR(__xludf.DUMMYFUNCTION("GOOGLEFINANCE(B68,""Volume"")"),8818.0)</f>
        <v>8818</v>
      </c>
      <c r="F68" s="14">
        <f t="array" ref="F68">F67</f>
        <v>14</v>
      </c>
      <c r="G68" s="15" t="str">
        <f>IFERROR(__xludf.DUMMYFUNCTION("IF(E68&gt;AVERAGE(INDEX(GOOGLEFINANCE(B68,""volume"",WORKDAY(TODAY(),-$F$1),TODAY()),,2)),""Breakout"","""")"),"")</f>
        <v/>
      </c>
      <c r="H68" s="16">
        <f>IFERROR(__xludf.DUMMYFUNCTION("GOOGLEFINANCE(B68,""price"")"),88.16)</f>
        <v>88.16</v>
      </c>
      <c r="I68" s="17">
        <f>IFERROR(__xludf.DUMMYFUNCTION("AVERAGE(QUERY(SORT(GOOGLEFINANCE(B68,""price"",TODAY()-365,TODAY()),1,0),""select Col2 limit 10""))"),88.941)</f>
        <v>88.941</v>
      </c>
      <c r="J68" s="17">
        <f>IFERROR(__xludf.DUMMYFUNCTION("AVERAGE(QUERY(SORT(GOOGLEFINANCE(B68,""price"",TODAY()-365,TODAY()),1,0),""select Col2 limit 30""))"),88.39799999999998)</f>
        <v>88.398</v>
      </c>
      <c r="K68" s="18">
        <f>IFERROR(__xludf.DUMMYFUNCTION("AVERAGE(QUERY(SORT(GOOGLEFINANCE(B68,""price"",TODAY()-365,TODAY()),1,0),""select Col2 limit 60""))"),88.15950000000001)</f>
        <v>88.1595</v>
      </c>
      <c r="L68" s="17">
        <f>IFERROR(__xludf.DUMMYFUNCTION("AVERAGE(QUERY(SORT(GOOGLEFINANCE(B68,""price"",TODAY()-365,TODAY()),1,0),""select Col2 limit 90""))"),86.41833333333334)</f>
        <v>86.41833333</v>
      </c>
      <c r="M68" s="17">
        <f>IFERROR(__xludf.DUMMYFUNCTION("AVERAGE(QUERY(SORT(GOOGLEFINANCE(B68,""price"",TODAY()-365,TODAY()),1,0),""select Col2 limit 120""))"),85.58333333333331)</f>
        <v>85.58333333</v>
      </c>
      <c r="N68" s="19">
        <f>IFERROR(__xludf.DUMMYFUNCTION("AVERAGE(QUERY(SORT(GOOGLEFINANCE(B68,""price"",TODAY()-365,TODAY()),1,0),""select Col2 limit 200""))"),87.74825000000004)</f>
        <v>87.74825</v>
      </c>
      <c r="O68" s="20" t="str">
        <f t="shared" si="2"/>
        <v>Avoid</v>
      </c>
      <c r="P68" s="21" t="str">
        <f t="shared" si="3"/>
        <v>10 DMA</v>
      </c>
      <c r="Q68" s="21" t="str">
        <f t="shared" si="4"/>
        <v/>
      </c>
      <c r="R68" s="22">
        <f>IFERROR(__xludf.DUMMYFUNCTION("GOOGLEFINANCE(B68, ""pe"")
"),8.35)</f>
        <v>8.35</v>
      </c>
    </row>
    <row r="69">
      <c r="A69" s="9" t="s">
        <v>82</v>
      </c>
      <c r="B69" s="11" t="str">
        <f t="shared" si="1"/>
        <v>NSE:BHAGERIA</v>
      </c>
      <c r="C69" s="12">
        <f>IFERROR(__xludf.DUMMYFUNCTION("GOOGLEFINANCE(B69,""marketcap"")/10000000"),863.2382069)</f>
        <v>863.2382069</v>
      </c>
      <c r="D69" s="13">
        <f>IFERROR(__xludf.DUMMYFUNCTION("GOOGLEFINANCE(B69,""price"")"),196.81)</f>
        <v>196.81</v>
      </c>
      <c r="E69" s="14">
        <f>IFERROR(__xludf.DUMMYFUNCTION("GOOGLEFINANCE(B69,""Volume"")"),12404.0)</f>
        <v>12404</v>
      </c>
      <c r="F69" s="14">
        <f t="array" ref="F69">F68</f>
        <v>14</v>
      </c>
      <c r="G69" s="15" t="str">
        <f>IFERROR(__xludf.DUMMYFUNCTION("IF(E69&gt;AVERAGE(INDEX(GOOGLEFINANCE(B69,""volume"",WORKDAY(TODAY(),-$F$1),TODAY()),,2)),""Breakout"","""")"),"")</f>
        <v/>
      </c>
      <c r="H69" s="16">
        <f>IFERROR(__xludf.DUMMYFUNCTION("GOOGLEFINANCE(B69,""price"")"),196.81)</f>
        <v>196.81</v>
      </c>
      <c r="I69" s="17">
        <f>IFERROR(__xludf.DUMMYFUNCTION("AVERAGE(QUERY(SORT(GOOGLEFINANCE(B69,""price"",TODAY()-365,TODAY()),1,0),""select Col2 limit 10""))"),199.75)</f>
        <v>199.75</v>
      </c>
      <c r="J69" s="17">
        <f>IFERROR(__xludf.DUMMYFUNCTION("AVERAGE(QUERY(SORT(GOOGLEFINANCE(B69,""price"",TODAY()-365,TODAY()),1,0),""select Col2 limit 30""))"),196.84600000000003)</f>
        <v>196.846</v>
      </c>
      <c r="K69" s="18">
        <f>IFERROR(__xludf.DUMMYFUNCTION("AVERAGE(QUERY(SORT(GOOGLEFINANCE(B69,""price"",TODAY()-365,TODAY()),1,0),""select Col2 limit 60""))"),187.19116666666662)</f>
        <v>187.1911667</v>
      </c>
      <c r="L69" s="17">
        <f>IFERROR(__xludf.DUMMYFUNCTION("AVERAGE(QUERY(SORT(GOOGLEFINANCE(B69,""price"",TODAY()-365,TODAY()),1,0),""select Col2 limit 90""))"),177.30977777777775)</f>
        <v>177.3097778</v>
      </c>
      <c r="M69" s="17">
        <f>IFERROR(__xludf.DUMMYFUNCTION("AVERAGE(QUERY(SORT(GOOGLEFINANCE(B69,""price"",TODAY()-365,TODAY()),1,0),""select Col2 limit 120""))"),176.23816666666656)</f>
        <v>176.2381667</v>
      </c>
      <c r="N69" s="19">
        <f>IFERROR(__xludf.DUMMYFUNCTION("AVERAGE(QUERY(SORT(GOOGLEFINANCE(B69,""price"",TODAY()-365,TODAY()),1,0),""select Col2 limit 200""))"),186.40849999999992)</f>
        <v>186.4085</v>
      </c>
      <c r="O69" s="20" t="str">
        <f t="shared" si="2"/>
        <v>Avoid</v>
      </c>
      <c r="P69" s="21" t="str">
        <f t="shared" si="3"/>
        <v>30 DMA</v>
      </c>
      <c r="Q69" s="21" t="str">
        <f t="shared" si="4"/>
        <v/>
      </c>
      <c r="R69" s="22">
        <f>IFERROR(__xludf.DUMMYFUNCTION("GOOGLEFINANCE(B69, ""pe"")
"),21.26)</f>
        <v>21.26</v>
      </c>
    </row>
    <row r="70">
      <c r="A70" s="9" t="s">
        <v>83</v>
      </c>
      <c r="B70" s="11" t="str">
        <f t="shared" si="1"/>
        <v>NSE:RADHIKAJWE</v>
      </c>
      <c r="C70" s="12">
        <f>IFERROR(__xludf.DUMMYFUNCTION("GOOGLEFINANCE(B70,""marketcap"")/10000000"),1161.9460144)</f>
        <v>1161.946014</v>
      </c>
      <c r="D70" s="13">
        <f>IFERROR(__xludf.DUMMYFUNCTION("GOOGLEFINANCE(B70,""price"")"),98.47)</f>
        <v>98.47</v>
      </c>
      <c r="E70" s="14">
        <f>IFERROR(__xludf.DUMMYFUNCTION("GOOGLEFINANCE(B70,""Volume"")"),873786.0)</f>
        <v>873786</v>
      </c>
      <c r="F70" s="14">
        <f t="array" ref="F70">F69</f>
        <v>14</v>
      </c>
      <c r="G70" s="15" t="str">
        <f>IFERROR(__xludf.DUMMYFUNCTION("IF(E70&gt;AVERAGE(INDEX(GOOGLEFINANCE(B70,""volume"",WORKDAY(TODAY(),-$F$1),TODAY()),,2)),""Breakout"","""")"),"#N/A")</f>
        <v>#N/A</v>
      </c>
      <c r="H70" s="16">
        <f>IFERROR(__xludf.DUMMYFUNCTION("GOOGLEFINANCE(B70,""price"")"),98.47)</f>
        <v>98.47</v>
      </c>
      <c r="I70" s="17">
        <f>IFERROR(__xludf.DUMMYFUNCTION("AVERAGE(QUERY(SORT(GOOGLEFINANCE(B70,""price"",TODAY()-365,TODAY()),1,0),""select Col2 limit 10""))"),95.039)</f>
        <v>95.039</v>
      </c>
      <c r="J70" s="17">
        <f>IFERROR(__xludf.DUMMYFUNCTION("AVERAGE(QUERY(SORT(GOOGLEFINANCE(B70,""price"",TODAY()-365,TODAY()),1,0),""select Col2 limit 30""))"),88.79966666666668)</f>
        <v>88.79966667</v>
      </c>
      <c r="K70" s="18">
        <f>IFERROR(__xludf.DUMMYFUNCTION("AVERAGE(QUERY(SORT(GOOGLEFINANCE(B70,""price"",TODAY()-365,TODAY()),1,0),""select Col2 limit 60""))"),88.296)</f>
        <v>88.296</v>
      </c>
      <c r="L70" s="17">
        <f>IFERROR(__xludf.DUMMYFUNCTION("AVERAGE(QUERY(SORT(GOOGLEFINANCE(B70,""price"",TODAY()-365,TODAY()),1,0),""select Col2 limit 90""))"),88.6128888888889)</f>
        <v>88.61288889</v>
      </c>
      <c r="M70" s="17">
        <f>IFERROR(__xludf.DUMMYFUNCTION("AVERAGE(QUERY(SORT(GOOGLEFINANCE(B70,""price"",TODAY()-365,TODAY()),1,0),""select Col2 limit 120""))"),90.48325)</f>
        <v>90.48325</v>
      </c>
      <c r="N70" s="19">
        <f>IFERROR(__xludf.DUMMYFUNCTION("AVERAGE(QUERY(SORT(GOOGLEFINANCE(B70,""price"",TODAY()-365,TODAY()),1,0),""select Col2 limit 200""))"),99.47209999999994)</f>
        <v>99.4721</v>
      </c>
      <c r="O70" s="20" t="str">
        <f t="shared" si="2"/>
        <v>Buy Above 200 DMA</v>
      </c>
      <c r="P70" s="21" t="str">
        <f t="shared" si="3"/>
        <v/>
      </c>
      <c r="Q70" s="21" t="str">
        <f t="shared" si="4"/>
        <v/>
      </c>
      <c r="R70" s="22">
        <f>IFERROR(__xludf.DUMMYFUNCTION("GOOGLEFINANCE(B70, ""pe"")
"),19.33)</f>
        <v>19.33</v>
      </c>
    </row>
    <row r="71">
      <c r="A71" s="9" t="s">
        <v>84</v>
      </c>
      <c r="B71" s="11" t="str">
        <f t="shared" si="1"/>
        <v>NSE:GOACARBON</v>
      </c>
      <c r="C71" s="12">
        <f>IFERROR(__xludf.DUMMYFUNCTION("GOOGLEFINANCE(B71,""marketcap"")/10000000"),426.4389766)</f>
        <v>426.4389766</v>
      </c>
      <c r="D71" s="13">
        <f>IFERROR(__xludf.DUMMYFUNCTION("GOOGLEFINANCE(B71,""price"")"),468.0)</f>
        <v>468</v>
      </c>
      <c r="E71" s="14">
        <f>IFERROR(__xludf.DUMMYFUNCTION("GOOGLEFINANCE(B71,""Volume"")"),7749.0)</f>
        <v>7749</v>
      </c>
      <c r="F71" s="14">
        <f t="array" ref="F71">F70</f>
        <v>14</v>
      </c>
      <c r="G71" s="15" t="str">
        <f>IFERROR(__xludf.DUMMYFUNCTION("IF(E71&gt;AVERAGE(INDEX(GOOGLEFINANCE(B71,""volume"",WORKDAY(TODAY(),-$F$1),TODAY()),,2)),""Breakout"","""")"),"")</f>
        <v/>
      </c>
      <c r="H71" s="16">
        <f>IFERROR(__xludf.DUMMYFUNCTION("GOOGLEFINANCE(B71,""price"")"),468.0)</f>
        <v>468</v>
      </c>
      <c r="I71" s="17">
        <f>IFERROR(__xludf.DUMMYFUNCTION("AVERAGE(QUERY(SORT(GOOGLEFINANCE(B71,""price"",TODAY()-365,TODAY()),1,0),""select Col2 limit 10""))"),489.80000000000007)</f>
        <v>489.8</v>
      </c>
      <c r="J71" s="17">
        <f>IFERROR(__xludf.DUMMYFUNCTION("AVERAGE(QUERY(SORT(GOOGLEFINANCE(B71,""price"",TODAY()-365,TODAY()),1,0),""select Col2 limit 30""))"),485.4950000000002)</f>
        <v>485.495</v>
      </c>
      <c r="K71" s="18">
        <f>IFERROR(__xludf.DUMMYFUNCTION("AVERAGE(QUERY(SORT(GOOGLEFINANCE(B71,""price"",TODAY()-365,TODAY()),1,0),""select Col2 limit 60""))"),483.3091666666669)</f>
        <v>483.3091667</v>
      </c>
      <c r="L71" s="17">
        <f>IFERROR(__xludf.DUMMYFUNCTION("AVERAGE(QUERY(SORT(GOOGLEFINANCE(B71,""price"",TODAY()-365,TODAY()),1,0),""select Col2 limit 90""))"),476.9316666666669)</f>
        <v>476.9316667</v>
      </c>
      <c r="M71" s="17">
        <f>IFERROR(__xludf.DUMMYFUNCTION("AVERAGE(QUERY(SORT(GOOGLEFINANCE(B71,""price"",TODAY()-365,TODAY()),1,0),""select Col2 limit 120""))"),481.31250000000017)</f>
        <v>481.3125</v>
      </c>
      <c r="N71" s="19">
        <f>IFERROR(__xludf.DUMMYFUNCTION("AVERAGE(QUERY(SORT(GOOGLEFINANCE(B71,""price"",TODAY()-365,TODAY()),1,0),""select Col2 limit 200""))"),568.2197500000001)</f>
        <v>568.21975</v>
      </c>
      <c r="O71" s="20" t="str">
        <f t="shared" si="2"/>
        <v>Avoid</v>
      </c>
      <c r="P71" s="21" t="str">
        <f t="shared" si="3"/>
        <v/>
      </c>
      <c r="Q71" s="21" t="str">
        <f t="shared" si="4"/>
        <v/>
      </c>
      <c r="R71" s="22" t="str">
        <f>IFERROR(__xludf.DUMMYFUNCTION("GOOGLEFINANCE(B71, ""pe"")
"),"#N/A")</f>
        <v>#N/A</v>
      </c>
    </row>
    <row r="72">
      <c r="A72" s="9" t="s">
        <v>85</v>
      </c>
      <c r="B72" s="11" t="str">
        <f t="shared" si="1"/>
        <v>NSE:BEDMUTHA</v>
      </c>
      <c r="C72" s="12">
        <f>IFERROR(__xludf.DUMMYFUNCTION("GOOGLEFINANCE(B72,""marketcap"")/10000000"),464.8902351)</f>
        <v>464.8902351</v>
      </c>
      <c r="D72" s="13">
        <f>IFERROR(__xludf.DUMMYFUNCTION("GOOGLEFINANCE(B72,""price"")"),144.09)</f>
        <v>144.09</v>
      </c>
      <c r="E72" s="14">
        <f>IFERROR(__xludf.DUMMYFUNCTION("GOOGLEFINANCE(B72,""Volume"")"),1097.0)</f>
        <v>1097</v>
      </c>
      <c r="F72" s="14">
        <f t="array" ref="F72">F71</f>
        <v>14</v>
      </c>
      <c r="G72" s="15" t="str">
        <f>IFERROR(__xludf.DUMMYFUNCTION("IF(E72&gt;AVERAGE(INDEX(GOOGLEFINANCE(B72,""volume"",WORKDAY(TODAY(),-$F$1),TODAY()),,2)),""Breakout"","""")"),"")</f>
        <v/>
      </c>
      <c r="H72" s="16">
        <f>IFERROR(__xludf.DUMMYFUNCTION("GOOGLEFINANCE(B72,""price"")"),144.09)</f>
        <v>144.09</v>
      </c>
      <c r="I72" s="17">
        <f>IFERROR(__xludf.DUMMYFUNCTION("AVERAGE(QUERY(SORT(GOOGLEFINANCE(B72,""price"",TODAY()-365,TODAY()),1,0),""select Col2 limit 10""))"),148.01100000000002)</f>
        <v>148.011</v>
      </c>
      <c r="J72" s="17">
        <f>IFERROR(__xludf.DUMMYFUNCTION("AVERAGE(QUERY(SORT(GOOGLEFINANCE(B72,""price"",TODAY()-365,TODAY()),1,0),""select Col2 limit 30""))"),149.90233333333333)</f>
        <v>149.9023333</v>
      </c>
      <c r="K72" s="18">
        <f>IFERROR(__xludf.DUMMYFUNCTION("AVERAGE(QUERY(SORT(GOOGLEFINANCE(B72,""price"",TODAY()-365,TODAY()),1,0),""select Col2 limit 60""))"),155.78383333333335)</f>
        <v>155.7838333</v>
      </c>
      <c r="L72" s="17">
        <f>IFERROR(__xludf.DUMMYFUNCTION("AVERAGE(QUERY(SORT(GOOGLEFINANCE(B72,""price"",TODAY()-365,TODAY()),1,0),""select Col2 limit 90""))"),158.42666666666668)</f>
        <v>158.4266667</v>
      </c>
      <c r="M72" s="17">
        <f>IFERROR(__xludf.DUMMYFUNCTION("AVERAGE(QUERY(SORT(GOOGLEFINANCE(B72,""price"",TODAY()-365,TODAY()),1,0),""select Col2 limit 120""))"),161.0091666666667)</f>
        <v>161.0091667</v>
      </c>
      <c r="N72" s="19">
        <f>IFERROR(__xludf.DUMMYFUNCTION("AVERAGE(QUERY(SORT(GOOGLEFINANCE(B72,""price"",TODAY()-365,TODAY()),1,0),""select Col2 limit 200""))"),179.8275500000001)</f>
        <v>179.82755</v>
      </c>
      <c r="O72" s="20" t="str">
        <f t="shared" si="2"/>
        <v>Avoid</v>
      </c>
      <c r="P72" s="21" t="str">
        <f t="shared" si="3"/>
        <v/>
      </c>
      <c r="Q72" s="21" t="str">
        <f t="shared" si="4"/>
        <v/>
      </c>
      <c r="R72" s="22">
        <f>IFERROR(__xludf.DUMMYFUNCTION("GOOGLEFINANCE(B72, ""pe"")
"),18.86)</f>
        <v>18.86</v>
      </c>
    </row>
    <row r="73">
      <c r="A73" s="9" t="s">
        <v>86</v>
      </c>
      <c r="B73" s="11" t="str">
        <f t="shared" si="1"/>
        <v>NSE:AVG</v>
      </c>
      <c r="C73" s="12">
        <f>IFERROR(__xludf.DUMMYFUNCTION("GOOGLEFINANCE(B73,""marketcap"")/10000000"),368.5877617)</f>
        <v>368.5877617</v>
      </c>
      <c r="D73" s="13">
        <f>IFERROR(__xludf.DUMMYFUNCTION("GOOGLEFINANCE(B73,""price"")"),241.95)</f>
        <v>241.95</v>
      </c>
      <c r="E73" s="14">
        <f>IFERROR(__xludf.DUMMYFUNCTION("GOOGLEFINANCE(B73,""Volume"")"),115965.0)</f>
        <v>115965</v>
      </c>
      <c r="F73" s="14">
        <f t="array" ref="F73">F72</f>
        <v>14</v>
      </c>
      <c r="G73" s="15" t="str">
        <f>IFERROR(__xludf.DUMMYFUNCTION("IF(E73&gt;AVERAGE(INDEX(GOOGLEFINANCE(B73,""volume"",WORKDAY(TODAY(),-$F$1),TODAY()),,2)),""Breakout"","""")"),"Breakout")</f>
        <v>Breakout</v>
      </c>
      <c r="H73" s="16">
        <f>IFERROR(__xludf.DUMMYFUNCTION("GOOGLEFINANCE(B73,""price"")"),241.95)</f>
        <v>241.95</v>
      </c>
      <c r="I73" s="17">
        <f>IFERROR(__xludf.DUMMYFUNCTION("AVERAGE(QUERY(SORT(GOOGLEFINANCE(B73,""price"",TODAY()-365,TODAY()),1,0),""select Col2 limit 10""))"),283.15)</f>
        <v>283.15</v>
      </c>
      <c r="J73" s="17">
        <f>IFERROR(__xludf.DUMMYFUNCTION("AVERAGE(QUERY(SORT(GOOGLEFINANCE(B73,""price"",TODAY()-365,TODAY()),1,0),""select Col2 limit 30""))"),287.6766666666666)</f>
        <v>287.6766667</v>
      </c>
      <c r="K73" s="18">
        <f>IFERROR(__xludf.DUMMYFUNCTION("AVERAGE(QUERY(SORT(GOOGLEFINANCE(B73,""price"",TODAY()-365,TODAY()),1,0),""select Col2 limit 60""))"),284.9310000000001)</f>
        <v>284.931</v>
      </c>
      <c r="L73" s="17">
        <f>IFERROR(__xludf.DUMMYFUNCTION("AVERAGE(QUERY(SORT(GOOGLEFINANCE(B73,""price"",TODAY()-365,TODAY()),1,0),""select Col2 limit 90""))"),271.26555555555564)</f>
        <v>271.2655556</v>
      </c>
      <c r="M73" s="17">
        <f>IFERROR(__xludf.DUMMYFUNCTION("AVERAGE(QUERY(SORT(GOOGLEFINANCE(B73,""price"",TODAY()-365,TODAY()),1,0),""select Col2 limit 120""))"),270.98875000000015)</f>
        <v>270.98875</v>
      </c>
      <c r="N73" s="19">
        <f>IFERROR(__xludf.DUMMYFUNCTION("AVERAGE(QUERY(SORT(GOOGLEFINANCE(B73,""price"",TODAY()-365,TODAY()),1,0),""select Col2 limit 200""))"),328.42125000000016)</f>
        <v>328.42125</v>
      </c>
      <c r="O73" s="20" t="str">
        <f t="shared" si="2"/>
        <v>Avoid</v>
      </c>
      <c r="P73" s="21" t="str">
        <f t="shared" si="3"/>
        <v/>
      </c>
      <c r="Q73" s="21" t="str">
        <f t="shared" si="4"/>
        <v/>
      </c>
      <c r="R73" s="22">
        <f>IFERROR(__xludf.DUMMYFUNCTION("GOOGLEFINANCE(B73, ""pe"")
"),16.11)</f>
        <v>16.11</v>
      </c>
    </row>
    <row r="74">
      <c r="A74" s="9" t="s">
        <v>87</v>
      </c>
      <c r="B74" s="11" t="str">
        <f t="shared" si="1"/>
        <v>NSE:PVP</v>
      </c>
      <c r="C74" s="12">
        <f>IFERROR(__xludf.DUMMYFUNCTION("GOOGLEFINANCE(B74,""marketcap"")/10000000"),553.0972404)</f>
        <v>553.0972404</v>
      </c>
      <c r="D74" s="13">
        <f>IFERROR(__xludf.DUMMYFUNCTION("GOOGLEFINANCE(B74,""price"")"),21.1)</f>
        <v>21.1</v>
      </c>
      <c r="E74" s="14">
        <f>IFERROR(__xludf.DUMMYFUNCTION("GOOGLEFINANCE(B74,""Volume"")"),61470.0)</f>
        <v>61470</v>
      </c>
      <c r="F74" s="14">
        <f t="array" ref="F74">F73</f>
        <v>14</v>
      </c>
      <c r="G74" s="15" t="str">
        <f>IFERROR(__xludf.DUMMYFUNCTION("IF(E74&gt;AVERAGE(INDEX(GOOGLEFINANCE(B74,""volume"",WORKDAY(TODAY(),-$F$1),TODAY()),,2)),""Breakout"","""")"),"")</f>
        <v/>
      </c>
      <c r="H74" s="16">
        <f>IFERROR(__xludf.DUMMYFUNCTION("GOOGLEFINANCE(B74,""price"")"),21.1)</f>
        <v>21.1</v>
      </c>
      <c r="I74" s="17">
        <f>IFERROR(__xludf.DUMMYFUNCTION("AVERAGE(QUERY(SORT(GOOGLEFINANCE(B74,""price"",TODAY()-365,TODAY()),1,0),""select Col2 limit 10""))"),20.834000000000003)</f>
        <v>20.834</v>
      </c>
      <c r="J74" s="17">
        <f>IFERROR(__xludf.DUMMYFUNCTION("AVERAGE(QUERY(SORT(GOOGLEFINANCE(B74,""price"",TODAY()-365,TODAY()),1,0),""select Col2 limit 30""))"),21.99666666666666)</f>
        <v>21.99666667</v>
      </c>
      <c r="K74" s="18">
        <f>IFERROR(__xludf.DUMMYFUNCTION("AVERAGE(QUERY(SORT(GOOGLEFINANCE(B74,""price"",TODAY()-365,TODAY()),1,0),""select Col2 limit 60""))"),22.977166666666662)</f>
        <v>22.97716667</v>
      </c>
      <c r="L74" s="17">
        <f>IFERROR(__xludf.DUMMYFUNCTION("AVERAGE(QUERY(SORT(GOOGLEFINANCE(B74,""price"",TODAY()-365,TODAY()),1,0),""select Col2 limit 90""))"),23.473444444444436)</f>
        <v>23.47344444</v>
      </c>
      <c r="M74" s="17">
        <f>IFERROR(__xludf.DUMMYFUNCTION("AVERAGE(QUERY(SORT(GOOGLEFINANCE(B74,""price"",TODAY()-365,TODAY()),1,0),""select Col2 limit 120""))"),24.098583333333334)</f>
        <v>24.09858333</v>
      </c>
      <c r="N74" s="19">
        <f>IFERROR(__xludf.DUMMYFUNCTION("AVERAGE(QUERY(SORT(GOOGLEFINANCE(B74,""price"",TODAY()-365,TODAY()),1,0),""select Col2 limit 200""))"),25.961200000000005)</f>
        <v>25.9612</v>
      </c>
      <c r="O74" s="20" t="str">
        <f t="shared" si="2"/>
        <v>Avoid</v>
      </c>
      <c r="P74" s="21" t="str">
        <f t="shared" si="3"/>
        <v/>
      </c>
      <c r="Q74" s="21" t="str">
        <f t="shared" si="4"/>
        <v/>
      </c>
      <c r="R74" s="22" t="str">
        <f>IFERROR(__xludf.DUMMYFUNCTION("GOOGLEFINANCE(B74, ""pe"")
"),"#N/A")</f>
        <v>#N/A</v>
      </c>
    </row>
    <row r="75">
      <c r="A75" s="9" t="s">
        <v>88</v>
      </c>
      <c r="B75" s="11" t="str">
        <f t="shared" si="1"/>
        <v>NSE:ADVANIHOTR</v>
      </c>
      <c r="C75" s="12">
        <f>IFERROR(__xludf.DUMMYFUNCTION("GOOGLEFINANCE(B75,""marketcap"")/10000000"),549.6104907)</f>
        <v>549.6104907</v>
      </c>
      <c r="D75" s="13">
        <f>IFERROR(__xludf.DUMMYFUNCTION("GOOGLEFINANCE(B75,""price"")"),59.77)</f>
        <v>59.77</v>
      </c>
      <c r="E75" s="14">
        <f>IFERROR(__xludf.DUMMYFUNCTION("GOOGLEFINANCE(B75,""Volume"")"),20863.0)</f>
        <v>20863</v>
      </c>
      <c r="F75" s="14">
        <f t="array" ref="F75">F74</f>
        <v>14</v>
      </c>
      <c r="G75" s="15" t="str">
        <f>IFERROR(__xludf.DUMMYFUNCTION("IF(E75&gt;AVERAGE(INDEX(GOOGLEFINANCE(B75,""volume"",WORKDAY(TODAY(),-$F$1),TODAY()),,2)),""Breakout"","""")"),"")</f>
        <v/>
      </c>
      <c r="H75" s="16">
        <f>IFERROR(__xludf.DUMMYFUNCTION("GOOGLEFINANCE(B75,""price"")"),59.77)</f>
        <v>59.77</v>
      </c>
      <c r="I75" s="17">
        <f>IFERROR(__xludf.DUMMYFUNCTION("AVERAGE(QUERY(SORT(GOOGLEFINANCE(B75,""price"",TODAY()-365,TODAY()),1,0),""select Col2 limit 10""))"),61.638)</f>
        <v>61.638</v>
      </c>
      <c r="J75" s="17">
        <f>IFERROR(__xludf.DUMMYFUNCTION("AVERAGE(QUERY(SORT(GOOGLEFINANCE(B75,""price"",TODAY()-365,TODAY()),1,0),""select Col2 limit 30""))"),61.022)</f>
        <v>61.022</v>
      </c>
      <c r="K75" s="18">
        <f>IFERROR(__xludf.DUMMYFUNCTION("AVERAGE(QUERY(SORT(GOOGLEFINANCE(B75,""price"",TODAY()-365,TODAY()),1,0),""select Col2 limit 60""))"),60.97283333333333)</f>
        <v>60.97283333</v>
      </c>
      <c r="L75" s="17">
        <f>IFERROR(__xludf.DUMMYFUNCTION("AVERAGE(QUERY(SORT(GOOGLEFINANCE(B75,""price"",TODAY()-365,TODAY()),1,0),""select Col2 limit 90""))"),60.68977777777778)</f>
        <v>60.68977778</v>
      </c>
      <c r="M75" s="17">
        <f>IFERROR(__xludf.DUMMYFUNCTION("AVERAGE(QUERY(SORT(GOOGLEFINANCE(B75,""price"",TODAY()-365,TODAY()),1,0),""select Col2 limit 120""))"),60.672166666666676)</f>
        <v>60.67216667</v>
      </c>
      <c r="N75" s="19">
        <f>IFERROR(__xludf.DUMMYFUNCTION("AVERAGE(QUERY(SORT(GOOGLEFINANCE(B75,""price"",TODAY()-365,TODAY()),1,0),""select Col2 limit 200""))"),63.69900000000003)</f>
        <v>63.699</v>
      </c>
      <c r="O75" s="20" t="str">
        <f t="shared" si="2"/>
        <v>Avoid</v>
      </c>
      <c r="P75" s="21" t="str">
        <f t="shared" si="3"/>
        <v/>
      </c>
      <c r="Q75" s="21" t="str">
        <f t="shared" si="4"/>
        <v/>
      </c>
      <c r="R75" s="22">
        <f>IFERROR(__xludf.DUMMYFUNCTION("GOOGLEFINANCE(B75, ""pe"")
"),20.93)</f>
        <v>20.93</v>
      </c>
    </row>
    <row r="76">
      <c r="A76" s="9" t="s">
        <v>89</v>
      </c>
      <c r="B76" s="11" t="str">
        <f t="shared" si="1"/>
        <v>NSE:BALAXI</v>
      </c>
      <c r="C76" s="12">
        <f>IFERROR(__xludf.DUMMYFUNCTION("GOOGLEFINANCE(B76,""marketcap"")/10000000"),270.3511342)</f>
        <v>270.3511342</v>
      </c>
      <c r="D76" s="13">
        <f>IFERROR(__xludf.DUMMYFUNCTION("GOOGLEFINANCE(B76,""price"")"),48.93)</f>
        <v>48.93</v>
      </c>
      <c r="E76" s="14">
        <f>IFERROR(__xludf.DUMMYFUNCTION("GOOGLEFINANCE(B76,""Volume"")"),630986.0)</f>
        <v>630986</v>
      </c>
      <c r="F76" s="14">
        <f t="array" ref="F76">F75</f>
        <v>14</v>
      </c>
      <c r="G76" s="15" t="str">
        <f>IFERROR(__xludf.DUMMYFUNCTION("IF(E76&gt;AVERAGE(INDEX(GOOGLEFINANCE(B76,""volume"",WORKDAY(TODAY(),-$F$1),TODAY()),,2)),""Breakout"","""")"),"Breakout")</f>
        <v>Breakout</v>
      </c>
      <c r="H76" s="16">
        <f>IFERROR(__xludf.DUMMYFUNCTION("GOOGLEFINANCE(B76,""price"")"),48.93)</f>
        <v>48.93</v>
      </c>
      <c r="I76" s="17">
        <f>IFERROR(__xludf.DUMMYFUNCTION("AVERAGE(QUERY(SORT(GOOGLEFINANCE(B76,""price"",TODAY()-365,TODAY()),1,0),""select Col2 limit 10""))"),48.95399999999999)</f>
        <v>48.954</v>
      </c>
      <c r="J76" s="17">
        <f>IFERROR(__xludf.DUMMYFUNCTION("AVERAGE(QUERY(SORT(GOOGLEFINANCE(B76,""price"",TODAY()-365,TODAY()),1,0),""select Col2 limit 30""))"),49.47233333333335)</f>
        <v>49.47233333</v>
      </c>
      <c r="K76" s="18">
        <f>IFERROR(__xludf.DUMMYFUNCTION("AVERAGE(QUERY(SORT(GOOGLEFINANCE(B76,""price"",TODAY()-365,TODAY()),1,0),""select Col2 limit 60""))"),51.27183333333333)</f>
        <v>51.27183333</v>
      </c>
      <c r="L76" s="17">
        <f>IFERROR(__xludf.DUMMYFUNCTION("AVERAGE(QUERY(SORT(GOOGLEFINANCE(B76,""price"",TODAY()-365,TODAY()),1,0),""select Col2 limit 90""))"),55.71255555555555)</f>
        <v>55.71255556</v>
      </c>
      <c r="M76" s="17">
        <f>IFERROR(__xludf.DUMMYFUNCTION("AVERAGE(QUERY(SORT(GOOGLEFINANCE(B76,""price"",TODAY()-365,TODAY()),1,0),""select Col2 limit 120""))"),57.42849999999999)</f>
        <v>57.4285</v>
      </c>
      <c r="N76" s="19">
        <f>IFERROR(__xludf.DUMMYFUNCTION("AVERAGE(QUERY(SORT(GOOGLEFINANCE(B76,""price"",TODAY()-365,TODAY()),1,0),""select Col2 limit 200""))"),67.14319999999996)</f>
        <v>67.1432</v>
      </c>
      <c r="O76" s="20" t="str">
        <f t="shared" si="2"/>
        <v>Avoid</v>
      </c>
      <c r="P76" s="21" t="str">
        <f t="shared" si="3"/>
        <v>10 DMA</v>
      </c>
      <c r="Q76" s="21" t="str">
        <f t="shared" si="4"/>
        <v>10 DMA cross best</v>
      </c>
      <c r="R76" s="22">
        <f>IFERROR(__xludf.DUMMYFUNCTION("GOOGLEFINANCE(B76, ""pe"")
"),10.79)</f>
        <v>10.79</v>
      </c>
    </row>
    <row r="77">
      <c r="A77" s="9" t="s">
        <v>90</v>
      </c>
      <c r="B77" s="11" t="str">
        <f t="shared" si="1"/>
        <v>NSE:ORICONENT</v>
      </c>
      <c r="C77" s="12">
        <f>IFERROR(__xludf.DUMMYFUNCTION("GOOGLEFINANCE(B77,""marketcap"")/10000000"),726.0315099)</f>
        <v>726.0315099</v>
      </c>
      <c r="D77" s="13">
        <f>IFERROR(__xludf.DUMMYFUNCTION("GOOGLEFINANCE(B77,""price"")"),45.66)</f>
        <v>45.66</v>
      </c>
      <c r="E77" s="14">
        <f>IFERROR(__xludf.DUMMYFUNCTION("GOOGLEFINANCE(B77,""Volume"")"),175967.0)</f>
        <v>175967</v>
      </c>
      <c r="F77" s="14">
        <f t="array" ref="F77">F76</f>
        <v>14</v>
      </c>
      <c r="G77" s="15" t="str">
        <f>IFERROR(__xludf.DUMMYFUNCTION("IF(E77&gt;AVERAGE(INDEX(GOOGLEFINANCE(B77,""volume"",WORKDAY(TODAY(),-$F$1),TODAY()),,2)),""Breakout"","""")"),"")</f>
        <v/>
      </c>
      <c r="H77" s="16">
        <f>IFERROR(__xludf.DUMMYFUNCTION("GOOGLEFINANCE(B77,""price"")"),45.66)</f>
        <v>45.66</v>
      </c>
      <c r="I77" s="17">
        <f>IFERROR(__xludf.DUMMYFUNCTION("AVERAGE(QUERY(SORT(GOOGLEFINANCE(B77,""price"",TODAY()-365,TODAY()),1,0),""select Col2 limit 10""))"),45.168)</f>
        <v>45.168</v>
      </c>
      <c r="J77" s="17">
        <f>IFERROR(__xludf.DUMMYFUNCTION("AVERAGE(QUERY(SORT(GOOGLEFINANCE(B77,""price"",TODAY()-365,TODAY()),1,0),""select Col2 limit 30""))"),45.11599999999999)</f>
        <v>45.116</v>
      </c>
      <c r="K77" s="18">
        <f>IFERROR(__xludf.DUMMYFUNCTION("AVERAGE(QUERY(SORT(GOOGLEFINANCE(B77,""price"",TODAY()-365,TODAY()),1,0),""select Col2 limit 60""))"),43.6405)</f>
        <v>43.6405</v>
      </c>
      <c r="L77" s="17">
        <f>IFERROR(__xludf.DUMMYFUNCTION("AVERAGE(QUERY(SORT(GOOGLEFINANCE(B77,""price"",TODAY()-365,TODAY()),1,0),""select Col2 limit 90""))"),42.372888888888916)</f>
        <v>42.37288889</v>
      </c>
      <c r="M77" s="17">
        <f>IFERROR(__xludf.DUMMYFUNCTION("AVERAGE(QUERY(SORT(GOOGLEFINANCE(B77,""price"",TODAY()-365,TODAY()),1,0),""select Col2 limit 120""))"),41.73566666666669)</f>
        <v>41.73566667</v>
      </c>
      <c r="N77" s="19">
        <f>IFERROR(__xludf.DUMMYFUNCTION("AVERAGE(QUERY(SORT(GOOGLEFINANCE(B77,""price"",TODAY()-365,TODAY()),1,0),""select Col2 limit 200""))"),39.70214999999999)</f>
        <v>39.70215</v>
      </c>
      <c r="O77" s="20" t="str">
        <f t="shared" si="2"/>
        <v>Avoid</v>
      </c>
      <c r="P77" s="21" t="str">
        <f t="shared" si="3"/>
        <v/>
      </c>
      <c r="Q77" s="21" t="str">
        <f t="shared" si="4"/>
        <v/>
      </c>
      <c r="R77" s="22">
        <f>IFERROR(__xludf.DUMMYFUNCTION("GOOGLEFINANCE(B77, ""pe"")
"),4.76)</f>
        <v>4.76</v>
      </c>
    </row>
    <row r="78">
      <c r="A78" s="9" t="s">
        <v>91</v>
      </c>
      <c r="B78" s="11" t="str">
        <f t="shared" si="1"/>
        <v>NSE:OSWALAGRO</v>
      </c>
      <c r="C78" s="12">
        <f>IFERROR(__xludf.DUMMYFUNCTION("GOOGLEFINANCE(B78,""marketcap"")/10000000"),1102.1942858)</f>
        <v>1102.194286</v>
      </c>
      <c r="D78" s="13">
        <f>IFERROR(__xludf.DUMMYFUNCTION("GOOGLEFINANCE(B78,""price"")"),81.75)</f>
        <v>81.75</v>
      </c>
      <c r="E78" s="14">
        <f>IFERROR(__xludf.DUMMYFUNCTION("GOOGLEFINANCE(B78,""Volume"")"),45576.0)</f>
        <v>45576</v>
      </c>
      <c r="F78" s="14">
        <f t="array" ref="F78">F77</f>
        <v>14</v>
      </c>
      <c r="G78" s="15" t="str">
        <f>IFERROR(__xludf.DUMMYFUNCTION("IF(E78&gt;AVERAGE(INDEX(GOOGLEFINANCE(B78,""volume"",WORKDAY(TODAY(),-$F$1),TODAY()),,2)),""Breakout"","""")"),"")</f>
        <v/>
      </c>
      <c r="H78" s="16">
        <f>IFERROR(__xludf.DUMMYFUNCTION("GOOGLEFINANCE(B78,""price"")"),81.75)</f>
        <v>81.75</v>
      </c>
      <c r="I78" s="17">
        <f>IFERROR(__xludf.DUMMYFUNCTION("AVERAGE(QUERY(SORT(GOOGLEFINANCE(B78,""price"",TODAY()-365,TODAY()),1,0),""select Col2 limit 10""))"),82.953)</f>
        <v>82.953</v>
      </c>
      <c r="J78" s="17">
        <f>IFERROR(__xludf.DUMMYFUNCTION("AVERAGE(QUERY(SORT(GOOGLEFINANCE(B78,""price"",TODAY()-365,TODAY()),1,0),""select Col2 limit 30""))"),86.97899999999998)</f>
        <v>86.979</v>
      </c>
      <c r="K78" s="18">
        <f>IFERROR(__xludf.DUMMYFUNCTION("AVERAGE(QUERY(SORT(GOOGLEFINANCE(B78,""price"",TODAY()-365,TODAY()),1,0),""select Col2 limit 60""))"),87.97849999999997)</f>
        <v>87.9785</v>
      </c>
      <c r="L78" s="17">
        <f>IFERROR(__xludf.DUMMYFUNCTION("AVERAGE(QUERY(SORT(GOOGLEFINANCE(B78,""price"",TODAY()-365,TODAY()),1,0),""select Col2 limit 90""))"),85.5303333333333)</f>
        <v>85.53033333</v>
      </c>
      <c r="M78" s="17">
        <f>IFERROR(__xludf.DUMMYFUNCTION("AVERAGE(QUERY(SORT(GOOGLEFINANCE(B78,""price"",TODAY()-365,TODAY()),1,0),""select Col2 limit 120""))"),80.72366666666663)</f>
        <v>80.72366667</v>
      </c>
      <c r="N78" s="19">
        <f>IFERROR(__xludf.DUMMYFUNCTION("AVERAGE(QUERY(SORT(GOOGLEFINANCE(B78,""price"",TODAY()-365,TODAY()),1,0),""select Col2 limit 200""))"),77.08624999999996)</f>
        <v>77.08625</v>
      </c>
      <c r="O78" s="20" t="str">
        <f t="shared" si="2"/>
        <v>Avoid</v>
      </c>
      <c r="P78" s="21" t="str">
        <f t="shared" si="3"/>
        <v/>
      </c>
      <c r="Q78" s="21" t="str">
        <f t="shared" si="4"/>
        <v/>
      </c>
      <c r="R78" s="22">
        <f>IFERROR(__xludf.DUMMYFUNCTION("GOOGLEFINANCE(B78, ""pe"")
"),9.73)</f>
        <v>9.73</v>
      </c>
    </row>
    <row r="79">
      <c r="A79" s="9" t="s">
        <v>92</v>
      </c>
      <c r="B79" s="11" t="str">
        <f t="shared" si="1"/>
        <v>NSE:SADBHAV</v>
      </c>
      <c r="C79" s="12">
        <f>IFERROR(__xludf.DUMMYFUNCTION("GOOGLEFINANCE(B79,""marketcap"")/10000000"),204.3513018)</f>
        <v>204.3513018</v>
      </c>
      <c r="D79" s="13">
        <f>IFERROR(__xludf.DUMMYFUNCTION("GOOGLEFINANCE(B79,""price"")"),11.9)</f>
        <v>11.9</v>
      </c>
      <c r="E79" s="14">
        <f>IFERROR(__xludf.DUMMYFUNCTION("GOOGLEFINANCE(B79,""Volume"")"),136967.0)</f>
        <v>136967</v>
      </c>
      <c r="F79" s="14">
        <f t="array" ref="F79">F78</f>
        <v>14</v>
      </c>
      <c r="G79" s="15" t="str">
        <f>IFERROR(__xludf.DUMMYFUNCTION("IF(E79&gt;AVERAGE(INDEX(GOOGLEFINANCE(B79,""volume"",WORKDAY(TODAY(),-$F$1),TODAY()),,2)),""Breakout"","""")"),"")</f>
        <v/>
      </c>
      <c r="H79" s="16">
        <f>IFERROR(__xludf.DUMMYFUNCTION("GOOGLEFINANCE(B79,""price"")"),11.9)</f>
        <v>11.9</v>
      </c>
      <c r="I79" s="17">
        <f>IFERROR(__xludf.DUMMYFUNCTION("AVERAGE(QUERY(SORT(GOOGLEFINANCE(B79,""price"",TODAY()-365,TODAY()),1,0),""select Col2 limit 10""))"),13.468)</f>
        <v>13.468</v>
      </c>
      <c r="J79" s="17">
        <f>IFERROR(__xludf.DUMMYFUNCTION("AVERAGE(QUERY(SORT(GOOGLEFINANCE(B79,""price"",TODAY()-365,TODAY()),1,0),""select Col2 limit 30""))"),12.863333333333337)</f>
        <v>12.86333333</v>
      </c>
      <c r="K79" s="18">
        <f>IFERROR(__xludf.DUMMYFUNCTION("AVERAGE(QUERY(SORT(GOOGLEFINANCE(B79,""price"",TODAY()-365,TODAY()),1,0),""select Col2 limit 60""))"),13.308499999999999)</f>
        <v>13.3085</v>
      </c>
      <c r="L79" s="17">
        <f>IFERROR(__xludf.DUMMYFUNCTION("AVERAGE(QUERY(SORT(GOOGLEFINANCE(B79,""price"",TODAY()-365,TODAY()),1,0),""select Col2 limit 90""))"),12.94066666666667)</f>
        <v>12.94066667</v>
      </c>
      <c r="M79" s="17">
        <f>IFERROR(__xludf.DUMMYFUNCTION("AVERAGE(QUERY(SORT(GOOGLEFINANCE(B79,""price"",TODAY()-365,TODAY()),1,0),""select Col2 limit 120""))"),13.52966666666667)</f>
        <v>13.52966667</v>
      </c>
      <c r="N79" s="19">
        <f>IFERROR(__xludf.DUMMYFUNCTION("AVERAGE(QUERY(SORT(GOOGLEFINANCE(B79,""price"",TODAY()-365,TODAY()),1,0),""select Col2 limit 200""))"),19.36845)</f>
        <v>19.36845</v>
      </c>
      <c r="O79" s="20" t="str">
        <f t="shared" si="2"/>
        <v>Avoid</v>
      </c>
      <c r="P79" s="21" t="str">
        <f t="shared" si="3"/>
        <v/>
      </c>
      <c r="Q79" s="21" t="str">
        <f t="shared" si="4"/>
        <v/>
      </c>
      <c r="R79" s="22" t="str">
        <f>IFERROR(__xludf.DUMMYFUNCTION("GOOGLEFINANCE(B79, ""pe"")
"),"#N/A")</f>
        <v>#N/A</v>
      </c>
    </row>
    <row r="80">
      <c r="A80" s="9" t="s">
        <v>93</v>
      </c>
      <c r="B80" s="11" t="str">
        <f t="shared" si="1"/>
        <v>NSE:KOTARISUG</v>
      </c>
      <c r="C80" s="12">
        <f>IFERROR(__xludf.DUMMYFUNCTION("GOOGLEFINANCE(B80,""marketcap"")/10000000"),294.8346409)</f>
        <v>294.8346409</v>
      </c>
      <c r="D80" s="13">
        <f>IFERROR(__xludf.DUMMYFUNCTION("GOOGLEFINANCE(B80,""price"")"),35.64)</f>
        <v>35.64</v>
      </c>
      <c r="E80" s="14">
        <f>IFERROR(__xludf.DUMMYFUNCTION("GOOGLEFINANCE(B80,""Volume"")"),14972.0)</f>
        <v>14972</v>
      </c>
      <c r="F80" s="14">
        <f t="array" ref="F80">F79</f>
        <v>14</v>
      </c>
      <c r="G80" s="15" t="str">
        <f>IFERROR(__xludf.DUMMYFUNCTION("IF(E80&gt;AVERAGE(INDEX(GOOGLEFINANCE(B80,""volume"",WORKDAY(TODAY(),-$F$1),TODAY()),,2)),""Breakout"","""")"),"")</f>
        <v/>
      </c>
      <c r="H80" s="16">
        <f>IFERROR(__xludf.DUMMYFUNCTION("GOOGLEFINANCE(B80,""price"")"),35.64)</f>
        <v>35.64</v>
      </c>
      <c r="I80" s="17">
        <f>IFERROR(__xludf.DUMMYFUNCTION("AVERAGE(QUERY(SORT(GOOGLEFINANCE(B80,""price"",TODAY()-365,TODAY()),1,0),""select Col2 limit 10""))"),36.927)</f>
        <v>36.927</v>
      </c>
      <c r="J80" s="17">
        <f>IFERROR(__xludf.DUMMYFUNCTION("AVERAGE(QUERY(SORT(GOOGLEFINANCE(B80,""price"",TODAY()-365,TODAY()),1,0),""select Col2 limit 30""))"),37.25766666666666)</f>
        <v>37.25766667</v>
      </c>
      <c r="K80" s="18">
        <f>IFERROR(__xludf.DUMMYFUNCTION("AVERAGE(QUERY(SORT(GOOGLEFINANCE(B80,""price"",TODAY()-365,TODAY()),1,0),""select Col2 limit 60""))"),37.76166666666667)</f>
        <v>37.76166667</v>
      </c>
      <c r="L80" s="17">
        <f>IFERROR(__xludf.DUMMYFUNCTION("AVERAGE(QUERY(SORT(GOOGLEFINANCE(B80,""price"",TODAY()-365,TODAY()),1,0),""select Col2 limit 90""))"),36.864777777777775)</f>
        <v>36.86477778</v>
      </c>
      <c r="M80" s="17">
        <f>IFERROR(__xludf.DUMMYFUNCTION("AVERAGE(QUERY(SORT(GOOGLEFINANCE(B80,""price"",TODAY()-365,TODAY()),1,0),""select Col2 limit 120""))"),36.895666666666656)</f>
        <v>36.89566667</v>
      </c>
      <c r="N80" s="19">
        <f>IFERROR(__xludf.DUMMYFUNCTION("AVERAGE(QUERY(SORT(GOOGLEFINANCE(B80,""price"",TODAY()-365,TODAY()),1,0),""select Col2 limit 200""))"),41.323850000000014)</f>
        <v>41.32385</v>
      </c>
      <c r="O80" s="20" t="str">
        <f t="shared" si="2"/>
        <v>Avoid</v>
      </c>
      <c r="P80" s="21" t="str">
        <f t="shared" si="3"/>
        <v/>
      </c>
      <c r="Q80" s="21" t="str">
        <f t="shared" si="4"/>
        <v/>
      </c>
      <c r="R80" s="22">
        <f>IFERROR(__xludf.DUMMYFUNCTION("GOOGLEFINANCE(B80, ""pe"")
"),28.23)</f>
        <v>28.23</v>
      </c>
    </row>
    <row r="81">
      <c r="A81" s="9" t="s">
        <v>94</v>
      </c>
      <c r="B81" s="11" t="str">
        <f t="shared" si="1"/>
        <v>NSE:MEGASOFT</v>
      </c>
      <c r="C81" s="12">
        <f>IFERROR(__xludf.DUMMYFUNCTION("GOOGLEFINANCE(B81,""marketcap"")/10000000"),790.07701)</f>
        <v>790.07701</v>
      </c>
      <c r="D81" s="13">
        <f>IFERROR(__xludf.DUMMYFUNCTION("GOOGLEFINANCE(B81,""price"")"),107.1)</f>
        <v>107.1</v>
      </c>
      <c r="E81" s="14">
        <f>IFERROR(__xludf.DUMMYFUNCTION("GOOGLEFINANCE(B81,""Volume"")"),51367.0)</f>
        <v>51367</v>
      </c>
      <c r="F81" s="14">
        <f t="array" ref="F81">F80</f>
        <v>14</v>
      </c>
      <c r="G81" s="15" t="str">
        <f>IFERROR(__xludf.DUMMYFUNCTION("IF(E81&gt;AVERAGE(INDEX(GOOGLEFINANCE(B81,""volume"",WORKDAY(TODAY(),-$F$1),TODAY()),,2)),""Breakout"","""")"),"")</f>
        <v/>
      </c>
      <c r="H81" s="16">
        <f>IFERROR(__xludf.DUMMYFUNCTION("GOOGLEFINANCE(B81,""price"")"),107.1)</f>
        <v>107.1</v>
      </c>
      <c r="I81" s="17">
        <f>IFERROR(__xludf.DUMMYFUNCTION("AVERAGE(QUERY(SORT(GOOGLEFINANCE(B81,""price"",TODAY()-365,TODAY()),1,0),""select Col2 limit 10""))"),105.31300000000002)</f>
        <v>105.313</v>
      </c>
      <c r="J81" s="17">
        <f>IFERROR(__xludf.DUMMYFUNCTION("AVERAGE(QUERY(SORT(GOOGLEFINANCE(B81,""price"",TODAY()-365,TODAY()),1,0),""select Col2 limit 30""))"),100.92400000000002)</f>
        <v>100.924</v>
      </c>
      <c r="K81" s="18">
        <f>IFERROR(__xludf.DUMMYFUNCTION("AVERAGE(QUERY(SORT(GOOGLEFINANCE(B81,""price"",TODAY()-365,TODAY()),1,0),""select Col2 limit 60""))"),90.71183333333332)</f>
        <v>90.71183333</v>
      </c>
      <c r="L81" s="17">
        <f>IFERROR(__xludf.DUMMYFUNCTION("AVERAGE(QUERY(SORT(GOOGLEFINANCE(B81,""price"",TODAY()-365,TODAY()),1,0),""select Col2 limit 90""))"),79.87322222222224)</f>
        <v>79.87322222</v>
      </c>
      <c r="M81" s="17">
        <f>IFERROR(__xludf.DUMMYFUNCTION("AVERAGE(QUERY(SORT(GOOGLEFINANCE(B81,""price"",TODAY()-365,TODAY()),1,0),""select Col2 limit 120""))"),76.48541666666665)</f>
        <v>76.48541667</v>
      </c>
      <c r="N81" s="19">
        <f>IFERROR(__xludf.DUMMYFUNCTION("AVERAGE(QUERY(SORT(GOOGLEFINANCE(B81,""price"",TODAY()-365,TODAY()),1,0),""select Col2 limit 200""))"),76.45544999999997)</f>
        <v>76.45545</v>
      </c>
      <c r="O81" s="20" t="str">
        <f t="shared" si="2"/>
        <v>Avoid</v>
      </c>
      <c r="P81" s="21" t="str">
        <f t="shared" si="3"/>
        <v/>
      </c>
      <c r="Q81" s="21" t="str">
        <f t="shared" si="4"/>
        <v/>
      </c>
      <c r="R81" s="22" t="str">
        <f>IFERROR(__xludf.DUMMYFUNCTION("GOOGLEFINANCE(B81, ""pe"")
"),"#N/A")</f>
        <v>#N/A</v>
      </c>
    </row>
    <row r="82">
      <c r="A82" s="9" t="s">
        <v>95</v>
      </c>
      <c r="B82" s="11" t="str">
        <f t="shared" si="1"/>
        <v>NSE:SCPL</v>
      </c>
      <c r="C82" s="12">
        <f>IFERROR(__xludf.DUMMYFUNCTION("GOOGLEFINANCE(B82,""marketcap"")/10000000"),313.2675064)</f>
        <v>313.2675064</v>
      </c>
      <c r="D82" s="13">
        <f>IFERROR(__xludf.DUMMYFUNCTION("GOOGLEFINANCE(B82,""price"")"),298.35)</f>
        <v>298.35</v>
      </c>
      <c r="E82" s="14">
        <f>IFERROR(__xludf.DUMMYFUNCTION("GOOGLEFINANCE(B82,""Volume"")"),2048.0)</f>
        <v>2048</v>
      </c>
      <c r="F82" s="14">
        <f t="array" ref="F82">F81</f>
        <v>14</v>
      </c>
      <c r="G82" s="15" t="str">
        <f>IFERROR(__xludf.DUMMYFUNCTION("IF(E82&gt;AVERAGE(INDEX(GOOGLEFINANCE(B82,""volume"",WORKDAY(TODAY(),-$F$1),TODAY()),,2)),""Breakout"","""")"),"")</f>
        <v/>
      </c>
      <c r="H82" s="16">
        <f>IFERROR(__xludf.DUMMYFUNCTION("GOOGLEFINANCE(B82,""price"")"),298.35)</f>
        <v>298.35</v>
      </c>
      <c r="I82" s="17">
        <f>IFERROR(__xludf.DUMMYFUNCTION("AVERAGE(QUERY(SORT(GOOGLEFINANCE(B82,""price"",TODAY()-365,TODAY()),1,0),""select Col2 limit 10""))"),301.095)</f>
        <v>301.095</v>
      </c>
      <c r="J82" s="17">
        <f>IFERROR(__xludf.DUMMYFUNCTION("AVERAGE(QUERY(SORT(GOOGLEFINANCE(B82,""price"",TODAY()-365,TODAY()),1,0),""select Col2 limit 30""))"),306.8950000000001)</f>
        <v>306.895</v>
      </c>
      <c r="K82" s="18">
        <f>IFERROR(__xludf.DUMMYFUNCTION("AVERAGE(QUERY(SORT(GOOGLEFINANCE(B82,""price"",TODAY()-365,TODAY()),1,0),""select Col2 limit 60""))"),315.9800000000001)</f>
        <v>315.98</v>
      </c>
      <c r="L82" s="17">
        <f>IFERROR(__xludf.DUMMYFUNCTION("AVERAGE(QUERY(SORT(GOOGLEFINANCE(B82,""price"",TODAY()-365,TODAY()),1,0),""select Col2 limit 90""))"),318.2638888888889)</f>
        <v>318.2638889</v>
      </c>
      <c r="M82" s="17">
        <f>IFERROR(__xludf.DUMMYFUNCTION("AVERAGE(QUERY(SORT(GOOGLEFINANCE(B82,""price"",TODAY()-365,TODAY()),1,0),""select Col2 limit 120""))"),314.58166666666676)</f>
        <v>314.5816667</v>
      </c>
      <c r="N82" s="19">
        <f>IFERROR(__xludf.DUMMYFUNCTION("AVERAGE(QUERY(SORT(GOOGLEFINANCE(B82,""price"",TODAY()-365,TODAY()),1,0),""select Col2 limit 200""))"),322.90425000000005)</f>
        <v>322.90425</v>
      </c>
      <c r="O82" s="20" t="str">
        <f t="shared" si="2"/>
        <v>Avoid</v>
      </c>
      <c r="P82" s="21" t="str">
        <f t="shared" si="3"/>
        <v>10 DMA</v>
      </c>
      <c r="Q82" s="21" t="str">
        <f t="shared" si="4"/>
        <v>10 DMA cross best</v>
      </c>
      <c r="R82" s="22">
        <f>IFERROR(__xludf.DUMMYFUNCTION("GOOGLEFINANCE(B82, ""pe"")
"),18.91)</f>
        <v>18.91</v>
      </c>
    </row>
    <row r="83">
      <c r="A83" s="9" t="s">
        <v>96</v>
      </c>
      <c r="B83" s="11" t="str">
        <f t="shared" si="1"/>
        <v>NSE:RAJTV</v>
      </c>
      <c r="C83" s="12">
        <f>IFERROR(__xludf.DUMMYFUNCTION("GOOGLEFINANCE(B83,""marketcap"")/10000000"),227.3803814)</f>
        <v>227.3803814</v>
      </c>
      <c r="D83" s="13">
        <f>IFERROR(__xludf.DUMMYFUNCTION("GOOGLEFINANCE(B83,""price"")"),43.8)</f>
        <v>43.8</v>
      </c>
      <c r="E83" s="14">
        <f>IFERROR(__xludf.DUMMYFUNCTION("GOOGLEFINANCE(B83,""Volume"")"),492.0)</f>
        <v>492</v>
      </c>
      <c r="F83" s="14">
        <f t="array" ref="F83">F82</f>
        <v>14</v>
      </c>
      <c r="G83" s="15" t="str">
        <f>IFERROR(__xludf.DUMMYFUNCTION("IF(E83&gt;AVERAGE(INDEX(GOOGLEFINANCE(B83,""volume"",WORKDAY(TODAY(),-$F$1),TODAY()),,2)),""Breakout"","""")"),"")</f>
        <v/>
      </c>
      <c r="H83" s="16">
        <f>IFERROR(__xludf.DUMMYFUNCTION("GOOGLEFINANCE(B83,""price"")"),43.8)</f>
        <v>43.8</v>
      </c>
      <c r="I83" s="17">
        <f>IFERROR(__xludf.DUMMYFUNCTION("AVERAGE(QUERY(SORT(GOOGLEFINANCE(B83,""price"",TODAY()-365,TODAY()),1,0),""select Col2 limit 10""))"),44.741)</f>
        <v>44.741</v>
      </c>
      <c r="J83" s="17">
        <f>IFERROR(__xludf.DUMMYFUNCTION("AVERAGE(QUERY(SORT(GOOGLEFINANCE(B83,""price"",TODAY()-365,TODAY()),1,0),""select Col2 limit 30""))"),44.93366666666666)</f>
        <v>44.93366667</v>
      </c>
      <c r="K83" s="18">
        <f>IFERROR(__xludf.DUMMYFUNCTION("AVERAGE(QUERY(SORT(GOOGLEFINANCE(B83,""price"",TODAY()-365,TODAY()),1,0),""select Col2 limit 60""))"),45.785500000000006)</f>
        <v>45.7855</v>
      </c>
      <c r="L83" s="17">
        <f>IFERROR(__xludf.DUMMYFUNCTION("AVERAGE(QUERY(SORT(GOOGLEFINANCE(B83,""price"",TODAY()-365,TODAY()),1,0),""select Col2 limit 90""))"),53.925)</f>
        <v>53.925</v>
      </c>
      <c r="M83" s="17">
        <f>IFERROR(__xludf.DUMMYFUNCTION("AVERAGE(QUERY(SORT(GOOGLEFINANCE(B83,""price"",TODAY()-365,TODAY()),1,0),""select Col2 limit 120""))"),61.600666666666676)</f>
        <v>61.60066667</v>
      </c>
      <c r="N83" s="19">
        <f>IFERROR(__xludf.DUMMYFUNCTION("AVERAGE(QUERY(SORT(GOOGLEFINANCE(B83,""price"",TODAY()-365,TODAY()),1,0),""select Col2 limit 200""))"),62.941400000000016)</f>
        <v>62.9414</v>
      </c>
      <c r="O83" s="20" t="str">
        <f t="shared" si="2"/>
        <v>Avoid</v>
      </c>
      <c r="P83" s="21" t="str">
        <f t="shared" si="3"/>
        <v/>
      </c>
      <c r="Q83" s="21" t="str">
        <f t="shared" si="4"/>
        <v/>
      </c>
      <c r="R83" s="22" t="str">
        <f>IFERROR(__xludf.DUMMYFUNCTION("GOOGLEFINANCE(B83, ""pe"")
"),"#N/A")</f>
        <v>#N/A</v>
      </c>
    </row>
    <row r="84">
      <c r="A84" s="9" t="s">
        <v>97</v>
      </c>
      <c r="B84" s="11" t="str">
        <f t="shared" si="1"/>
        <v>NSE:ABAN</v>
      </c>
      <c r="C84" s="12">
        <f>IFERROR(__xludf.DUMMYFUNCTION("GOOGLEFINANCE(B84,""marketcap"")/10000000"),283.3635755)</f>
        <v>283.3635755</v>
      </c>
      <c r="D84" s="13">
        <f>IFERROR(__xludf.DUMMYFUNCTION("GOOGLEFINANCE(B84,""price"")"),48.55)</f>
        <v>48.55</v>
      </c>
      <c r="E84" s="14">
        <f>IFERROR(__xludf.DUMMYFUNCTION("GOOGLEFINANCE(B84,""Volume"")"),29366.0)</f>
        <v>29366</v>
      </c>
      <c r="F84" s="14">
        <f t="array" ref="F84">F83</f>
        <v>14</v>
      </c>
      <c r="G84" s="15" t="str">
        <f>IFERROR(__xludf.DUMMYFUNCTION("IF(E84&gt;AVERAGE(INDEX(GOOGLEFINANCE(B84,""volume"",WORKDAY(TODAY(),-$F$1),TODAY()),,2)),""Breakout"","""")"),"")</f>
        <v/>
      </c>
      <c r="H84" s="16">
        <f>IFERROR(__xludf.DUMMYFUNCTION("GOOGLEFINANCE(B84,""price"")"),48.55)</f>
        <v>48.55</v>
      </c>
      <c r="I84" s="17">
        <f>IFERROR(__xludf.DUMMYFUNCTION("AVERAGE(QUERY(SORT(GOOGLEFINANCE(B84,""price"",TODAY()-365,TODAY()),1,0),""select Col2 limit 10""))"),50.496)</f>
        <v>50.496</v>
      </c>
      <c r="J84" s="17">
        <f>IFERROR(__xludf.DUMMYFUNCTION("AVERAGE(QUERY(SORT(GOOGLEFINANCE(B84,""price"",TODAY()-365,TODAY()),1,0),""select Col2 limit 30""))"),53.96633333333333)</f>
        <v>53.96633333</v>
      </c>
      <c r="K84" s="18">
        <f>IFERROR(__xludf.DUMMYFUNCTION("AVERAGE(QUERY(SORT(GOOGLEFINANCE(B84,""price"",TODAY()-365,TODAY()),1,0),""select Col2 limit 60""))"),49.06666666666665)</f>
        <v>49.06666667</v>
      </c>
      <c r="L84" s="17">
        <f>IFERROR(__xludf.DUMMYFUNCTION("AVERAGE(QUERY(SORT(GOOGLEFINANCE(B84,""price"",TODAY()-365,TODAY()),1,0),""select Col2 limit 90""))"),45.621333333333325)</f>
        <v>45.62133333</v>
      </c>
      <c r="M84" s="17">
        <f>IFERROR(__xludf.DUMMYFUNCTION("AVERAGE(QUERY(SORT(GOOGLEFINANCE(B84,""price"",TODAY()-365,TODAY()),1,0),""select Col2 limit 120""))"),44.43999999999999)</f>
        <v>44.44</v>
      </c>
      <c r="N84" s="19">
        <f>IFERROR(__xludf.DUMMYFUNCTION("AVERAGE(QUERY(SORT(GOOGLEFINANCE(B84,""price"",TODAY()-365,TODAY()),1,0),""select Col2 limit 200""))"),51.995250000000006)</f>
        <v>51.99525</v>
      </c>
      <c r="O84" s="20" t="str">
        <f t="shared" si="2"/>
        <v>Avoid</v>
      </c>
      <c r="P84" s="21" t="str">
        <f t="shared" si="3"/>
        <v/>
      </c>
      <c r="Q84" s="21" t="str">
        <f t="shared" si="4"/>
        <v/>
      </c>
      <c r="R84" s="22" t="str">
        <f>IFERROR(__xludf.DUMMYFUNCTION("GOOGLEFINANCE(B84, ""pe"")
"),"#N/A")</f>
        <v>#N/A</v>
      </c>
    </row>
    <row r="85">
      <c r="A85" s="9" t="s">
        <v>98</v>
      </c>
      <c r="B85" s="11" t="str">
        <f t="shared" si="1"/>
        <v>NSE:UCAL</v>
      </c>
      <c r="C85" s="12">
        <f>IFERROR(__xludf.DUMMYFUNCTION("GOOGLEFINANCE(B85,""marketcap"")/10000000"),326.0874553)</f>
        <v>326.0874553</v>
      </c>
      <c r="D85" s="13">
        <f>IFERROR(__xludf.DUMMYFUNCTION("GOOGLEFINANCE(B85,""price"")"),147.46)</f>
        <v>147.46</v>
      </c>
      <c r="E85" s="14">
        <f>IFERROR(__xludf.DUMMYFUNCTION("GOOGLEFINANCE(B85,""Volume"")"),3624.0)</f>
        <v>3624</v>
      </c>
      <c r="F85" s="14">
        <f t="array" ref="F85">F84</f>
        <v>14</v>
      </c>
      <c r="G85" s="15" t="str">
        <f>IFERROR(__xludf.DUMMYFUNCTION("IF(E85&gt;AVERAGE(INDEX(GOOGLEFINANCE(B85,""volume"",WORKDAY(TODAY(),-$F$1),TODAY()),,2)),""Breakout"","""")"),"")</f>
        <v/>
      </c>
      <c r="H85" s="16">
        <f>IFERROR(__xludf.DUMMYFUNCTION("GOOGLEFINANCE(B85,""price"")"),147.46)</f>
        <v>147.46</v>
      </c>
      <c r="I85" s="17">
        <f>IFERROR(__xludf.DUMMYFUNCTION("AVERAGE(QUERY(SORT(GOOGLEFINANCE(B85,""price"",TODAY()-365,TODAY()),1,0),""select Col2 limit 10""))"),150.926)</f>
        <v>150.926</v>
      </c>
      <c r="J85" s="17">
        <f>IFERROR(__xludf.DUMMYFUNCTION("AVERAGE(QUERY(SORT(GOOGLEFINANCE(B85,""price"",TODAY()-365,TODAY()),1,0),""select Col2 limit 30""))"),153.81566666666671)</f>
        <v>153.8156667</v>
      </c>
      <c r="K85" s="18">
        <f>IFERROR(__xludf.DUMMYFUNCTION("AVERAGE(QUERY(SORT(GOOGLEFINANCE(B85,""price"",TODAY()-365,TODAY()),1,0),""select Col2 limit 60""))"),154.23583333333335)</f>
        <v>154.2358333</v>
      </c>
      <c r="L85" s="17">
        <f>IFERROR(__xludf.DUMMYFUNCTION("AVERAGE(QUERY(SORT(GOOGLEFINANCE(B85,""price"",TODAY()-365,TODAY()),1,0),""select Col2 limit 90""))"),149.0306666666667)</f>
        <v>149.0306667</v>
      </c>
      <c r="M85" s="17">
        <f>IFERROR(__xludf.DUMMYFUNCTION("AVERAGE(QUERY(SORT(GOOGLEFINANCE(B85,""price"",TODAY()-365,TODAY()),1,0),""select Col2 limit 120""))"),148.4749166666667)</f>
        <v>148.4749167</v>
      </c>
      <c r="N85" s="19">
        <f>IFERROR(__xludf.DUMMYFUNCTION("AVERAGE(QUERY(SORT(GOOGLEFINANCE(B85,""price"",TODAY()-365,TODAY()),1,0),""select Col2 limit 200""))"),161.59855000000005)</f>
        <v>161.59855</v>
      </c>
      <c r="O85" s="20" t="str">
        <f t="shared" si="2"/>
        <v>Avoid</v>
      </c>
      <c r="P85" s="21" t="str">
        <f t="shared" si="3"/>
        <v>120 DMA</v>
      </c>
      <c r="Q85" s="21" t="str">
        <f t="shared" si="4"/>
        <v/>
      </c>
      <c r="R85" s="22" t="str">
        <f>IFERROR(__xludf.DUMMYFUNCTION("GOOGLEFINANCE(B85, ""pe"")
"),"#N/A")</f>
        <v>#N/A</v>
      </c>
    </row>
    <row r="86">
      <c r="A86" s="9" t="s">
        <v>99</v>
      </c>
      <c r="B86" s="11" t="str">
        <f t="shared" si="1"/>
        <v>NSE:SINTERCOM</v>
      </c>
      <c r="C86" s="12">
        <f>IFERROR(__xludf.DUMMYFUNCTION("GOOGLEFINANCE(B86,""marketcap"")/10000000"),354.007782)</f>
        <v>354.007782</v>
      </c>
      <c r="D86" s="13">
        <f>IFERROR(__xludf.DUMMYFUNCTION("GOOGLEFINANCE(B86,""price"")"),128.6)</f>
        <v>128.6</v>
      </c>
      <c r="E86" s="14">
        <f>IFERROR(__xludf.DUMMYFUNCTION("GOOGLEFINANCE(B86,""Volume"")"),8037.0)</f>
        <v>8037</v>
      </c>
      <c r="F86" s="14">
        <f t="array" ref="F86">F85</f>
        <v>14</v>
      </c>
      <c r="G86" s="15" t="str">
        <f>IFERROR(__xludf.DUMMYFUNCTION("IF(E86&gt;AVERAGE(INDEX(GOOGLEFINANCE(B86,""volume"",WORKDAY(TODAY(),-$F$1),TODAY()),,2)),""Breakout"","""")"),"")</f>
        <v/>
      </c>
      <c r="H86" s="16">
        <f>IFERROR(__xludf.DUMMYFUNCTION("GOOGLEFINANCE(B86,""price"")"),128.6)</f>
        <v>128.6</v>
      </c>
      <c r="I86" s="17">
        <f>IFERROR(__xludf.DUMMYFUNCTION("AVERAGE(QUERY(SORT(GOOGLEFINANCE(B86,""price"",TODAY()-365,TODAY()),1,0),""select Col2 limit 10""))"),132.35899999999998)</f>
        <v>132.359</v>
      </c>
      <c r="J86" s="17">
        <f>IFERROR(__xludf.DUMMYFUNCTION("AVERAGE(QUERY(SORT(GOOGLEFINANCE(B86,""price"",TODAY()-365,TODAY()),1,0),""select Col2 limit 30""))"),129.4213333333333)</f>
        <v>129.4213333</v>
      </c>
      <c r="K86" s="18">
        <f>IFERROR(__xludf.DUMMYFUNCTION("AVERAGE(QUERY(SORT(GOOGLEFINANCE(B86,""price"",TODAY()-365,TODAY()),1,0),""select Col2 limit 60""))"),129.447)</f>
        <v>129.447</v>
      </c>
      <c r="L86" s="17">
        <f>IFERROR(__xludf.DUMMYFUNCTION("AVERAGE(QUERY(SORT(GOOGLEFINANCE(B86,""price"",TODAY()-365,TODAY()),1,0),""select Col2 limit 90""))"),128.38966666666667)</f>
        <v>128.3896667</v>
      </c>
      <c r="M86" s="17">
        <f>IFERROR(__xludf.DUMMYFUNCTION("AVERAGE(QUERY(SORT(GOOGLEFINANCE(B86,""price"",TODAY()-365,TODAY()),1,0),""select Col2 limit 120""))"),128.97683333333333)</f>
        <v>128.9768333</v>
      </c>
      <c r="N86" s="19">
        <f>IFERROR(__xludf.DUMMYFUNCTION("AVERAGE(QUERY(SORT(GOOGLEFINANCE(B86,""price"",TODAY()-365,TODAY()),1,0),""select Col2 limit 200""))"),139.47505000000004)</f>
        <v>139.47505</v>
      </c>
      <c r="O86" s="20" t="str">
        <f t="shared" si="2"/>
        <v>Avoid</v>
      </c>
      <c r="P86" s="21" t="str">
        <f t="shared" si="3"/>
        <v>30 DMA</v>
      </c>
      <c r="Q86" s="21" t="str">
        <f t="shared" si="4"/>
        <v/>
      </c>
      <c r="R86" s="22">
        <f>IFERROR(__xludf.DUMMYFUNCTION("GOOGLEFINANCE(B86, ""pe"")
"),535.83)</f>
        <v>535.83</v>
      </c>
    </row>
    <row r="87">
      <c r="A87" s="9" t="s">
        <v>100</v>
      </c>
      <c r="B87" s="11" t="str">
        <f t="shared" si="1"/>
        <v>NSE:INDOTHAI</v>
      </c>
      <c r="C87" s="12">
        <f>IFERROR(__xludf.DUMMYFUNCTION("GOOGLEFINANCE(B87,""marketcap"")/10000000"),2147.6667833)</f>
        <v>2147.666783</v>
      </c>
      <c r="D87" s="13">
        <f>IFERROR(__xludf.DUMMYFUNCTION("GOOGLEFINANCE(B87,""price"")"),180.2)</f>
        <v>180.2</v>
      </c>
      <c r="E87" s="14">
        <f>IFERROR(__xludf.DUMMYFUNCTION("GOOGLEFINANCE(B87,""Volume"")"),23655.0)</f>
        <v>23655</v>
      </c>
      <c r="F87" s="14">
        <f t="array" ref="F87">F86</f>
        <v>14</v>
      </c>
      <c r="G87" s="15" t="str">
        <f>IFERROR(__xludf.DUMMYFUNCTION("IF(E87&gt;AVERAGE(INDEX(GOOGLEFINANCE(B87,""volume"",WORKDAY(TODAY(),-$F$1),TODAY()),,2)),""Breakout"","""")"),"")</f>
        <v/>
      </c>
      <c r="H87" s="16">
        <f>IFERROR(__xludf.DUMMYFUNCTION("GOOGLEFINANCE(B87,""price"")"),180.2)</f>
        <v>180.2</v>
      </c>
      <c r="I87" s="17">
        <f>IFERROR(__xludf.DUMMYFUNCTION("AVERAGE(QUERY(SORT(GOOGLEFINANCE(B87,""price"",TODAY()-365,TODAY()),1,0),""select Col2 limit 10""))"),1258.09)</f>
        <v>1258.09</v>
      </c>
      <c r="J87" s="17">
        <f>IFERROR(__xludf.DUMMYFUNCTION("AVERAGE(QUERY(SORT(GOOGLEFINANCE(B87,""price"",TODAY()-365,TODAY()),1,0),""select Col2 limit 30""))"),1620.1833333333334)</f>
        <v>1620.183333</v>
      </c>
      <c r="K87" s="18">
        <f>IFERROR(__xludf.DUMMYFUNCTION("AVERAGE(QUERY(SORT(GOOGLEFINANCE(B87,""price"",TODAY()-365,TODAY()),1,0),""select Col2 limit 60""))"),1740.635)</f>
        <v>1740.635</v>
      </c>
      <c r="L87" s="17">
        <f>IFERROR(__xludf.DUMMYFUNCTION("AVERAGE(QUERY(SORT(GOOGLEFINANCE(B87,""price"",TODAY()-365,TODAY()),1,0),""select Col2 limit 90""))"),1814.5533333333328)</f>
        <v>1814.553333</v>
      </c>
      <c r="M87" s="17">
        <f>IFERROR(__xludf.DUMMYFUNCTION("AVERAGE(QUERY(SORT(GOOGLEFINANCE(B87,""price"",TODAY()-365,TODAY()),1,0),""select Col2 limit 120""))"),1840.9891666666658)</f>
        <v>1840.989167</v>
      </c>
      <c r="N87" s="19">
        <f>IFERROR(__xludf.DUMMYFUNCTION("AVERAGE(QUERY(SORT(GOOGLEFINANCE(B87,""price"",TODAY()-365,TODAY()),1,0),""select Col2 limit 200""))"),1555.2540000000006)</f>
        <v>1555.254</v>
      </c>
      <c r="O87" s="20" t="str">
        <f t="shared" si="2"/>
        <v>Avoid</v>
      </c>
      <c r="P87" s="21" t="str">
        <f t="shared" si="3"/>
        <v/>
      </c>
      <c r="Q87" s="21" t="str">
        <f t="shared" si="4"/>
        <v/>
      </c>
      <c r="R87" s="22">
        <f>IFERROR(__xludf.DUMMYFUNCTION("GOOGLEFINANCE(B87, ""pe"")
"),208.88)</f>
        <v>208.88</v>
      </c>
    </row>
    <row r="88">
      <c r="A88" s="9" t="s">
        <v>101</v>
      </c>
      <c r="B88" s="11" t="str">
        <f t="shared" si="1"/>
        <v>NSE:UMAEXPORTS</v>
      </c>
      <c r="C88" s="12">
        <f>IFERROR(__xludf.DUMMYFUNCTION("GOOGLEFINANCE(B88,""marketcap"")/10000000"),168.3390968)</f>
        <v>168.3390968</v>
      </c>
      <c r="D88" s="13">
        <f>IFERROR(__xludf.DUMMYFUNCTION("GOOGLEFINANCE(B88,""price"")"),49.79)</f>
        <v>49.79</v>
      </c>
      <c r="E88" s="14">
        <f>IFERROR(__xludf.DUMMYFUNCTION("GOOGLEFINANCE(B88,""Volume"")"),6409.0)</f>
        <v>6409</v>
      </c>
      <c r="F88" s="14">
        <f t="array" ref="F88">F87</f>
        <v>14</v>
      </c>
      <c r="G88" s="15" t="str">
        <f>IFERROR(__xludf.DUMMYFUNCTION("IF(E88&gt;AVERAGE(INDEX(GOOGLEFINANCE(B88,""volume"",WORKDAY(TODAY(),-$F$1),TODAY()),,2)),""Breakout"","""")"),"")</f>
        <v/>
      </c>
      <c r="H88" s="16">
        <f>IFERROR(__xludf.DUMMYFUNCTION("GOOGLEFINANCE(B88,""price"")"),49.79)</f>
        <v>49.79</v>
      </c>
      <c r="I88" s="17">
        <f>IFERROR(__xludf.DUMMYFUNCTION("AVERAGE(QUERY(SORT(GOOGLEFINANCE(B88,""price"",TODAY()-365,TODAY()),1,0),""select Col2 limit 10""))"),50.859)</f>
        <v>50.859</v>
      </c>
      <c r="J88" s="17">
        <f>IFERROR(__xludf.DUMMYFUNCTION("AVERAGE(QUERY(SORT(GOOGLEFINANCE(B88,""price"",TODAY()-365,TODAY()),1,0),""select Col2 limit 30""))"),54.12599999999998)</f>
        <v>54.126</v>
      </c>
      <c r="K88" s="18">
        <f>IFERROR(__xludf.DUMMYFUNCTION("AVERAGE(QUERY(SORT(GOOGLEFINANCE(B88,""price"",TODAY()-365,TODAY()),1,0),""select Col2 limit 60""))"),61.79699999999999)</f>
        <v>61.797</v>
      </c>
      <c r="L88" s="17">
        <f>IFERROR(__xludf.DUMMYFUNCTION("AVERAGE(QUERY(SORT(GOOGLEFINANCE(B88,""price"",TODAY()-365,TODAY()),1,0),""select Col2 limit 90""))"),68.94755555555554)</f>
        <v>68.94755556</v>
      </c>
      <c r="M88" s="17">
        <f>IFERROR(__xludf.DUMMYFUNCTION("AVERAGE(QUERY(SORT(GOOGLEFINANCE(B88,""price"",TODAY()-365,TODAY()),1,0),""select Col2 limit 120""))"),75.97516666666664)</f>
        <v>75.97516667</v>
      </c>
      <c r="N88" s="19">
        <f>IFERROR(__xludf.DUMMYFUNCTION("AVERAGE(QUERY(SORT(GOOGLEFINANCE(B88,""price"",TODAY()-365,TODAY()),1,0),""select Col2 limit 200""))"),88.3299)</f>
        <v>88.3299</v>
      </c>
      <c r="O88" s="20" t="str">
        <f t="shared" si="2"/>
        <v>Avoid</v>
      </c>
      <c r="P88" s="21" t="str">
        <f t="shared" si="3"/>
        <v/>
      </c>
      <c r="Q88" s="21" t="str">
        <f t="shared" si="4"/>
        <v/>
      </c>
      <c r="R88" s="22">
        <f>IFERROR(__xludf.DUMMYFUNCTION("GOOGLEFINANCE(B88, ""pe"")
"),47.88)</f>
        <v>47.88</v>
      </c>
    </row>
    <row r="89">
      <c r="A89" s="9" t="s">
        <v>102</v>
      </c>
      <c r="B89" s="11" t="str">
        <f t="shared" si="1"/>
        <v>NSE:SUNDRMBRAK</v>
      </c>
      <c r="C89" s="12">
        <f>IFERROR(__xludf.DUMMYFUNCTION("GOOGLEFINANCE(B89,""marketcap"")/10000000"),344.9519104)</f>
        <v>344.9519104</v>
      </c>
      <c r="D89" s="13">
        <f>IFERROR(__xludf.DUMMYFUNCTION("GOOGLEFINANCE(B89,""price"")"),879.75)</f>
        <v>879.75</v>
      </c>
      <c r="E89" s="14">
        <f>IFERROR(__xludf.DUMMYFUNCTION("GOOGLEFINANCE(B89,""Volume"")"),1735.0)</f>
        <v>1735</v>
      </c>
      <c r="F89" s="14">
        <f t="array" ref="F89">F88</f>
        <v>14</v>
      </c>
      <c r="G89" s="15" t="str">
        <f>IFERROR(__xludf.DUMMYFUNCTION("IF(E89&gt;AVERAGE(INDEX(GOOGLEFINANCE(B89,""volume"",WORKDAY(TODAY(),-$F$1),TODAY()),,2)),""Breakout"","""")"),"")</f>
        <v/>
      </c>
      <c r="H89" s="16">
        <f>IFERROR(__xludf.DUMMYFUNCTION("GOOGLEFINANCE(B89,""price"")"),879.75)</f>
        <v>879.75</v>
      </c>
      <c r="I89" s="17">
        <f>IFERROR(__xludf.DUMMYFUNCTION("AVERAGE(QUERY(SORT(GOOGLEFINANCE(B89,""price"",TODAY()-365,TODAY()),1,0),""select Col2 limit 10""))"),856.475)</f>
        <v>856.475</v>
      </c>
      <c r="J89" s="17">
        <f>IFERROR(__xludf.DUMMYFUNCTION("AVERAGE(QUERY(SORT(GOOGLEFINANCE(B89,""price"",TODAY()-365,TODAY()),1,0),""select Col2 limit 30""))"),817.0100000000003)</f>
        <v>817.01</v>
      </c>
      <c r="K89" s="18">
        <f>IFERROR(__xludf.DUMMYFUNCTION("AVERAGE(QUERY(SORT(GOOGLEFINANCE(B89,""price"",TODAY()-365,TODAY()),1,0),""select Col2 limit 60""))"),805.7216666666667)</f>
        <v>805.7216667</v>
      </c>
      <c r="L89" s="17">
        <f>IFERROR(__xludf.DUMMYFUNCTION("AVERAGE(QUERY(SORT(GOOGLEFINANCE(B89,""price"",TODAY()-365,TODAY()),1,0),""select Col2 limit 90""))"),793.7355555555557)</f>
        <v>793.7355556</v>
      </c>
      <c r="M89" s="17">
        <f>IFERROR(__xludf.DUMMYFUNCTION("AVERAGE(QUERY(SORT(GOOGLEFINANCE(B89,""price"",TODAY()-365,TODAY()),1,0),""select Col2 limit 120""))"),823.269166666667)</f>
        <v>823.2691667</v>
      </c>
      <c r="N89" s="19">
        <f>IFERROR(__xludf.DUMMYFUNCTION("AVERAGE(QUERY(SORT(GOOGLEFINANCE(B89,""price"",TODAY()-365,TODAY()),1,0),""select Col2 limit 200""))"),887.23)</f>
        <v>887.23</v>
      </c>
      <c r="O89" s="20" t="str">
        <f t="shared" si="2"/>
        <v>Buy Above 200 DMA</v>
      </c>
      <c r="P89" s="21" t="str">
        <f t="shared" si="3"/>
        <v>200 DMA</v>
      </c>
      <c r="Q89" s="21" t="str">
        <f t="shared" si="4"/>
        <v>200 DMA cross best</v>
      </c>
      <c r="R89" s="22">
        <f>IFERROR(__xludf.DUMMYFUNCTION("GOOGLEFINANCE(B89, ""pe"")
"),66.92)</f>
        <v>66.92</v>
      </c>
    </row>
    <row r="90">
      <c r="A90" s="9" t="s">
        <v>103</v>
      </c>
      <c r="B90" s="11" t="str">
        <f t="shared" si="1"/>
        <v>NSE:RHL</v>
      </c>
      <c r="C90" s="12">
        <f>IFERROR(__xludf.DUMMYFUNCTION("GOOGLEFINANCE(B90,""marketcap"")/10000000"),490.8246312)</f>
        <v>490.8246312</v>
      </c>
      <c r="D90" s="13">
        <f>IFERROR(__xludf.DUMMYFUNCTION("GOOGLEFINANCE(B90,""price"")"),283.85)</f>
        <v>283.85</v>
      </c>
      <c r="E90" s="14">
        <f>IFERROR(__xludf.DUMMYFUNCTION("GOOGLEFINANCE(B90,""Volume"")"),5587.0)</f>
        <v>5587</v>
      </c>
      <c r="F90" s="14">
        <f t="array" ref="F90">F89</f>
        <v>14</v>
      </c>
      <c r="G90" s="15" t="str">
        <f>IFERROR(__xludf.DUMMYFUNCTION("IF(E90&gt;AVERAGE(INDEX(GOOGLEFINANCE(B90,""volume"",WORKDAY(TODAY(),-$F$1),TODAY()),,2)),""Breakout"","""")"),"")</f>
        <v/>
      </c>
      <c r="H90" s="16">
        <f>IFERROR(__xludf.DUMMYFUNCTION("GOOGLEFINANCE(B90,""price"")"),283.85)</f>
        <v>283.85</v>
      </c>
      <c r="I90" s="17">
        <f>IFERROR(__xludf.DUMMYFUNCTION("AVERAGE(QUERY(SORT(GOOGLEFINANCE(B90,""price"",TODAY()-365,TODAY()),1,0),""select Col2 limit 10""))"),277.3)</f>
        <v>277.3</v>
      </c>
      <c r="J90" s="17">
        <f>IFERROR(__xludf.DUMMYFUNCTION("AVERAGE(QUERY(SORT(GOOGLEFINANCE(B90,""price"",TODAY()-365,TODAY()),1,0),""select Col2 limit 30""))"),269.2826666666667)</f>
        <v>269.2826667</v>
      </c>
      <c r="K90" s="18">
        <f>IFERROR(__xludf.DUMMYFUNCTION("AVERAGE(QUERY(SORT(GOOGLEFINANCE(B90,""price"",TODAY()-365,TODAY()),1,0),""select Col2 limit 60""))"),253.07549999999995)</f>
        <v>253.0755</v>
      </c>
      <c r="L90" s="17">
        <f>IFERROR(__xludf.DUMMYFUNCTION("AVERAGE(QUERY(SORT(GOOGLEFINANCE(B90,""price"",TODAY()-365,TODAY()),1,0),""select Col2 limit 90""))"),242.69822222222223)</f>
        <v>242.6982222</v>
      </c>
      <c r="M90" s="17">
        <f>IFERROR(__xludf.DUMMYFUNCTION("AVERAGE(QUERY(SORT(GOOGLEFINANCE(B90,""price"",TODAY()-365,TODAY()),1,0),""select Col2 limit 120""))"),235.42241666666666)</f>
        <v>235.4224167</v>
      </c>
      <c r="N90" s="19">
        <f>IFERROR(__xludf.DUMMYFUNCTION("AVERAGE(QUERY(SORT(GOOGLEFINANCE(B90,""price"",TODAY()-365,TODAY()),1,0),""select Col2 limit 200""))"),231.16600000000014)</f>
        <v>231.166</v>
      </c>
      <c r="O90" s="20" t="str">
        <f t="shared" si="2"/>
        <v>Avoid</v>
      </c>
      <c r="P90" s="21" t="str">
        <f t="shared" si="3"/>
        <v/>
      </c>
      <c r="Q90" s="21" t="str">
        <f t="shared" si="4"/>
        <v/>
      </c>
      <c r="R90" s="22">
        <f>IFERROR(__xludf.DUMMYFUNCTION("GOOGLEFINANCE(B90, ""pe"")
"),29.82)</f>
        <v>29.82</v>
      </c>
    </row>
    <row r="91">
      <c r="A91" s="9" t="s">
        <v>104</v>
      </c>
      <c r="B91" s="11" t="str">
        <f t="shared" si="1"/>
        <v>NSE:THOMASCOTT</v>
      </c>
      <c r="C91" s="12">
        <f>IFERROR(__xludf.DUMMYFUNCTION("GOOGLEFINANCE(B91,""marketcap"")/10000000"),487.7089895)</f>
        <v>487.7089895</v>
      </c>
      <c r="D91" s="13">
        <f>IFERROR(__xludf.DUMMYFUNCTION("GOOGLEFINANCE(B91,""price"")"),336.35)</f>
        <v>336.35</v>
      </c>
      <c r="E91" s="14">
        <f>IFERROR(__xludf.DUMMYFUNCTION("GOOGLEFINANCE(B91,""Volume"")"),16393.0)</f>
        <v>16393</v>
      </c>
      <c r="F91" s="14">
        <f t="array" ref="F91">F90</f>
        <v>14</v>
      </c>
      <c r="G91" s="15" t="str">
        <f>IFERROR(__xludf.DUMMYFUNCTION("IF(E91&gt;AVERAGE(INDEX(GOOGLEFINANCE(B91,""volume"",WORKDAY(TODAY(),-$F$1),TODAY()),,2)),""Breakout"","""")"),"")</f>
        <v/>
      </c>
      <c r="H91" s="16">
        <f>IFERROR(__xludf.DUMMYFUNCTION("GOOGLEFINANCE(B91,""price"")"),336.35)</f>
        <v>336.35</v>
      </c>
      <c r="I91" s="17">
        <f>IFERROR(__xludf.DUMMYFUNCTION("AVERAGE(QUERY(SORT(GOOGLEFINANCE(B91,""price"",TODAY()-365,TODAY()),1,0),""select Col2 limit 10""))"),355.48)</f>
        <v>355.48</v>
      </c>
      <c r="J91" s="17">
        <f>IFERROR(__xludf.DUMMYFUNCTION("AVERAGE(QUERY(SORT(GOOGLEFINANCE(B91,""price"",TODAY()-365,TODAY()),1,0),""select Col2 limit 30""))"),351.5399999999999)</f>
        <v>351.54</v>
      </c>
      <c r="K91" s="18">
        <f>IFERROR(__xludf.DUMMYFUNCTION("AVERAGE(QUERY(SORT(GOOGLEFINANCE(B91,""price"",TODAY()-365,TODAY()),1,0),""select Col2 limit 60""))"),341.6866666666666)</f>
        <v>341.6866667</v>
      </c>
      <c r="L91" s="17">
        <f>IFERROR(__xludf.DUMMYFUNCTION("AVERAGE(QUERY(SORT(GOOGLEFINANCE(B91,""price"",TODAY()-365,TODAY()),1,0),""select Col2 limit 90""))"),332.4566666666667)</f>
        <v>332.4566667</v>
      </c>
      <c r="M91" s="17">
        <f>IFERROR(__xludf.DUMMYFUNCTION("AVERAGE(QUERY(SORT(GOOGLEFINANCE(B91,""price"",TODAY()-365,TODAY()),1,0),""select Col2 limit 120""))"),346.27125000000007)</f>
        <v>346.27125</v>
      </c>
      <c r="N91" s="19">
        <f>IFERROR(__xludf.DUMMYFUNCTION("AVERAGE(QUERY(SORT(GOOGLEFINANCE(B91,""price"",TODAY()-365,TODAY()),1,0),""select Col2 limit 200""))"),334.4377000000001)</f>
        <v>334.4377</v>
      </c>
      <c r="O91" s="20" t="str">
        <f t="shared" si="2"/>
        <v>Avoid</v>
      </c>
      <c r="P91" s="21" t="str">
        <f t="shared" si="3"/>
        <v/>
      </c>
      <c r="Q91" s="21" t="str">
        <f t="shared" si="4"/>
        <v/>
      </c>
      <c r="R91" s="22">
        <f>IFERROR(__xludf.DUMMYFUNCTION("GOOGLEFINANCE(B91, ""pe"")
"),29.05)</f>
        <v>29.05</v>
      </c>
    </row>
    <row r="92">
      <c r="A92" s="9" t="s">
        <v>105</v>
      </c>
      <c r="B92" s="11" t="str">
        <f t="shared" si="1"/>
        <v>NSE:SIGIND</v>
      </c>
      <c r="C92" s="12">
        <f>IFERROR(__xludf.DUMMYFUNCTION("GOOGLEFINANCE(B92,""marketcap"")/10000000"),175.0618425)</f>
        <v>175.0618425</v>
      </c>
      <c r="D92" s="13">
        <f>IFERROR(__xludf.DUMMYFUNCTION("GOOGLEFINANCE(B92,""price"")"),59.47)</f>
        <v>59.47</v>
      </c>
      <c r="E92" s="14">
        <f>IFERROR(__xludf.DUMMYFUNCTION("GOOGLEFINANCE(B92,""Volume"")"),3691.0)</f>
        <v>3691</v>
      </c>
      <c r="F92" s="14">
        <f t="array" ref="F92">F91</f>
        <v>14</v>
      </c>
      <c r="G92" s="15" t="str">
        <f>IFERROR(__xludf.DUMMYFUNCTION("IF(E92&gt;AVERAGE(INDEX(GOOGLEFINANCE(B92,""volume"",WORKDAY(TODAY(),-$F$1),TODAY()),,2)),""Breakout"","""")"),"#N/A")</f>
        <v>#N/A</v>
      </c>
      <c r="H92" s="16">
        <f>IFERROR(__xludf.DUMMYFUNCTION("GOOGLEFINANCE(B92,""price"")"),59.47)</f>
        <v>59.47</v>
      </c>
      <c r="I92" s="17" t="str">
        <f>IFERROR(__xludf.DUMMYFUNCTION("AVERAGE(QUERY(SORT(GOOGLEFINANCE(B92,""price"",TODAY()-365,TODAY()),1,0),""select Col2 limit 10""))"),"#N/A")</f>
        <v>#N/A</v>
      </c>
      <c r="J92" s="17" t="str">
        <f>IFERROR(__xludf.DUMMYFUNCTION("AVERAGE(QUERY(SORT(GOOGLEFINANCE(B92,""price"",TODAY()-365,TODAY()),1,0),""select Col2 limit 30""))"),"#N/A")</f>
        <v>#N/A</v>
      </c>
      <c r="K92" s="18" t="str">
        <f>IFERROR(__xludf.DUMMYFUNCTION("AVERAGE(QUERY(SORT(GOOGLEFINANCE(B92,""price"",TODAY()-365,TODAY()),1,0),""select Col2 limit 60""))"),"#N/A")</f>
        <v>#N/A</v>
      </c>
      <c r="L92" s="17" t="str">
        <f>IFERROR(__xludf.DUMMYFUNCTION("AVERAGE(QUERY(SORT(GOOGLEFINANCE(B92,""price"",TODAY()-365,TODAY()),1,0),""select Col2 limit 90""))"),"#N/A")</f>
        <v>#N/A</v>
      </c>
      <c r="M92" s="17" t="str">
        <f>IFERROR(__xludf.DUMMYFUNCTION("AVERAGE(QUERY(SORT(GOOGLEFINANCE(B92,""price"",TODAY()-365,TODAY()),1,0),""select Col2 limit 120""))"),"#N/A")</f>
        <v>#N/A</v>
      </c>
      <c r="N92" s="19" t="str">
        <f>IFERROR(__xludf.DUMMYFUNCTION("AVERAGE(QUERY(SORT(GOOGLEFINANCE(B92,""price"",TODAY()-365,TODAY()),1,0),""select Col2 limit 200""))"),"#N/A")</f>
        <v>#N/A</v>
      </c>
      <c r="O92" s="20" t="str">
        <f t="shared" si="2"/>
        <v>#N/A</v>
      </c>
      <c r="P92" s="21" t="str">
        <f t="shared" si="3"/>
        <v>#N/A</v>
      </c>
      <c r="Q92" s="21" t="str">
        <f t="shared" si="4"/>
        <v>#N/A</v>
      </c>
      <c r="R92" s="22">
        <f>IFERROR(__xludf.DUMMYFUNCTION("GOOGLEFINANCE(B92, ""pe"")
"),11.46)</f>
        <v>11.46</v>
      </c>
    </row>
    <row r="93">
      <c r="A93" s="9" t="s">
        <v>106</v>
      </c>
      <c r="B93" s="11" t="str">
        <f t="shared" si="1"/>
        <v>NSE:ASPINWALL</v>
      </c>
      <c r="C93" s="12">
        <f>IFERROR(__xludf.DUMMYFUNCTION("GOOGLEFINANCE(B93,""marketcap"")/10000000"),232.9459005)</f>
        <v>232.9459005</v>
      </c>
      <c r="D93" s="13">
        <f>IFERROR(__xludf.DUMMYFUNCTION("GOOGLEFINANCE(B93,""price"")"),297.95)</f>
        <v>297.95</v>
      </c>
      <c r="E93" s="14">
        <f>IFERROR(__xludf.DUMMYFUNCTION("GOOGLEFINANCE(B93,""Volume"")"),1019.0)</f>
        <v>1019</v>
      </c>
      <c r="F93" s="14">
        <f t="array" ref="F93">F92</f>
        <v>14</v>
      </c>
      <c r="G93" s="15" t="str">
        <f>IFERROR(__xludf.DUMMYFUNCTION("IF(E93&gt;AVERAGE(INDEX(GOOGLEFINANCE(B93,""volume"",WORKDAY(TODAY(),-$F$1),TODAY()),,2)),""Breakout"","""")"),"")</f>
        <v/>
      </c>
      <c r="H93" s="16">
        <f>IFERROR(__xludf.DUMMYFUNCTION("GOOGLEFINANCE(B93,""price"")"),297.95)</f>
        <v>297.95</v>
      </c>
      <c r="I93" s="17">
        <f>IFERROR(__xludf.DUMMYFUNCTION("AVERAGE(QUERY(SORT(GOOGLEFINANCE(B93,""price"",TODAY()-365,TODAY()),1,0),""select Col2 limit 10""))"),294.44)</f>
        <v>294.44</v>
      </c>
      <c r="J93" s="17">
        <f>IFERROR(__xludf.DUMMYFUNCTION("AVERAGE(QUERY(SORT(GOOGLEFINANCE(B93,""price"",TODAY()-365,TODAY()),1,0),""select Col2 limit 30""))"),292.49833333333333)</f>
        <v>292.4983333</v>
      </c>
      <c r="K93" s="18">
        <f>IFERROR(__xludf.DUMMYFUNCTION("AVERAGE(QUERY(SORT(GOOGLEFINANCE(B93,""price"",TODAY()-365,TODAY()),1,0),""select Col2 limit 60""))"),287.10333333333347)</f>
        <v>287.1033333</v>
      </c>
      <c r="L93" s="17">
        <f>IFERROR(__xludf.DUMMYFUNCTION("AVERAGE(QUERY(SORT(GOOGLEFINANCE(B93,""price"",TODAY()-365,TODAY()),1,0),""select Col2 limit 90""))"),275.34855555555566)</f>
        <v>275.3485556</v>
      </c>
      <c r="M93" s="17">
        <f>IFERROR(__xludf.DUMMYFUNCTION("AVERAGE(QUERY(SORT(GOOGLEFINANCE(B93,""price"",TODAY()-365,TODAY()),1,0),""select Col2 limit 120""))"),277.74183333333343)</f>
        <v>277.7418333</v>
      </c>
      <c r="N93" s="19">
        <f>IFERROR(__xludf.DUMMYFUNCTION("AVERAGE(QUERY(SORT(GOOGLEFINANCE(B93,""price"",TODAY()-365,TODAY()),1,0),""select Col2 limit 200""))"),282.77210000000014)</f>
        <v>282.7721</v>
      </c>
      <c r="O93" s="20" t="str">
        <f t="shared" si="2"/>
        <v>Avoid</v>
      </c>
      <c r="P93" s="21" t="str">
        <f t="shared" si="3"/>
        <v/>
      </c>
      <c r="Q93" s="21" t="str">
        <f t="shared" si="4"/>
        <v/>
      </c>
      <c r="R93" s="22">
        <f>IFERROR(__xludf.DUMMYFUNCTION("GOOGLEFINANCE(B93, ""pe"")
"),15.85)</f>
        <v>15.85</v>
      </c>
    </row>
    <row r="94">
      <c r="A94" s="9" t="s">
        <v>107</v>
      </c>
      <c r="B94" s="11" t="str">
        <f t="shared" si="1"/>
        <v>NSE:SADBHIN</v>
      </c>
      <c r="C94" s="12">
        <f>IFERROR(__xludf.DUMMYFUNCTION("GOOGLEFINANCE(B94,""marketcap"")/10000000"),152.5135089)</f>
        <v>152.5135089</v>
      </c>
      <c r="D94" s="13">
        <f>IFERROR(__xludf.DUMMYFUNCTION("GOOGLEFINANCE(B94,""price"")"),4.33)</f>
        <v>4.33</v>
      </c>
      <c r="E94" s="14">
        <f>IFERROR(__xludf.DUMMYFUNCTION("GOOGLEFINANCE(B94,""Volume"")"),162359.0)</f>
        <v>162359</v>
      </c>
      <c r="F94" s="14">
        <f t="array" ref="F94">F93</f>
        <v>14</v>
      </c>
      <c r="G94" s="15" t="str">
        <f>IFERROR(__xludf.DUMMYFUNCTION("IF(E94&gt;AVERAGE(INDEX(GOOGLEFINANCE(B94,""volume"",WORKDAY(TODAY(),-$F$1),TODAY()),,2)),""Breakout"","""")"),"")</f>
        <v/>
      </c>
      <c r="H94" s="16">
        <f>IFERROR(__xludf.DUMMYFUNCTION("GOOGLEFINANCE(B94,""price"")"),4.33)</f>
        <v>4.33</v>
      </c>
      <c r="I94" s="17">
        <f>IFERROR(__xludf.DUMMYFUNCTION("AVERAGE(QUERY(SORT(GOOGLEFINANCE(B94,""price"",TODAY()-365,TODAY()),1,0),""select Col2 limit 10""))"),4.752000000000001)</f>
        <v>4.752</v>
      </c>
      <c r="J94" s="17">
        <f>IFERROR(__xludf.DUMMYFUNCTION("AVERAGE(QUERY(SORT(GOOGLEFINANCE(B94,""price"",TODAY()-365,TODAY()),1,0),""select Col2 limit 30""))"),5.004333333333334)</f>
        <v>5.004333333</v>
      </c>
      <c r="K94" s="18">
        <f>IFERROR(__xludf.DUMMYFUNCTION("AVERAGE(QUERY(SORT(GOOGLEFINANCE(B94,""price"",TODAY()-365,TODAY()),1,0),""select Col2 limit 60""))"),4.840666666666667)</f>
        <v>4.840666667</v>
      </c>
      <c r="L94" s="17">
        <f>IFERROR(__xludf.DUMMYFUNCTION("AVERAGE(QUERY(SORT(GOOGLEFINANCE(B94,""price"",TODAY()-365,TODAY()),1,0),""select Col2 limit 90""))"),4.821111111111113)</f>
        <v>4.821111111</v>
      </c>
      <c r="M94" s="17">
        <f>IFERROR(__xludf.DUMMYFUNCTION("AVERAGE(QUERY(SORT(GOOGLEFINANCE(B94,""price"",TODAY()-365,TODAY()),1,0),""select Col2 limit 120""))"),4.9586666666666686)</f>
        <v>4.958666667</v>
      </c>
      <c r="N94" s="19">
        <f>IFERROR(__xludf.DUMMYFUNCTION("AVERAGE(QUERY(SORT(GOOGLEFINANCE(B94,""price"",TODAY()-365,TODAY()),1,0),""select Col2 limit 200""))"),5.607800000000002)</f>
        <v>5.6078</v>
      </c>
      <c r="O94" s="20" t="str">
        <f t="shared" si="2"/>
        <v>Avoid</v>
      </c>
      <c r="P94" s="21" t="str">
        <f t="shared" si="3"/>
        <v/>
      </c>
      <c r="Q94" s="21" t="str">
        <f t="shared" si="4"/>
        <v/>
      </c>
      <c r="R94" s="22" t="str">
        <f>IFERROR(__xludf.DUMMYFUNCTION("GOOGLEFINANCE(B94, ""pe"")
"),"#N/A")</f>
        <v>#N/A</v>
      </c>
    </row>
    <row r="95">
      <c r="A95" s="9" t="s">
        <v>108</v>
      </c>
      <c r="B95" s="11" t="str">
        <f t="shared" si="1"/>
        <v>NSE:INCREDIBLE</v>
      </c>
      <c r="C95" s="12">
        <f>IFERROR(__xludf.DUMMYFUNCTION("GOOGLEFINANCE(B95,""marketcap"")/10000000"),188.2241)</f>
        <v>188.2241</v>
      </c>
      <c r="D95" s="13">
        <f>IFERROR(__xludf.DUMMYFUNCTION("GOOGLEFINANCE(B95,""price"")"),39.86)</f>
        <v>39.86</v>
      </c>
      <c r="E95" s="14">
        <f>IFERROR(__xludf.DUMMYFUNCTION("GOOGLEFINANCE(B95,""Volume"")"),7623.0)</f>
        <v>7623</v>
      </c>
      <c r="F95" s="14">
        <f t="array" ref="F95">F94</f>
        <v>14</v>
      </c>
      <c r="G95" s="15" t="str">
        <f>IFERROR(__xludf.DUMMYFUNCTION("IF(E95&gt;AVERAGE(INDEX(GOOGLEFINANCE(B95,""volume"",WORKDAY(TODAY(),-$F$1),TODAY()),,2)),""Breakout"","""")"),"Breakout")</f>
        <v>Breakout</v>
      </c>
      <c r="H95" s="16">
        <f>IFERROR(__xludf.DUMMYFUNCTION("GOOGLEFINANCE(B95,""price"")"),39.86)</f>
        <v>39.86</v>
      </c>
      <c r="I95" s="17">
        <f>IFERROR(__xludf.DUMMYFUNCTION("AVERAGE(QUERY(SORT(GOOGLEFINANCE(B95,""price"",TODAY()-365,TODAY()),1,0),""select Col2 limit 10""))"),40.994)</f>
        <v>40.994</v>
      </c>
      <c r="J95" s="17">
        <f>IFERROR(__xludf.DUMMYFUNCTION("AVERAGE(QUERY(SORT(GOOGLEFINANCE(B95,""price"",TODAY()-365,TODAY()),1,0),""select Col2 limit 30""))"),41.27466666666667)</f>
        <v>41.27466667</v>
      </c>
      <c r="K95" s="18">
        <f>IFERROR(__xludf.DUMMYFUNCTION("AVERAGE(QUERY(SORT(GOOGLEFINANCE(B95,""price"",TODAY()-365,TODAY()),1,0),""select Col2 limit 60""))"),41.10016666666666)</f>
        <v>41.10016667</v>
      </c>
      <c r="L95" s="17">
        <f>IFERROR(__xludf.DUMMYFUNCTION("AVERAGE(QUERY(SORT(GOOGLEFINANCE(B95,""price"",TODAY()-365,TODAY()),1,0),""select Col2 limit 90""))"),39.64533333333332)</f>
        <v>39.64533333</v>
      </c>
      <c r="M95" s="17">
        <f>IFERROR(__xludf.DUMMYFUNCTION("AVERAGE(QUERY(SORT(GOOGLEFINANCE(B95,""price"",TODAY()-365,TODAY()),1,0),""select Col2 limit 120""))"),38.65341666666667)</f>
        <v>38.65341667</v>
      </c>
      <c r="N95" s="19">
        <f>IFERROR(__xludf.DUMMYFUNCTION("AVERAGE(QUERY(SORT(GOOGLEFINANCE(B95,""price"",TODAY()-365,TODAY()),1,0),""select Col2 limit 200""))"),41.24535000000001)</f>
        <v>41.24535</v>
      </c>
      <c r="O95" s="20" t="str">
        <f t="shared" si="2"/>
        <v>Avoid</v>
      </c>
      <c r="P95" s="21" t="str">
        <f t="shared" si="3"/>
        <v/>
      </c>
      <c r="Q95" s="21" t="str">
        <f t="shared" si="4"/>
        <v/>
      </c>
      <c r="R95" s="22">
        <f>IFERROR(__xludf.DUMMYFUNCTION("GOOGLEFINANCE(B95, ""pe"")
"),209.41)</f>
        <v>209.41</v>
      </c>
    </row>
    <row r="96">
      <c r="A96" s="9" t="s">
        <v>109</v>
      </c>
      <c r="B96" s="11" t="str">
        <f t="shared" si="1"/>
        <v>NSE:ARCHIDPLY</v>
      </c>
      <c r="C96" s="12">
        <f>IFERROR(__xludf.DUMMYFUNCTION("GOOGLEFINANCE(B96,""marketcap"")/10000000"),228.0500912)</f>
        <v>228.0500912</v>
      </c>
      <c r="D96" s="13">
        <f>IFERROR(__xludf.DUMMYFUNCTION("GOOGLEFINANCE(B96,""price"")"),115.7)</f>
        <v>115.7</v>
      </c>
      <c r="E96" s="14">
        <f>IFERROR(__xludf.DUMMYFUNCTION("GOOGLEFINANCE(B96,""Volume"")"),650754.0)</f>
        <v>650754</v>
      </c>
      <c r="F96" s="14">
        <f t="array" ref="F96">F95</f>
        <v>14</v>
      </c>
      <c r="G96" s="15" t="str">
        <f>IFERROR(__xludf.DUMMYFUNCTION("IF(E96&gt;AVERAGE(INDEX(GOOGLEFINANCE(B96,""volume"",WORKDAY(TODAY(),-$F$1),TODAY()),,2)),""Breakout"","""")"),"Breakout")</f>
        <v>Breakout</v>
      </c>
      <c r="H96" s="16">
        <f>IFERROR(__xludf.DUMMYFUNCTION("GOOGLEFINANCE(B96,""price"")"),115.7)</f>
        <v>115.7</v>
      </c>
      <c r="I96" s="17">
        <f>IFERROR(__xludf.DUMMYFUNCTION("AVERAGE(QUERY(SORT(GOOGLEFINANCE(B96,""price"",TODAY()-365,TODAY()),1,0),""select Col2 limit 10""))"),102.91799999999998)</f>
        <v>102.918</v>
      </c>
      <c r="J96" s="17">
        <f>IFERROR(__xludf.DUMMYFUNCTION("AVERAGE(QUERY(SORT(GOOGLEFINANCE(B96,""price"",TODAY()-365,TODAY()),1,0),""select Col2 limit 30""))"),105.00766666666665)</f>
        <v>105.0076667</v>
      </c>
      <c r="K96" s="18">
        <f>IFERROR(__xludf.DUMMYFUNCTION("AVERAGE(QUERY(SORT(GOOGLEFINANCE(B96,""price"",TODAY()-365,TODAY()),1,0),""select Col2 limit 60""))"),100.57733333333333)</f>
        <v>100.5773333</v>
      </c>
      <c r="L96" s="17">
        <f>IFERROR(__xludf.DUMMYFUNCTION("AVERAGE(QUERY(SORT(GOOGLEFINANCE(B96,""price"",TODAY()-365,TODAY()),1,0),""select Col2 limit 90""))"),96.7821111111111)</f>
        <v>96.78211111</v>
      </c>
      <c r="M96" s="17">
        <f>IFERROR(__xludf.DUMMYFUNCTION("AVERAGE(QUERY(SORT(GOOGLEFINANCE(B96,""price"",TODAY()-365,TODAY()),1,0),""select Col2 limit 120""))"),96.19041666666668)</f>
        <v>96.19041667</v>
      </c>
      <c r="N96" s="19">
        <f>IFERROR(__xludf.DUMMYFUNCTION("AVERAGE(QUERY(SORT(GOOGLEFINANCE(B96,""price"",TODAY()-365,TODAY()),1,0),""select Col2 limit 200""))"),103.65235000000001)</f>
        <v>103.65235</v>
      </c>
      <c r="O96" s="20" t="str">
        <f t="shared" si="2"/>
        <v>Avoid</v>
      </c>
      <c r="P96" s="21" t="str">
        <f t="shared" si="3"/>
        <v/>
      </c>
      <c r="Q96" s="21" t="str">
        <f t="shared" si="4"/>
        <v/>
      </c>
      <c r="R96" s="22" t="str">
        <f>IFERROR(__xludf.DUMMYFUNCTION("GOOGLEFINANCE(B96, ""pe"")
"),"#N/A")</f>
        <v>#N/A</v>
      </c>
    </row>
    <row r="97">
      <c r="A97" s="9" t="s">
        <v>110</v>
      </c>
      <c r="B97" s="11" t="str">
        <f t="shared" si="1"/>
        <v>NSE:XELPMOC</v>
      </c>
      <c r="C97" s="12">
        <f>IFERROR(__xludf.DUMMYFUNCTION("GOOGLEFINANCE(B97,""marketcap"")/10000000"),133.9423717)</f>
        <v>133.9423717</v>
      </c>
      <c r="D97" s="13">
        <f>IFERROR(__xludf.DUMMYFUNCTION("GOOGLEFINANCE(B97,""price"")"),90.75)</f>
        <v>90.75</v>
      </c>
      <c r="E97" s="14">
        <f>IFERROR(__xludf.DUMMYFUNCTION("GOOGLEFINANCE(B97,""Volume"")"),2065.0)</f>
        <v>2065</v>
      </c>
      <c r="F97" s="14">
        <f t="array" ref="F97">F96</f>
        <v>14</v>
      </c>
      <c r="G97" s="15" t="str">
        <f>IFERROR(__xludf.DUMMYFUNCTION("IF(E97&gt;AVERAGE(INDEX(GOOGLEFINANCE(B97,""volume"",WORKDAY(TODAY(),-$F$1),TODAY()),,2)),""Breakout"","""")"),"")</f>
        <v/>
      </c>
      <c r="H97" s="16">
        <f>IFERROR(__xludf.DUMMYFUNCTION("GOOGLEFINANCE(B97,""price"")"),90.75)</f>
        <v>90.75</v>
      </c>
      <c r="I97" s="17">
        <f>IFERROR(__xludf.DUMMYFUNCTION("AVERAGE(QUERY(SORT(GOOGLEFINANCE(B97,""price"",TODAY()-365,TODAY()),1,0),""select Col2 limit 10""))"),91.621)</f>
        <v>91.621</v>
      </c>
      <c r="J97" s="17">
        <f>IFERROR(__xludf.DUMMYFUNCTION("AVERAGE(QUERY(SORT(GOOGLEFINANCE(B97,""price"",TODAY()-365,TODAY()),1,0),""select Col2 limit 30""))"),93.16766666666668)</f>
        <v>93.16766667</v>
      </c>
      <c r="K97" s="18">
        <f>IFERROR(__xludf.DUMMYFUNCTION("AVERAGE(QUERY(SORT(GOOGLEFINANCE(B97,""price"",TODAY()-365,TODAY()),1,0),""select Col2 limit 60""))"),97.00416666666663)</f>
        <v>97.00416667</v>
      </c>
      <c r="L97" s="17">
        <f>IFERROR(__xludf.DUMMYFUNCTION("AVERAGE(QUERY(SORT(GOOGLEFINANCE(B97,""price"",TODAY()-365,TODAY()),1,0),""select Col2 limit 90""))"),96.04622222222223)</f>
        <v>96.04622222</v>
      </c>
      <c r="M97" s="17">
        <f>IFERROR(__xludf.DUMMYFUNCTION("AVERAGE(QUERY(SORT(GOOGLEFINANCE(B97,""price"",TODAY()-365,TODAY()),1,0),""select Col2 limit 120""))"),100.77508333333336)</f>
        <v>100.7750833</v>
      </c>
      <c r="N97" s="19">
        <f>IFERROR(__xludf.DUMMYFUNCTION("AVERAGE(QUERY(SORT(GOOGLEFINANCE(B97,""price"",TODAY()-365,TODAY()),1,0),""select Col2 limit 200""))"),114.67095)</f>
        <v>114.67095</v>
      </c>
      <c r="O97" s="20" t="str">
        <f t="shared" si="2"/>
        <v>Avoid</v>
      </c>
      <c r="P97" s="21" t="str">
        <f t="shared" si="3"/>
        <v>10 DMA</v>
      </c>
      <c r="Q97" s="21" t="str">
        <f t="shared" si="4"/>
        <v>10 DMA cross best</v>
      </c>
      <c r="R97" s="22" t="str">
        <f>IFERROR(__xludf.DUMMYFUNCTION("GOOGLEFINANCE(B97, ""pe"")
"),"#N/A")</f>
        <v>#N/A</v>
      </c>
    </row>
    <row r="98">
      <c r="A98" s="9" t="s">
        <v>111</v>
      </c>
      <c r="B98" s="11" t="str">
        <f t="shared" si="1"/>
        <v>NSE:MAHASTEEL</v>
      </c>
      <c r="C98" s="12">
        <f>IFERROR(__xludf.DUMMYFUNCTION("GOOGLEFINANCE(B98,""marketcap"")/10000000"),592.46012)</f>
        <v>592.46012</v>
      </c>
      <c r="D98" s="13">
        <f>IFERROR(__xludf.DUMMYFUNCTION("GOOGLEFINANCE(B98,""price"")"),360.5)</f>
        <v>360.5</v>
      </c>
      <c r="E98" s="14">
        <f>IFERROR(__xludf.DUMMYFUNCTION("GOOGLEFINANCE(B98,""Volume"")"),5416.0)</f>
        <v>5416</v>
      </c>
      <c r="F98" s="14">
        <f t="array" ref="F98">F97</f>
        <v>14</v>
      </c>
      <c r="G98" s="15" t="str">
        <f>IFERROR(__xludf.DUMMYFUNCTION("IF(E98&gt;AVERAGE(INDEX(GOOGLEFINANCE(B98,""volume"",WORKDAY(TODAY(),-$F$1),TODAY()),,2)),""Breakout"","""")"),"")</f>
        <v/>
      </c>
      <c r="H98" s="16">
        <f>IFERROR(__xludf.DUMMYFUNCTION("GOOGLEFINANCE(B98,""price"")"),360.5)</f>
        <v>360.5</v>
      </c>
      <c r="I98" s="17">
        <f>IFERROR(__xludf.DUMMYFUNCTION("AVERAGE(QUERY(SORT(GOOGLEFINANCE(B98,""price"",TODAY()-365,TODAY()),1,0),""select Col2 limit 10""))"),363.68)</f>
        <v>363.68</v>
      </c>
      <c r="J98" s="17">
        <f>IFERROR(__xludf.DUMMYFUNCTION("AVERAGE(QUERY(SORT(GOOGLEFINANCE(B98,""price"",TODAY()-365,TODAY()),1,0),""select Col2 limit 30""))"),347.68333333333334)</f>
        <v>347.6833333</v>
      </c>
      <c r="K98" s="18">
        <f>IFERROR(__xludf.DUMMYFUNCTION("AVERAGE(QUERY(SORT(GOOGLEFINANCE(B98,""price"",TODAY()-365,TODAY()),1,0),""select Col2 limit 60""))"),318.40666666666664)</f>
        <v>318.4066667</v>
      </c>
      <c r="L98" s="17">
        <f>IFERROR(__xludf.DUMMYFUNCTION("AVERAGE(QUERY(SORT(GOOGLEFINANCE(B98,""price"",TODAY()-365,TODAY()),1,0),""select Col2 limit 90""))"),295.7791111111111)</f>
        <v>295.7791111</v>
      </c>
      <c r="M98" s="17">
        <f>IFERROR(__xludf.DUMMYFUNCTION("AVERAGE(QUERY(SORT(GOOGLEFINANCE(B98,""price"",TODAY()-365,TODAY()),1,0),""select Col2 limit 120""))"),277.94233333333324)</f>
        <v>277.9423333</v>
      </c>
      <c r="N98" s="19">
        <f>IFERROR(__xludf.DUMMYFUNCTION("AVERAGE(QUERY(SORT(GOOGLEFINANCE(B98,""price"",TODAY()-365,TODAY()),1,0),""select Col2 limit 200""))"),250.19204999999994)</f>
        <v>250.19205</v>
      </c>
      <c r="O98" s="20" t="str">
        <f t="shared" si="2"/>
        <v>Avoid</v>
      </c>
      <c r="P98" s="21" t="str">
        <f t="shared" si="3"/>
        <v>10 DMA</v>
      </c>
      <c r="Q98" s="21" t="str">
        <f t="shared" si="4"/>
        <v/>
      </c>
      <c r="R98" s="22">
        <f>IFERROR(__xludf.DUMMYFUNCTION("GOOGLEFINANCE(B98, ""pe"")
"),78.03)</f>
        <v>78.03</v>
      </c>
    </row>
    <row r="99">
      <c r="A99" s="9" t="s">
        <v>112</v>
      </c>
      <c r="B99" s="11" t="str">
        <f t="shared" si="1"/>
        <v>NSE:OILCOUNTUB</v>
      </c>
      <c r="C99" s="12">
        <f>IFERROR(__xludf.DUMMYFUNCTION("GOOGLEFINANCE(B99,""marketcap"")/10000000"),430.55568)</f>
        <v>430.55568</v>
      </c>
      <c r="D99" s="13">
        <f>IFERROR(__xludf.DUMMYFUNCTION("GOOGLEFINANCE(B99,""price"")"),90.0)</f>
        <v>90</v>
      </c>
      <c r="E99" s="14">
        <f>IFERROR(__xludf.DUMMYFUNCTION("GOOGLEFINANCE(B99,""Volume"")"),12876.0)</f>
        <v>12876</v>
      </c>
      <c r="F99" s="14">
        <f t="array" ref="F99">F98</f>
        <v>14</v>
      </c>
      <c r="G99" s="15" t="str">
        <f>IFERROR(__xludf.DUMMYFUNCTION("IF(E99&gt;AVERAGE(INDEX(GOOGLEFINANCE(B99,""volume"",WORKDAY(TODAY(),-$F$1),TODAY()),,2)),""Breakout"","""")"),"")</f>
        <v/>
      </c>
      <c r="H99" s="16">
        <f>IFERROR(__xludf.DUMMYFUNCTION("GOOGLEFINANCE(B99,""price"")"),90.0)</f>
        <v>90</v>
      </c>
      <c r="I99" s="17">
        <f>IFERROR(__xludf.DUMMYFUNCTION("AVERAGE(QUERY(SORT(GOOGLEFINANCE(B99,""price"",TODAY()-365,TODAY()),1,0),""select Col2 limit 10""))"),90.131)</f>
        <v>90.131</v>
      </c>
      <c r="J99" s="17">
        <f>IFERROR(__xludf.DUMMYFUNCTION("AVERAGE(QUERY(SORT(GOOGLEFINANCE(B99,""price"",TODAY()-365,TODAY()),1,0),""select Col2 limit 30""))"),88.87433333333335)</f>
        <v>88.87433333</v>
      </c>
      <c r="K99" s="18">
        <f>IFERROR(__xludf.DUMMYFUNCTION("AVERAGE(QUERY(SORT(GOOGLEFINANCE(B99,""price"",TODAY()-365,TODAY()),1,0),""select Col2 limit 60""))"),79.71733333333334)</f>
        <v>79.71733333</v>
      </c>
      <c r="L99" s="17">
        <f>IFERROR(__xludf.DUMMYFUNCTION("AVERAGE(QUERY(SORT(GOOGLEFINANCE(B99,""price"",TODAY()-365,TODAY()),1,0),""select Col2 limit 90""))"),77.80977777777778)</f>
        <v>77.80977778</v>
      </c>
      <c r="M99" s="17">
        <f>IFERROR(__xludf.DUMMYFUNCTION("AVERAGE(QUERY(SORT(GOOGLEFINANCE(B99,""price"",TODAY()-365,TODAY()),1,0),""select Col2 limit 120""))"),77.11908333333332)</f>
        <v>77.11908333</v>
      </c>
      <c r="N99" s="19">
        <f>IFERROR(__xludf.DUMMYFUNCTION("AVERAGE(QUERY(SORT(GOOGLEFINANCE(B99,""price"",TODAY()-365,TODAY()),1,0),""select Col2 limit 200""))"),70.69409999999999)</f>
        <v>70.6941</v>
      </c>
      <c r="O99" s="20" t="str">
        <f t="shared" si="2"/>
        <v>Avoid</v>
      </c>
      <c r="P99" s="21" t="str">
        <f t="shared" si="3"/>
        <v>10 DMA</v>
      </c>
      <c r="Q99" s="21" t="str">
        <f t="shared" si="4"/>
        <v/>
      </c>
      <c r="R99" s="22" t="str">
        <f>IFERROR(__xludf.DUMMYFUNCTION("GOOGLEFINANCE(B99, ""pe"")
"),"#N/A")</f>
        <v>#N/A</v>
      </c>
    </row>
    <row r="100">
      <c r="A100" s="9" t="s">
        <v>113</v>
      </c>
      <c r="B100" s="11" t="str">
        <f t="shared" si="1"/>
        <v>NSE:DBSTOCKBRO</v>
      </c>
      <c r="C100" s="12">
        <f>IFERROR(__xludf.DUMMYFUNCTION("GOOGLEFINANCE(B100,""marketcap"")/10000000"),100.8349981)</f>
        <v>100.8349981</v>
      </c>
      <c r="D100" s="13">
        <f>IFERROR(__xludf.DUMMYFUNCTION("GOOGLEFINANCE(B100,""price"")"),28.81)</f>
        <v>28.81</v>
      </c>
      <c r="E100" s="14">
        <f>IFERROR(__xludf.DUMMYFUNCTION("GOOGLEFINANCE(B100,""Volume"")"),2632.0)</f>
        <v>2632</v>
      </c>
      <c r="F100" s="14">
        <f t="array" ref="F100">F99</f>
        <v>14</v>
      </c>
      <c r="G100" s="15" t="str">
        <f>IFERROR(__xludf.DUMMYFUNCTION("IF(E100&gt;AVERAGE(INDEX(GOOGLEFINANCE(B100,""volume"",WORKDAY(TODAY(),-$F$1),TODAY()),,2)),""Breakout"","""")"),"")</f>
        <v/>
      </c>
      <c r="H100" s="16">
        <f>IFERROR(__xludf.DUMMYFUNCTION("GOOGLEFINANCE(B100,""price"")"),28.81)</f>
        <v>28.81</v>
      </c>
      <c r="I100" s="17">
        <f>IFERROR(__xludf.DUMMYFUNCTION("AVERAGE(QUERY(SORT(GOOGLEFINANCE(B100,""price"",TODAY()-365,TODAY()),1,0),""select Col2 limit 10""))"),28.812)</f>
        <v>28.812</v>
      </c>
      <c r="J100" s="17">
        <f>IFERROR(__xludf.DUMMYFUNCTION("AVERAGE(QUERY(SORT(GOOGLEFINANCE(B100,""price"",TODAY()-365,TODAY()),1,0),""select Col2 limit 30""))"),30.394666666666662)</f>
        <v>30.39466667</v>
      </c>
      <c r="K100" s="18">
        <f>IFERROR(__xludf.DUMMYFUNCTION("AVERAGE(QUERY(SORT(GOOGLEFINANCE(B100,""price"",TODAY()-365,TODAY()),1,0),""select Col2 limit 60""))"),29.65916666666667)</f>
        <v>29.65916667</v>
      </c>
      <c r="L100" s="17">
        <f>IFERROR(__xludf.DUMMYFUNCTION("AVERAGE(QUERY(SORT(GOOGLEFINANCE(B100,""price"",TODAY()-365,TODAY()),1,0),""select Col2 limit 90""))"),29.331666666666674)</f>
        <v>29.33166667</v>
      </c>
      <c r="M100" s="17">
        <f>IFERROR(__xludf.DUMMYFUNCTION("AVERAGE(QUERY(SORT(GOOGLEFINANCE(B100,""price"",TODAY()-365,TODAY()),1,0),""select Col2 limit 120""))"),31.50908333333334)</f>
        <v>31.50908333</v>
      </c>
      <c r="N100" s="19">
        <f>IFERROR(__xludf.DUMMYFUNCTION("AVERAGE(QUERY(SORT(GOOGLEFINANCE(B100,""price"",TODAY()-365,TODAY()),1,0),""select Col2 limit 200""))"),37.208850000000005)</f>
        <v>37.20885</v>
      </c>
      <c r="O100" s="20" t="str">
        <f t="shared" si="2"/>
        <v>Avoid</v>
      </c>
      <c r="P100" s="21" t="str">
        <f t="shared" si="3"/>
        <v>10 DMA</v>
      </c>
      <c r="Q100" s="21" t="str">
        <f t="shared" si="4"/>
        <v>10 DMA cross best</v>
      </c>
      <c r="R100" s="22">
        <f>IFERROR(__xludf.DUMMYFUNCTION("GOOGLEFINANCE(B100, ""pe"")
"),17.46)</f>
        <v>17.46</v>
      </c>
    </row>
    <row r="101">
      <c r="A101" s="9" t="s">
        <v>114</v>
      </c>
      <c r="B101" s="11" t="str">
        <f t="shared" si="1"/>
        <v>NSE:AUSOMENT</v>
      </c>
      <c r="C101" s="12">
        <f>IFERROR(__xludf.DUMMYFUNCTION("GOOGLEFINANCE(B101,""marketcap"")/10000000"),148.37516)</f>
        <v>148.37516</v>
      </c>
      <c r="D101" s="13">
        <f>IFERROR(__xludf.DUMMYFUNCTION("GOOGLEFINANCE(B101,""price"")"),111.0)</f>
        <v>111</v>
      </c>
      <c r="E101" s="14">
        <f>IFERROR(__xludf.DUMMYFUNCTION("GOOGLEFINANCE(B101,""Volume"")"),266.0)</f>
        <v>266</v>
      </c>
      <c r="F101" s="14">
        <f t="array" ref="F101">F100</f>
        <v>14</v>
      </c>
      <c r="G101" s="15" t="str">
        <f>IFERROR(__xludf.DUMMYFUNCTION("IF(E101&gt;AVERAGE(INDEX(GOOGLEFINANCE(B101,""volume"",WORKDAY(TODAY(),-$F$1),TODAY()),,2)),""Breakout"","""")"),"")</f>
        <v/>
      </c>
      <c r="H101" s="16">
        <f>IFERROR(__xludf.DUMMYFUNCTION("GOOGLEFINANCE(B101,""price"")"),111.0)</f>
        <v>111</v>
      </c>
      <c r="I101" s="17">
        <f>IFERROR(__xludf.DUMMYFUNCTION("AVERAGE(QUERY(SORT(GOOGLEFINANCE(B101,""price"",TODAY()-365,TODAY()),1,0),""select Col2 limit 10""))"),107.20300000000002)</f>
        <v>107.203</v>
      </c>
      <c r="J101" s="17">
        <f>IFERROR(__xludf.DUMMYFUNCTION("AVERAGE(QUERY(SORT(GOOGLEFINANCE(B101,""price"",TODAY()-365,TODAY()),1,0),""select Col2 limit 30""))"),108.17399999999999)</f>
        <v>108.174</v>
      </c>
      <c r="K101" s="18">
        <f>IFERROR(__xludf.DUMMYFUNCTION("AVERAGE(QUERY(SORT(GOOGLEFINANCE(B101,""price"",TODAY()-365,TODAY()),1,0),""select Col2 limit 60""))"),105.55733333333332)</f>
        <v>105.5573333</v>
      </c>
      <c r="L101" s="17">
        <f>IFERROR(__xludf.DUMMYFUNCTION("AVERAGE(QUERY(SORT(GOOGLEFINANCE(B101,""price"",TODAY()-365,TODAY()),1,0),""select Col2 limit 90""))"),97.3206666666667)</f>
        <v>97.32066667</v>
      </c>
      <c r="M101" s="17">
        <f>IFERROR(__xludf.DUMMYFUNCTION("AVERAGE(QUERY(SORT(GOOGLEFINANCE(B101,""price"",TODAY()-365,TODAY()),1,0),""select Col2 limit 120""))"),95.44600000000001)</f>
        <v>95.446</v>
      </c>
      <c r="N101" s="19">
        <f>IFERROR(__xludf.DUMMYFUNCTION("AVERAGE(QUERY(SORT(GOOGLEFINANCE(B101,""price"",TODAY()-365,TODAY()),1,0),""select Col2 limit 200""))"),103.14775000000003)</f>
        <v>103.14775</v>
      </c>
      <c r="O101" s="20" t="str">
        <f t="shared" si="2"/>
        <v>Avoid</v>
      </c>
      <c r="P101" s="21" t="str">
        <f t="shared" si="3"/>
        <v/>
      </c>
      <c r="Q101" s="21" t="str">
        <f t="shared" si="4"/>
        <v/>
      </c>
      <c r="R101" s="22">
        <f>IFERROR(__xludf.DUMMYFUNCTION("GOOGLEFINANCE(B101, ""pe"")
"),7.74)</f>
        <v>7.74</v>
      </c>
    </row>
    <row r="102">
      <c r="A102" s="9" t="s">
        <v>115</v>
      </c>
      <c r="B102" s="11" t="str">
        <f t="shared" si="1"/>
        <v>NSE:BIOFILCHEM</v>
      </c>
      <c r="C102" s="12">
        <f>IFERROR(__xludf.DUMMYFUNCTION("GOOGLEFINANCE(B102,""marketcap"")/10000000"),73.232055)</f>
        <v>73.232055</v>
      </c>
      <c r="D102" s="13">
        <f>IFERROR(__xludf.DUMMYFUNCTION("GOOGLEFINANCE(B102,""price"")"),45.0)</f>
        <v>45</v>
      </c>
      <c r="E102" s="14">
        <f>IFERROR(__xludf.DUMMYFUNCTION("GOOGLEFINANCE(B102,""Volume"")"),2968.0)</f>
        <v>2968</v>
      </c>
      <c r="F102" s="14">
        <f t="array" ref="F102">F101</f>
        <v>14</v>
      </c>
      <c r="G102" s="15" t="str">
        <f>IFERROR(__xludf.DUMMYFUNCTION("IF(E102&gt;AVERAGE(INDEX(GOOGLEFINANCE(B102,""volume"",WORKDAY(TODAY(),-$F$1),TODAY()),,2)),""Breakout"","""")"),"")</f>
        <v/>
      </c>
      <c r="H102" s="16">
        <f>IFERROR(__xludf.DUMMYFUNCTION("GOOGLEFINANCE(B102,""price"")"),45.0)</f>
        <v>45</v>
      </c>
      <c r="I102" s="17">
        <f>IFERROR(__xludf.DUMMYFUNCTION("AVERAGE(QUERY(SORT(GOOGLEFINANCE(B102,""price"",TODAY()-365,TODAY()),1,0),""select Col2 limit 10""))"),46.275000000000006)</f>
        <v>46.275</v>
      </c>
      <c r="J102" s="17">
        <f>IFERROR(__xludf.DUMMYFUNCTION("AVERAGE(QUERY(SORT(GOOGLEFINANCE(B102,""price"",TODAY()-365,TODAY()),1,0),""select Col2 limit 30""))"),46.82966666666667)</f>
        <v>46.82966667</v>
      </c>
      <c r="K102" s="18">
        <f>IFERROR(__xludf.DUMMYFUNCTION("AVERAGE(QUERY(SORT(GOOGLEFINANCE(B102,""price"",TODAY()-365,TODAY()),1,0),""select Col2 limit 60""))"),47.159166666666685)</f>
        <v>47.15916667</v>
      </c>
      <c r="L102" s="17">
        <f>IFERROR(__xludf.DUMMYFUNCTION("AVERAGE(QUERY(SORT(GOOGLEFINANCE(B102,""price"",TODAY()-365,TODAY()),1,0),""select Col2 limit 90""))"),46.29611111111112)</f>
        <v>46.29611111</v>
      </c>
      <c r="M102" s="17">
        <f>IFERROR(__xludf.DUMMYFUNCTION("AVERAGE(QUERY(SORT(GOOGLEFINANCE(B102,""price"",TODAY()-365,TODAY()),1,0),""select Col2 limit 120""))"),47.059833333333344)</f>
        <v>47.05983333</v>
      </c>
      <c r="N102" s="19">
        <f>IFERROR(__xludf.DUMMYFUNCTION("AVERAGE(QUERY(SORT(GOOGLEFINANCE(B102,""price"",TODAY()-365,TODAY()),1,0),""select Col2 limit 200""))"),53.467300000000016)</f>
        <v>53.4673</v>
      </c>
      <c r="O102" s="20" t="str">
        <f t="shared" si="2"/>
        <v>Avoid</v>
      </c>
      <c r="P102" s="21" t="str">
        <f t="shared" si="3"/>
        <v/>
      </c>
      <c r="Q102" s="21" t="str">
        <f t="shared" si="4"/>
        <v/>
      </c>
      <c r="R102" s="22">
        <f>IFERROR(__xludf.DUMMYFUNCTION("GOOGLEFINANCE(B102, ""pe"")
"),132.35)</f>
        <v>132.35</v>
      </c>
    </row>
    <row r="103">
      <c r="A103" s="9" t="s">
        <v>116</v>
      </c>
      <c r="B103" s="11" t="str">
        <f t="shared" si="1"/>
        <v>NSE:SAMBHAAV</v>
      </c>
      <c r="C103" s="12">
        <f>IFERROR(__xludf.DUMMYFUNCTION("GOOGLEFINANCE(B103,""marketcap"")/10000000"),138.7464451)</f>
        <v>138.7464451</v>
      </c>
      <c r="D103" s="13">
        <f>IFERROR(__xludf.DUMMYFUNCTION("GOOGLEFINANCE(B103,""price"")"),7.28)</f>
        <v>7.28</v>
      </c>
      <c r="E103" s="14">
        <f>IFERROR(__xludf.DUMMYFUNCTION("GOOGLEFINANCE(B103,""Volume"")"),18077.0)</f>
        <v>18077</v>
      </c>
      <c r="F103" s="14">
        <f t="array" ref="F103">F102</f>
        <v>14</v>
      </c>
      <c r="G103" s="15" t="str">
        <f>IFERROR(__xludf.DUMMYFUNCTION("IF(E103&gt;AVERAGE(INDEX(GOOGLEFINANCE(B103,""volume"",WORKDAY(TODAY(),-$F$1),TODAY()),,2)),""Breakout"","""")"),"")</f>
        <v/>
      </c>
      <c r="H103" s="16">
        <f>IFERROR(__xludf.DUMMYFUNCTION("GOOGLEFINANCE(B103,""price"")"),7.28)</f>
        <v>7.28</v>
      </c>
      <c r="I103" s="17">
        <f>IFERROR(__xludf.DUMMYFUNCTION("AVERAGE(QUERY(SORT(GOOGLEFINANCE(B103,""price"",TODAY()-365,TODAY()),1,0),""select Col2 limit 10""))"),7.192000000000002)</f>
        <v>7.192</v>
      </c>
      <c r="J103" s="17">
        <f>IFERROR(__xludf.DUMMYFUNCTION("AVERAGE(QUERY(SORT(GOOGLEFINANCE(B103,""price"",TODAY()-365,TODAY()),1,0),""select Col2 limit 30""))"),7.1060000000000025)</f>
        <v>7.106</v>
      </c>
      <c r="K103" s="18">
        <f>IFERROR(__xludf.DUMMYFUNCTION("AVERAGE(QUERY(SORT(GOOGLEFINANCE(B103,""price"",TODAY()-365,TODAY()),1,0),""select Col2 limit 60""))"),7.0326666666666675)</f>
        <v>7.032666667</v>
      </c>
      <c r="L103" s="17">
        <f>IFERROR(__xludf.DUMMYFUNCTION("AVERAGE(QUERY(SORT(GOOGLEFINANCE(B103,""price"",TODAY()-365,TODAY()),1,0),""select Col2 limit 90""))"),6.722888888888887)</f>
        <v>6.722888889</v>
      </c>
      <c r="M103" s="17">
        <f>IFERROR(__xludf.DUMMYFUNCTION("AVERAGE(QUERY(SORT(GOOGLEFINANCE(B103,""price"",TODAY()-365,TODAY()),1,0),""select Col2 limit 120""))"),6.7855833333333315)</f>
        <v>6.785583333</v>
      </c>
      <c r="N103" s="19">
        <f>IFERROR(__xludf.DUMMYFUNCTION("AVERAGE(QUERY(SORT(GOOGLEFINANCE(B103,""price"",TODAY()-365,TODAY()),1,0),""select Col2 limit 200""))"),6.725599999999998)</f>
        <v>6.7256</v>
      </c>
      <c r="O103" s="20" t="str">
        <f t="shared" si="2"/>
        <v>Avoid</v>
      </c>
      <c r="P103" s="21" t="str">
        <f t="shared" si="3"/>
        <v/>
      </c>
      <c r="Q103" s="21" t="str">
        <f t="shared" si="4"/>
        <v/>
      </c>
      <c r="R103" s="22">
        <f>IFERROR(__xludf.DUMMYFUNCTION("GOOGLEFINANCE(B103, ""pe"")
"),442.95)</f>
        <v>442.95</v>
      </c>
    </row>
    <row r="104">
      <c r="A104" s="9" t="s">
        <v>117</v>
      </c>
      <c r="B104" s="11" t="str">
        <f t="shared" si="1"/>
        <v>NSE:WEWIN</v>
      </c>
      <c r="C104" s="12">
        <f>IFERROR(__xludf.DUMMYFUNCTION("GOOGLEFINANCE(B104,""marketcap"")/10000000"),46.7710817)</f>
        <v>46.7710817</v>
      </c>
      <c r="D104" s="13">
        <f>IFERROR(__xludf.DUMMYFUNCTION("GOOGLEFINANCE(B104,""price"")"),46.03)</f>
        <v>46.03</v>
      </c>
      <c r="E104" s="14">
        <f>IFERROR(__xludf.DUMMYFUNCTION("GOOGLEFINANCE(B104,""Volume"")"),935.0)</f>
        <v>935</v>
      </c>
      <c r="F104" s="14">
        <f t="array" ref="F104">F103</f>
        <v>14</v>
      </c>
      <c r="G104" s="15" t="str">
        <f>IFERROR(__xludf.DUMMYFUNCTION("IF(E104&gt;AVERAGE(INDEX(GOOGLEFINANCE(B104,""volume"",WORKDAY(TODAY(),-$F$1),TODAY()),,2)),""Breakout"","""")"),"")</f>
        <v/>
      </c>
      <c r="H104" s="16">
        <f>IFERROR(__xludf.DUMMYFUNCTION("GOOGLEFINANCE(B104,""price"")"),46.03)</f>
        <v>46.03</v>
      </c>
      <c r="I104" s="17">
        <f>IFERROR(__xludf.DUMMYFUNCTION("AVERAGE(QUERY(SORT(GOOGLEFINANCE(B104,""price"",TODAY()-365,TODAY()),1,0),""select Col2 limit 10""))"),46.611999999999995)</f>
        <v>46.612</v>
      </c>
      <c r="J104" s="17">
        <f>IFERROR(__xludf.DUMMYFUNCTION("AVERAGE(QUERY(SORT(GOOGLEFINANCE(B104,""price"",TODAY()-365,TODAY()),1,0),""select Col2 limit 30""))"),47.986999999999995)</f>
        <v>47.987</v>
      </c>
      <c r="K104" s="18">
        <f>IFERROR(__xludf.DUMMYFUNCTION("AVERAGE(QUERY(SORT(GOOGLEFINANCE(B104,""price"",TODAY()-365,TODAY()),1,0),""select Col2 limit 60""))"),46.821833333333316)</f>
        <v>46.82183333</v>
      </c>
      <c r="L104" s="17">
        <f>IFERROR(__xludf.DUMMYFUNCTION("AVERAGE(QUERY(SORT(GOOGLEFINANCE(B104,""price"",TODAY()-365,TODAY()),1,0),""select Col2 limit 90""))"),44.59655555555554)</f>
        <v>44.59655556</v>
      </c>
      <c r="M104" s="17">
        <f>IFERROR(__xludf.DUMMYFUNCTION("AVERAGE(QUERY(SORT(GOOGLEFINANCE(B104,""price"",TODAY()-365,TODAY()),1,0),""select Col2 limit 120""))"),47.893666666666675)</f>
        <v>47.89366667</v>
      </c>
      <c r="N104" s="19">
        <f>IFERROR(__xludf.DUMMYFUNCTION("AVERAGE(QUERY(SORT(GOOGLEFINANCE(B104,""price"",TODAY()-365,TODAY()),1,0),""select Col2 limit 200""))"),60.30329999999999)</f>
        <v>60.3033</v>
      </c>
      <c r="O104" s="20" t="str">
        <f t="shared" si="2"/>
        <v>Avoid</v>
      </c>
      <c r="P104" s="21" t="str">
        <f t="shared" si="3"/>
        <v/>
      </c>
      <c r="Q104" s="21" t="str">
        <f t="shared" si="4"/>
        <v/>
      </c>
      <c r="R104" s="22">
        <f>IFERROR(__xludf.DUMMYFUNCTION("GOOGLEFINANCE(B104, ""pe"")
"),24.88)</f>
        <v>24.88</v>
      </c>
    </row>
    <row r="105">
      <c r="A105" s="9" t="s">
        <v>118</v>
      </c>
      <c r="B105" s="11" t="str">
        <f t="shared" si="1"/>
        <v>NSE:ROML</v>
      </c>
      <c r="C105" s="12">
        <f>IFERROR(__xludf.DUMMYFUNCTION("GOOGLEFINANCE(B105,""marketcap"")/10000000"),77.9561221)</f>
        <v>77.9561221</v>
      </c>
      <c r="D105" s="13">
        <f>IFERROR(__xludf.DUMMYFUNCTION("GOOGLEFINANCE(B105,""price"")"),52.01)</f>
        <v>52.01</v>
      </c>
      <c r="E105" s="14">
        <f>IFERROR(__xludf.DUMMYFUNCTION("GOOGLEFINANCE(B105,""Volume"")"),874.0)</f>
        <v>874</v>
      </c>
      <c r="F105" s="14">
        <f t="array" ref="F105">F104</f>
        <v>14</v>
      </c>
      <c r="G105" s="15" t="str">
        <f>IFERROR(__xludf.DUMMYFUNCTION("IF(E105&gt;AVERAGE(INDEX(GOOGLEFINANCE(B105,""volume"",WORKDAY(TODAY(),-$F$1),TODAY()),,2)),""Breakout"","""")"),"")</f>
        <v/>
      </c>
      <c r="H105" s="16">
        <f>IFERROR(__xludf.DUMMYFUNCTION("GOOGLEFINANCE(B105,""price"")"),52.01)</f>
        <v>52.01</v>
      </c>
      <c r="I105" s="17">
        <f>IFERROR(__xludf.DUMMYFUNCTION("AVERAGE(QUERY(SORT(GOOGLEFINANCE(B105,""price"",TODAY()-365,TODAY()),1,0),""select Col2 limit 10""))"),53.384)</f>
        <v>53.384</v>
      </c>
      <c r="J105" s="17">
        <f>IFERROR(__xludf.DUMMYFUNCTION("AVERAGE(QUERY(SORT(GOOGLEFINANCE(B105,""price"",TODAY()-365,TODAY()),1,0),""select Col2 limit 30""))"),55.523)</f>
        <v>55.523</v>
      </c>
      <c r="K105" s="18">
        <f>IFERROR(__xludf.DUMMYFUNCTION("AVERAGE(QUERY(SORT(GOOGLEFINANCE(B105,""price"",TODAY()-365,TODAY()),1,0),""select Col2 limit 60""))"),50.7925)</f>
        <v>50.7925</v>
      </c>
      <c r="L105" s="17">
        <f>IFERROR(__xludf.DUMMYFUNCTION("AVERAGE(QUERY(SORT(GOOGLEFINANCE(B105,""price"",TODAY()-365,TODAY()),1,0),""select Col2 limit 90""))"),49.05966666666666)</f>
        <v>49.05966667</v>
      </c>
      <c r="M105" s="17">
        <f>IFERROR(__xludf.DUMMYFUNCTION("AVERAGE(QUERY(SORT(GOOGLEFINANCE(B105,""price"",TODAY()-365,TODAY()),1,0),""select Col2 limit 120""))"),49.17558333333333)</f>
        <v>49.17558333</v>
      </c>
      <c r="N105" s="19">
        <f>IFERROR(__xludf.DUMMYFUNCTION("AVERAGE(QUERY(SORT(GOOGLEFINANCE(B105,""price"",TODAY()-365,TODAY()),1,0),""select Col2 limit 200""))"),50.70724999999999)</f>
        <v>50.70725</v>
      </c>
      <c r="O105" s="20" t="str">
        <f t="shared" si="2"/>
        <v>Avoid</v>
      </c>
      <c r="P105" s="21" t="str">
        <f t="shared" si="3"/>
        <v/>
      </c>
      <c r="Q105" s="21" t="str">
        <f t="shared" si="4"/>
        <v/>
      </c>
      <c r="R105" s="22">
        <f>IFERROR(__xludf.DUMMYFUNCTION("GOOGLEFINANCE(B105, ""pe"")
"),28.89)</f>
        <v>28.89</v>
      </c>
    </row>
    <row r="106">
      <c r="A106" s="9" t="s">
        <v>119</v>
      </c>
      <c r="B106" s="11" t="str">
        <f t="shared" si="1"/>
        <v>NSE:JETFREIGHT</v>
      </c>
      <c r="C106" s="12">
        <f>IFERROR(__xludf.DUMMYFUNCTION("GOOGLEFINANCE(B106,""marketcap"")/10000000"),64.965292)</f>
        <v>64.965292</v>
      </c>
      <c r="D106" s="13">
        <f>IFERROR(__xludf.DUMMYFUNCTION("GOOGLEFINANCE(B106,""price"")"),14.02)</f>
        <v>14.02</v>
      </c>
      <c r="E106" s="14">
        <f>IFERROR(__xludf.DUMMYFUNCTION("GOOGLEFINANCE(B106,""Volume"")"),11693.0)</f>
        <v>11693</v>
      </c>
      <c r="F106" s="14">
        <f t="array" ref="F106">F105</f>
        <v>14</v>
      </c>
      <c r="G106" s="15" t="str">
        <f>IFERROR(__xludf.DUMMYFUNCTION("IF(E106&gt;AVERAGE(INDEX(GOOGLEFINANCE(B106,""volume"",WORKDAY(TODAY(),-$F$1),TODAY()),,2)),""Breakout"","""")"),"")</f>
        <v/>
      </c>
      <c r="H106" s="16">
        <f>IFERROR(__xludf.DUMMYFUNCTION("GOOGLEFINANCE(B106,""price"")"),14.02)</f>
        <v>14.02</v>
      </c>
      <c r="I106" s="17">
        <f>IFERROR(__xludf.DUMMYFUNCTION("AVERAGE(QUERY(SORT(GOOGLEFINANCE(B106,""price"",TODAY()-365,TODAY()),1,0),""select Col2 limit 10""))"),13.919999999999998)</f>
        <v>13.92</v>
      </c>
      <c r="J106" s="17">
        <f>IFERROR(__xludf.DUMMYFUNCTION("AVERAGE(QUERY(SORT(GOOGLEFINANCE(B106,""price"",TODAY()-365,TODAY()),1,0),""select Col2 limit 30""))"),13.990666666666666)</f>
        <v>13.99066667</v>
      </c>
      <c r="K106" s="18">
        <f>IFERROR(__xludf.DUMMYFUNCTION("AVERAGE(QUERY(SORT(GOOGLEFINANCE(B106,""price"",TODAY()-365,TODAY()),1,0),""select Col2 limit 60""))"),14.386333333333331)</f>
        <v>14.38633333</v>
      </c>
      <c r="L106" s="17">
        <f>IFERROR(__xludf.DUMMYFUNCTION("AVERAGE(QUERY(SORT(GOOGLEFINANCE(B106,""price"",TODAY()-365,TODAY()),1,0),""select Col2 limit 90""))"),13.699333333333334)</f>
        <v>13.69933333</v>
      </c>
      <c r="M106" s="17">
        <f>IFERROR(__xludf.DUMMYFUNCTION("AVERAGE(QUERY(SORT(GOOGLEFINANCE(B106,""price"",TODAY()-365,TODAY()),1,0),""select Col2 limit 120""))"),13.554333333333329)</f>
        <v>13.55433333</v>
      </c>
      <c r="N106" s="19">
        <f>IFERROR(__xludf.DUMMYFUNCTION("AVERAGE(QUERY(SORT(GOOGLEFINANCE(B106,""price"",TODAY()-365,TODAY()),1,0),""select Col2 limit 200""))"),14.544599999999997)</f>
        <v>14.5446</v>
      </c>
      <c r="O106" s="20" t="str">
        <f t="shared" si="2"/>
        <v>Avoid</v>
      </c>
      <c r="P106" s="21" t="str">
        <f t="shared" si="3"/>
        <v/>
      </c>
      <c r="Q106" s="21" t="str">
        <f t="shared" si="4"/>
        <v/>
      </c>
      <c r="R106" s="22">
        <f>IFERROR(__xludf.DUMMYFUNCTION("GOOGLEFINANCE(B106, ""pe"")
"),17.31)</f>
        <v>17.31</v>
      </c>
    </row>
    <row r="107">
      <c r="A107" s="9" t="s">
        <v>120</v>
      </c>
      <c r="B107" s="11" t="str">
        <f t="shared" si="1"/>
        <v>NSE:LAXMICOT</v>
      </c>
      <c r="C107" s="12">
        <f>IFERROR(__xludf.DUMMYFUNCTION("GOOGLEFINANCE(B107,""marketcap"")/10000000"),46.9845877)</f>
        <v>46.9845877</v>
      </c>
      <c r="D107" s="13">
        <f>IFERROR(__xludf.DUMMYFUNCTION("GOOGLEFINANCE(B107,""price"")"),27.4)</f>
        <v>27.4</v>
      </c>
      <c r="E107" s="14">
        <f>IFERROR(__xludf.DUMMYFUNCTION("GOOGLEFINANCE(B107,""Volume"")"),2627.0)</f>
        <v>2627</v>
      </c>
      <c r="F107" s="14">
        <f t="array" ref="F107">F106</f>
        <v>14</v>
      </c>
      <c r="G107" s="15" t="str">
        <f>IFERROR(__xludf.DUMMYFUNCTION("IF(E107&gt;AVERAGE(INDEX(GOOGLEFINANCE(B107,""volume"",WORKDAY(TODAY(),-$F$1),TODAY()),,2)),""Breakout"","""")"),"")</f>
        <v/>
      </c>
      <c r="H107" s="16">
        <f>IFERROR(__xludf.DUMMYFUNCTION("GOOGLEFINANCE(B107,""price"")"),27.4)</f>
        <v>27.4</v>
      </c>
      <c r="I107" s="17">
        <f>IFERROR(__xludf.DUMMYFUNCTION("AVERAGE(QUERY(SORT(GOOGLEFINANCE(B107,""price"",TODAY()-365,TODAY()),1,0),""select Col2 limit 10""))"),27.962)</f>
        <v>27.962</v>
      </c>
      <c r="J107" s="17">
        <f>IFERROR(__xludf.DUMMYFUNCTION("AVERAGE(QUERY(SORT(GOOGLEFINANCE(B107,""price"",TODAY()-365,TODAY()),1,0),""select Col2 limit 30""))"),28.42366666666667)</f>
        <v>28.42366667</v>
      </c>
      <c r="K107" s="18">
        <f>IFERROR(__xludf.DUMMYFUNCTION("AVERAGE(QUERY(SORT(GOOGLEFINANCE(B107,""price"",TODAY()-365,TODAY()),1,0),""select Col2 limit 60""))"),27.582500000000003)</f>
        <v>27.5825</v>
      </c>
      <c r="L107" s="17">
        <f>IFERROR(__xludf.DUMMYFUNCTION("AVERAGE(QUERY(SORT(GOOGLEFINANCE(B107,""price"",TODAY()-365,TODAY()),1,0),""select Col2 limit 90""))"),26.665444444444457)</f>
        <v>26.66544444</v>
      </c>
      <c r="M107" s="17">
        <f>IFERROR(__xludf.DUMMYFUNCTION("AVERAGE(QUERY(SORT(GOOGLEFINANCE(B107,""price"",TODAY()-365,TODAY()),1,0),""select Col2 limit 120""))"),26.247416666666677)</f>
        <v>26.24741667</v>
      </c>
      <c r="N107" s="19">
        <f>IFERROR(__xludf.DUMMYFUNCTION("AVERAGE(QUERY(SORT(GOOGLEFINANCE(B107,""price"",TODAY()-365,TODAY()),1,0),""select Col2 limit 200""))"),28.67745000000001)</f>
        <v>28.67745</v>
      </c>
      <c r="O107" s="20" t="str">
        <f t="shared" si="2"/>
        <v>Avoid</v>
      </c>
      <c r="P107" s="21" t="str">
        <f t="shared" si="3"/>
        <v>60 DMA</v>
      </c>
      <c r="Q107" s="21" t="str">
        <f t="shared" si="4"/>
        <v/>
      </c>
      <c r="R107" s="22" t="str">
        <f>IFERROR(__xludf.DUMMYFUNCTION("GOOGLEFINANCE(B107, ""pe"")
"),"#N/A")</f>
        <v>#N/A</v>
      </c>
    </row>
    <row r="108">
      <c r="A108" s="9" t="s">
        <v>121</v>
      </c>
      <c r="B108" s="11" t="str">
        <f t="shared" si="1"/>
        <v>NSE:TGBHOTELS</v>
      </c>
      <c r="C108" s="12">
        <f>IFERROR(__xludf.DUMMYFUNCTION("GOOGLEFINANCE(B108,""marketcap"")/10000000"),34.5286654)</f>
        <v>34.5286654</v>
      </c>
      <c r="D108" s="13">
        <f>IFERROR(__xludf.DUMMYFUNCTION("GOOGLEFINANCE(B108,""price"")"),11.79)</f>
        <v>11.79</v>
      </c>
      <c r="E108" s="14">
        <f>IFERROR(__xludf.DUMMYFUNCTION("GOOGLEFINANCE(B108,""Volume"")"),134708.0)</f>
        <v>134708</v>
      </c>
      <c r="F108" s="14">
        <f t="array" ref="F108">F107</f>
        <v>14</v>
      </c>
      <c r="G108" s="15" t="str">
        <f>IFERROR(__xludf.DUMMYFUNCTION("IF(E108&gt;AVERAGE(INDEX(GOOGLEFINANCE(B108,""volume"",WORKDAY(TODAY(),-$F$1),TODAY()),,2)),""Breakout"","""")"),"Breakout")</f>
        <v>Breakout</v>
      </c>
      <c r="H108" s="16">
        <f>IFERROR(__xludf.DUMMYFUNCTION("GOOGLEFINANCE(B108,""price"")"),11.79)</f>
        <v>11.79</v>
      </c>
      <c r="I108" s="17" t="str">
        <f>IFERROR(__xludf.DUMMYFUNCTION("AVERAGE(QUERY(SORT(GOOGLEFINANCE(B108,""price"",TODAY()-365,TODAY()),1,0),""select Col2 limit 10""))"),"#N/A")</f>
        <v>#N/A</v>
      </c>
      <c r="J108" s="17" t="str">
        <f>IFERROR(__xludf.DUMMYFUNCTION("AVERAGE(QUERY(SORT(GOOGLEFINANCE(B108,""price"",TODAY()-365,TODAY()),1,0),""select Col2 limit 30""))"),"#N/A")</f>
        <v>#N/A</v>
      </c>
      <c r="K108" s="18" t="str">
        <f>IFERROR(__xludf.DUMMYFUNCTION("AVERAGE(QUERY(SORT(GOOGLEFINANCE(B108,""price"",TODAY()-365,TODAY()),1,0),""select Col2 limit 60""))"),"#N/A")</f>
        <v>#N/A</v>
      </c>
      <c r="L108" s="17" t="str">
        <f>IFERROR(__xludf.DUMMYFUNCTION("AVERAGE(QUERY(SORT(GOOGLEFINANCE(B108,""price"",TODAY()-365,TODAY()),1,0),""select Col2 limit 90""))"),"#N/A")</f>
        <v>#N/A</v>
      </c>
      <c r="M108" s="17" t="str">
        <f>IFERROR(__xludf.DUMMYFUNCTION("AVERAGE(QUERY(SORT(GOOGLEFINANCE(B108,""price"",TODAY()-365,TODAY()),1,0),""select Col2 limit 120""))"),"#N/A")</f>
        <v>#N/A</v>
      </c>
      <c r="N108" s="19" t="str">
        <f>IFERROR(__xludf.DUMMYFUNCTION("AVERAGE(QUERY(SORT(GOOGLEFINANCE(B108,""price"",TODAY()-365,TODAY()),1,0),""select Col2 limit 200""))"),"#N/A")</f>
        <v>#N/A</v>
      </c>
      <c r="O108" s="20" t="str">
        <f t="shared" si="2"/>
        <v>#N/A</v>
      </c>
      <c r="P108" s="21" t="str">
        <f t="shared" si="3"/>
        <v>#N/A</v>
      </c>
      <c r="Q108" s="21" t="str">
        <f t="shared" si="4"/>
        <v>#N/A</v>
      </c>
      <c r="R108" s="22">
        <f>IFERROR(__xludf.DUMMYFUNCTION("GOOGLEFINANCE(B108, ""pe"")
"),17.88)</f>
        <v>17.88</v>
      </c>
    </row>
    <row r="109">
      <c r="A109" s="9" t="s">
        <v>122</v>
      </c>
      <c r="B109" s="11" t="str">
        <f t="shared" si="1"/>
        <v>NSE:TIJARIA</v>
      </c>
      <c r="C109" s="12">
        <f>IFERROR(__xludf.DUMMYFUNCTION("GOOGLEFINANCE(B109,""marketcap"")/10000000"),21.0977891)</f>
        <v>21.0977891</v>
      </c>
      <c r="D109" s="13">
        <f>IFERROR(__xludf.DUMMYFUNCTION("GOOGLEFINANCE(B109,""price"")"),7.37)</f>
        <v>7.37</v>
      </c>
      <c r="E109" s="14">
        <f>IFERROR(__xludf.DUMMYFUNCTION("GOOGLEFINANCE(B109,""Volume"")"),7669.0)</f>
        <v>7669</v>
      </c>
      <c r="F109" s="14">
        <f t="array" ref="F109">F108</f>
        <v>14</v>
      </c>
      <c r="G109" s="15" t="str">
        <f>IFERROR(__xludf.DUMMYFUNCTION("IF(E109&gt;AVERAGE(INDEX(GOOGLEFINANCE(B109,""volume"",WORKDAY(TODAY(),-$F$1),TODAY()),,2)),""Breakout"","""")"),"#N/A")</f>
        <v>#N/A</v>
      </c>
      <c r="H109" s="16">
        <f>IFERROR(__xludf.DUMMYFUNCTION("GOOGLEFINANCE(B109,""price"")"),7.37)</f>
        <v>7.37</v>
      </c>
      <c r="I109" s="17">
        <f>IFERROR(__xludf.DUMMYFUNCTION("AVERAGE(QUERY(SORT(GOOGLEFINANCE(B109,""price"",TODAY()-365,TODAY()),1,0),""select Col2 limit 10""))"),8.448)</f>
        <v>8.448</v>
      </c>
      <c r="J109" s="17">
        <f>IFERROR(__xludf.DUMMYFUNCTION("AVERAGE(QUERY(SORT(GOOGLEFINANCE(B109,""price"",TODAY()-365,TODAY()),1,0),""select Col2 limit 30""))"),8.135999999999997)</f>
        <v>8.136</v>
      </c>
      <c r="K109" s="18">
        <f>IFERROR(__xludf.DUMMYFUNCTION("AVERAGE(QUERY(SORT(GOOGLEFINANCE(B109,""price"",TODAY()-365,TODAY()),1,0),""select Col2 limit 60""))"),7.431833333333328)</f>
        <v>7.431833333</v>
      </c>
      <c r="L109" s="17">
        <f>IFERROR(__xludf.DUMMYFUNCTION("AVERAGE(QUERY(SORT(GOOGLEFINANCE(B109,""price"",TODAY()-365,TODAY()),1,0),""select Col2 limit 90""))"),7.004111111111106)</f>
        <v>7.004111111</v>
      </c>
      <c r="M109" s="17">
        <f>IFERROR(__xludf.DUMMYFUNCTION("AVERAGE(QUERY(SORT(GOOGLEFINANCE(B109,""price"",TODAY()-365,TODAY()),1,0),""select Col2 limit 120""))"),7.483333333333332)</f>
        <v>7.483333333</v>
      </c>
      <c r="N109" s="19">
        <f>IFERROR(__xludf.DUMMYFUNCTION("AVERAGE(QUERY(SORT(GOOGLEFINANCE(B109,""price"",TODAY()-365,TODAY()),1,0),""select Col2 limit 200""))"),8.866700000000003)</f>
        <v>8.8667</v>
      </c>
      <c r="O109" s="20" t="str">
        <f t="shared" si="2"/>
        <v>Avoid</v>
      </c>
      <c r="P109" s="21" t="str">
        <f t="shared" si="3"/>
        <v>60 DMA</v>
      </c>
      <c r="Q109" s="21" t="str">
        <f t="shared" si="4"/>
        <v/>
      </c>
      <c r="R109" s="22" t="str">
        <f>IFERROR(__xludf.DUMMYFUNCTION("GOOGLEFINANCE(B109, ""pe"")
"),"#N/A")</f>
        <v>#N/A</v>
      </c>
    </row>
    <row r="110">
      <c r="A110" s="9" t="s">
        <v>123</v>
      </c>
      <c r="B110" s="11" t="str">
        <f t="shared" si="1"/>
        <v>NSE:TECILCHEM</v>
      </c>
      <c r="C110" s="12">
        <f>IFERROR(__xludf.DUMMYFUNCTION("GOOGLEFINANCE(B110,""marketcap"")/10000000"),40.4504734)</f>
        <v>40.4504734</v>
      </c>
      <c r="D110" s="13">
        <f>IFERROR(__xludf.DUMMYFUNCTION("GOOGLEFINANCE(B110,""price"")"),21.23)</f>
        <v>21.23</v>
      </c>
      <c r="E110" s="14">
        <f>IFERROR(__xludf.DUMMYFUNCTION("GOOGLEFINANCE(B110,""Volume"")"),61.0)</f>
        <v>61</v>
      </c>
      <c r="F110" s="14">
        <f t="array" ref="F110">F109</f>
        <v>14</v>
      </c>
      <c r="G110" s="15" t="str">
        <f>IFERROR(__xludf.DUMMYFUNCTION("IF(E110&gt;AVERAGE(INDEX(GOOGLEFINANCE(B110,""volume"",WORKDAY(TODAY(),-$F$1),TODAY()),,2)),""Breakout"","""")"),"")</f>
        <v/>
      </c>
      <c r="H110" s="16">
        <f>IFERROR(__xludf.DUMMYFUNCTION("GOOGLEFINANCE(B110,""price"")"),21.23)</f>
        <v>21.23</v>
      </c>
      <c r="I110" s="17">
        <f>IFERROR(__xludf.DUMMYFUNCTION("AVERAGE(QUERY(SORT(GOOGLEFINANCE(B110,""price"",TODAY()-365,TODAY()),1,0),""select Col2 limit 10""))"),18.306999999999995)</f>
        <v>18.307</v>
      </c>
      <c r="J110" s="17">
        <f>IFERROR(__xludf.DUMMYFUNCTION("AVERAGE(QUERY(SORT(GOOGLEFINANCE(B110,""price"",TODAY()-365,TODAY()),1,0),""select Col2 limit 30""))"),19.23033333333333)</f>
        <v>19.23033333</v>
      </c>
      <c r="K110" s="18">
        <f>IFERROR(__xludf.DUMMYFUNCTION("AVERAGE(QUERY(SORT(GOOGLEFINANCE(B110,""price"",TODAY()-365,TODAY()),1,0),""select Col2 limit 60""))"),23.214666666666663)</f>
        <v>23.21466667</v>
      </c>
      <c r="L110" s="17">
        <f>IFERROR(__xludf.DUMMYFUNCTION("AVERAGE(QUERY(SORT(GOOGLEFINANCE(B110,""price"",TODAY()-365,TODAY()),1,0),""select Col2 limit 90""))"),23.555111111111117)</f>
        <v>23.55511111</v>
      </c>
      <c r="M110" s="17">
        <f>IFERROR(__xludf.DUMMYFUNCTION("AVERAGE(QUERY(SORT(GOOGLEFINANCE(B110,""price"",TODAY()-365,TODAY()),1,0),""select Col2 limit 120""))"),23.964916666666667)</f>
        <v>23.96491667</v>
      </c>
      <c r="N110" s="19">
        <f>IFERROR(__xludf.DUMMYFUNCTION("AVERAGE(QUERY(SORT(GOOGLEFINANCE(B110,""price"",TODAY()-365,TODAY()),1,0),""select Col2 limit 200""))"),24.132600000000014)</f>
        <v>24.1326</v>
      </c>
      <c r="O110" s="20" t="str">
        <f t="shared" si="2"/>
        <v>Avoid</v>
      </c>
      <c r="P110" s="21" t="str">
        <f t="shared" si="3"/>
        <v/>
      </c>
      <c r="Q110" s="21" t="str">
        <f t="shared" si="4"/>
        <v/>
      </c>
      <c r="R110" s="22" t="str">
        <f>IFERROR(__xludf.DUMMYFUNCTION("GOOGLEFINANCE(B110, ""pe"")
"),"#N/A")</f>
        <v>#N/A</v>
      </c>
    </row>
    <row r="111">
      <c r="A111" s="9" t="s">
        <v>124</v>
      </c>
      <c r="B111" s="11" t="str">
        <f t="shared" si="1"/>
        <v>NSE:HAVISHA</v>
      </c>
      <c r="C111" s="12">
        <f>IFERROR(__xludf.DUMMYFUNCTION("GOOGLEFINANCE(B111,""marketcap"")/10000000"),32.2424955)</f>
        <v>32.2424955</v>
      </c>
      <c r="D111" s="13">
        <f>IFERROR(__xludf.DUMMYFUNCTION("GOOGLEFINANCE(B111,""price"")"),2.1)</f>
        <v>2.1</v>
      </c>
      <c r="E111" s="14">
        <f>IFERROR(__xludf.DUMMYFUNCTION("GOOGLEFINANCE(B111,""Volume"")"),13263.0)</f>
        <v>13263</v>
      </c>
      <c r="F111" s="14">
        <f t="array" ref="F111">F110</f>
        <v>14</v>
      </c>
      <c r="G111" s="15" t="str">
        <f>IFERROR(__xludf.DUMMYFUNCTION("IF(E111&gt;AVERAGE(INDEX(GOOGLEFINANCE(B111,""volume"",WORKDAY(TODAY(),-$F$1),TODAY()),,2)),""Breakout"","""")"),"")</f>
        <v/>
      </c>
      <c r="H111" s="16">
        <f>IFERROR(__xludf.DUMMYFUNCTION("GOOGLEFINANCE(B111,""price"")"),2.1)</f>
        <v>2.1</v>
      </c>
      <c r="I111" s="17">
        <f>IFERROR(__xludf.DUMMYFUNCTION("AVERAGE(QUERY(SORT(GOOGLEFINANCE(B111,""price"",TODAY()-365,TODAY()),1,0),""select Col2 limit 10""))"),2.168)</f>
        <v>2.168</v>
      </c>
      <c r="J111" s="17">
        <f>IFERROR(__xludf.DUMMYFUNCTION("AVERAGE(QUERY(SORT(GOOGLEFINANCE(B111,""price"",TODAY()-365,TODAY()),1,0),""select Col2 limit 30""))"),2.269)</f>
        <v>2.269</v>
      </c>
      <c r="K111" s="18">
        <f>IFERROR(__xludf.DUMMYFUNCTION("AVERAGE(QUERY(SORT(GOOGLEFINANCE(B111,""price"",TODAY()-365,TODAY()),1,0),""select Col2 limit 60""))"),2.172833333333334)</f>
        <v>2.172833333</v>
      </c>
      <c r="L111" s="17">
        <f>IFERROR(__xludf.DUMMYFUNCTION("AVERAGE(QUERY(SORT(GOOGLEFINANCE(B111,""price"",TODAY()-365,TODAY()),1,0),""select Col2 limit 90""))"),2.1494444444444456)</f>
        <v>2.149444444</v>
      </c>
      <c r="M111" s="17">
        <f>IFERROR(__xludf.DUMMYFUNCTION("AVERAGE(QUERY(SORT(GOOGLEFINANCE(B111,""price"",TODAY()-365,TODAY()),1,0),""select Col2 limit 120""))"),2.1404166666666673)</f>
        <v>2.140416667</v>
      </c>
      <c r="N111" s="19">
        <f>IFERROR(__xludf.DUMMYFUNCTION("AVERAGE(QUERY(SORT(GOOGLEFINANCE(B111,""price"",TODAY()-365,TODAY()),1,0),""select Col2 limit 200""))"),2.3017500000000006)</f>
        <v>2.30175</v>
      </c>
      <c r="O111" s="20" t="str">
        <f t="shared" si="2"/>
        <v>Avoid</v>
      </c>
      <c r="P111" s="21" t="str">
        <f t="shared" si="3"/>
        <v/>
      </c>
      <c r="Q111" s="21" t="str">
        <f t="shared" si="4"/>
        <v/>
      </c>
      <c r="R111" s="22" t="str">
        <f>IFERROR(__xludf.DUMMYFUNCTION("GOOGLEFINANCE(B111, ""pe"")
"),"#N/A")</f>
        <v>#N/A</v>
      </c>
    </row>
    <row r="112">
      <c r="A112" s="9" t="s">
        <v>125</v>
      </c>
      <c r="B112" s="11" t="str">
        <f t="shared" si="1"/>
        <v>NSE:UNIINFO</v>
      </c>
      <c r="C112" s="12">
        <f>IFERROR(__xludf.DUMMYFUNCTION("GOOGLEFINANCE(B112,""marketcap"")/10000000"),22.1775098)</f>
        <v>22.1775098</v>
      </c>
      <c r="D112" s="13">
        <f>IFERROR(__xludf.DUMMYFUNCTION("GOOGLEFINANCE(B112,""price"")"),20.74)</f>
        <v>20.74</v>
      </c>
      <c r="E112" s="14">
        <f>IFERROR(__xludf.DUMMYFUNCTION("GOOGLEFINANCE(B112,""Volume"")"),1454.0)</f>
        <v>1454</v>
      </c>
      <c r="F112" s="14">
        <f t="array" ref="F112">F111</f>
        <v>14</v>
      </c>
      <c r="G112" s="15" t="str">
        <f>IFERROR(__xludf.DUMMYFUNCTION("IF(E112&gt;AVERAGE(INDEX(GOOGLEFINANCE(B112,""volume"",WORKDAY(TODAY(),-$F$1),TODAY()),,2)),""Breakout"","""")"),"")</f>
        <v/>
      </c>
      <c r="H112" s="16">
        <f>IFERROR(__xludf.DUMMYFUNCTION("GOOGLEFINANCE(B112,""price"")"),20.74)</f>
        <v>20.74</v>
      </c>
      <c r="I112" s="17">
        <f>IFERROR(__xludf.DUMMYFUNCTION("AVERAGE(QUERY(SORT(GOOGLEFINANCE(B112,""price"",TODAY()-365,TODAY()),1,0),""select Col2 limit 10""))"),20.868000000000002)</f>
        <v>20.868</v>
      </c>
      <c r="J112" s="17">
        <f>IFERROR(__xludf.DUMMYFUNCTION("AVERAGE(QUERY(SORT(GOOGLEFINANCE(B112,""price"",TODAY()-365,TODAY()),1,0),""select Col2 limit 30""))"),19.163000000000004)</f>
        <v>19.163</v>
      </c>
      <c r="K112" s="18">
        <f>IFERROR(__xludf.DUMMYFUNCTION("AVERAGE(QUERY(SORT(GOOGLEFINANCE(B112,""price"",TODAY()-365,TODAY()),1,0),""select Col2 limit 60""))"),18.3875)</f>
        <v>18.3875</v>
      </c>
      <c r="L112" s="17">
        <f>IFERROR(__xludf.DUMMYFUNCTION("AVERAGE(QUERY(SORT(GOOGLEFINANCE(B112,""price"",TODAY()-365,TODAY()),1,0),""select Col2 limit 90""))"),17.763444444444445)</f>
        <v>17.76344444</v>
      </c>
      <c r="M112" s="17">
        <f>IFERROR(__xludf.DUMMYFUNCTION("AVERAGE(QUERY(SORT(GOOGLEFINANCE(B112,""price"",TODAY()-365,TODAY()),1,0),""select Col2 limit 120""))"),20.07366666666667)</f>
        <v>20.07366667</v>
      </c>
      <c r="N112" s="19">
        <f>IFERROR(__xludf.DUMMYFUNCTION("AVERAGE(QUERY(SORT(GOOGLEFINANCE(B112,""price"",TODAY()-365,TODAY()),1,0),""select Col2 limit 200""))"),26.31195000000001)</f>
        <v>26.31195</v>
      </c>
      <c r="O112" s="20" t="str">
        <f t="shared" si="2"/>
        <v>Avoid</v>
      </c>
      <c r="P112" s="21" t="str">
        <f t="shared" si="3"/>
        <v>10 DMA</v>
      </c>
      <c r="Q112" s="21" t="str">
        <f t="shared" si="4"/>
        <v/>
      </c>
      <c r="R112" s="22" t="str">
        <f>IFERROR(__xludf.DUMMYFUNCTION("GOOGLEFINANCE(B112, ""pe"")
"),"#N/A")</f>
        <v>#N/A</v>
      </c>
    </row>
    <row r="113">
      <c r="A113" s="9" t="s">
        <v>126</v>
      </c>
      <c r="B113" s="11" t="str">
        <f t="shared" si="1"/>
        <v>NSE:ANTGRAPHIC</v>
      </c>
      <c r="C113" s="12">
        <f>IFERROR(__xludf.DUMMYFUNCTION("GOOGLEFINANCE(B113,""marketcap"")/10000000"),17.6710941)</f>
        <v>17.6710941</v>
      </c>
      <c r="D113" s="13">
        <f>IFERROR(__xludf.DUMMYFUNCTION("GOOGLEFINANCE(B113,""price"")"),1.14)</f>
        <v>1.14</v>
      </c>
      <c r="E113" s="14">
        <f>IFERROR(__xludf.DUMMYFUNCTION("GOOGLEFINANCE(B113,""Volume"")"),130727.0)</f>
        <v>130727</v>
      </c>
      <c r="F113" s="14">
        <f t="array" ref="F113">F112</f>
        <v>14</v>
      </c>
      <c r="G113" s="15" t="str">
        <f>IFERROR(__xludf.DUMMYFUNCTION("IF(E113&gt;AVERAGE(INDEX(GOOGLEFINANCE(B113,""volume"",WORKDAY(TODAY(),-$F$1),TODAY()),,2)),""Breakout"","""")"),"")</f>
        <v/>
      </c>
      <c r="H113" s="16">
        <f>IFERROR(__xludf.DUMMYFUNCTION("GOOGLEFINANCE(B113,""price"")"),1.14)</f>
        <v>1.14</v>
      </c>
      <c r="I113" s="17">
        <f>IFERROR(__xludf.DUMMYFUNCTION("AVERAGE(QUERY(SORT(GOOGLEFINANCE(B113,""price"",TODAY()-365,TODAY()),1,0),""select Col2 limit 10""))"),1.1789999999999998)</f>
        <v>1.179</v>
      </c>
      <c r="J113" s="17">
        <f>IFERROR(__xludf.DUMMYFUNCTION("AVERAGE(QUERY(SORT(GOOGLEFINANCE(B113,""price"",TODAY()-365,TODAY()),1,0),""select Col2 limit 30""))"),1.2476666666666671)</f>
        <v>1.247666667</v>
      </c>
      <c r="K113" s="18">
        <f>IFERROR(__xludf.DUMMYFUNCTION("AVERAGE(QUERY(SORT(GOOGLEFINANCE(B113,""price"",TODAY()-365,TODAY()),1,0),""select Col2 limit 60""))"),1.1605000000000005)</f>
        <v>1.1605</v>
      </c>
      <c r="L113" s="17">
        <f>IFERROR(__xludf.DUMMYFUNCTION("AVERAGE(QUERY(SORT(GOOGLEFINANCE(B113,""price"",TODAY()-365,TODAY()),1,0),""select Col2 limit 90""))"),1.1155555555555563)</f>
        <v>1.115555556</v>
      </c>
      <c r="M113" s="17">
        <f>IFERROR(__xludf.DUMMYFUNCTION("AVERAGE(QUERY(SORT(GOOGLEFINANCE(B113,""price"",TODAY()-365,TODAY()),1,0),""select Col2 limit 120""))"),1.1229166666666672)</f>
        <v>1.122916667</v>
      </c>
      <c r="N113" s="19">
        <f>IFERROR(__xludf.DUMMYFUNCTION("AVERAGE(QUERY(SORT(GOOGLEFINANCE(B113,""price"",TODAY()-365,TODAY()),1,0),""select Col2 limit 200""))"),1.2932499999999998)</f>
        <v>1.29325</v>
      </c>
      <c r="O113" s="20" t="str">
        <f t="shared" si="2"/>
        <v>Avoid</v>
      </c>
      <c r="P113" s="21" t="str">
        <f t="shared" si="3"/>
        <v/>
      </c>
      <c r="Q113" s="21" t="str">
        <f t="shared" si="4"/>
        <v/>
      </c>
      <c r="R113" s="22" t="str">
        <f>IFERROR(__xludf.DUMMYFUNCTION("GOOGLEFINANCE(B113, ""pe"")
"),"#N/A")</f>
        <v>#N/A</v>
      </c>
    </row>
    <row r="114">
      <c r="A114" s="9" t="s">
        <v>127</v>
      </c>
      <c r="B114" s="11" t="str">
        <f t="shared" si="1"/>
        <v>NSE:SADHNANIQ</v>
      </c>
      <c r="C114" s="12">
        <f>IFERROR(__xludf.DUMMYFUNCTION("GOOGLEFINANCE(B114,""marketcap"")/10000000"),242.7627058)</f>
        <v>242.7627058</v>
      </c>
      <c r="D114" s="13">
        <f>IFERROR(__xludf.DUMMYFUNCTION("GOOGLEFINANCE(B114,""price"")"),7.36)</f>
        <v>7.36</v>
      </c>
      <c r="E114" s="14">
        <f>IFERROR(__xludf.DUMMYFUNCTION("GOOGLEFINANCE(B114,""Volume"")"),146847.0)</f>
        <v>146847</v>
      </c>
      <c r="F114" s="14">
        <f t="array" ref="F114">F113</f>
        <v>14</v>
      </c>
      <c r="G114" s="15" t="str">
        <f>IFERROR(__xludf.DUMMYFUNCTION("IF(E114&gt;AVERAGE(INDEX(GOOGLEFINANCE(B114,""volume"",WORKDAY(TODAY(),-$F$1),TODAY()),,2)),""Breakout"","""")"),"")</f>
        <v/>
      </c>
      <c r="H114" s="16">
        <f>IFERROR(__xludf.DUMMYFUNCTION("GOOGLEFINANCE(B114,""price"")"),7.36)</f>
        <v>7.36</v>
      </c>
      <c r="I114" s="17">
        <f>IFERROR(__xludf.DUMMYFUNCTION("AVERAGE(QUERY(SORT(GOOGLEFINANCE(B114,""price"",TODAY()-365,TODAY()),1,0),""select Col2 limit 10""))"),7.546000000000001)</f>
        <v>7.546</v>
      </c>
      <c r="J114" s="17">
        <f>IFERROR(__xludf.DUMMYFUNCTION("AVERAGE(QUERY(SORT(GOOGLEFINANCE(B114,""price"",TODAY()-365,TODAY()),1,0),""select Col2 limit 30""))"),8.957)</f>
        <v>8.957</v>
      </c>
      <c r="K114" s="18">
        <f>IFERROR(__xludf.DUMMYFUNCTION("AVERAGE(QUERY(SORT(GOOGLEFINANCE(B114,""price"",TODAY()-365,TODAY()),1,0),""select Col2 limit 60""))"),14.391)</f>
        <v>14.391</v>
      </c>
      <c r="L114" s="17">
        <f>IFERROR(__xludf.DUMMYFUNCTION("AVERAGE(QUERY(SORT(GOOGLEFINANCE(B114,""price"",TODAY()-365,TODAY()),1,0),""select Col2 limit 90""))"),16.358111111111107)</f>
        <v>16.35811111</v>
      </c>
      <c r="M114" s="17">
        <f>IFERROR(__xludf.DUMMYFUNCTION("AVERAGE(QUERY(SORT(GOOGLEFINANCE(B114,""price"",TODAY()-365,TODAY()),1,0),""select Col2 limit 120""))"),19.263499999999997)</f>
        <v>19.2635</v>
      </c>
      <c r="N114" s="19">
        <f>IFERROR(__xludf.DUMMYFUNCTION("AVERAGE(QUERY(SORT(GOOGLEFINANCE(B114,""price"",TODAY()-365,TODAY()),1,0),""select Col2 limit 200""))"),30.207199999999993)</f>
        <v>30.2072</v>
      </c>
      <c r="O114" s="20" t="str">
        <f t="shared" si="2"/>
        <v>Avoid</v>
      </c>
      <c r="P114" s="21" t="str">
        <f t="shared" si="3"/>
        <v/>
      </c>
      <c r="Q114" s="21" t="str">
        <f t="shared" si="4"/>
        <v/>
      </c>
      <c r="R114" s="22">
        <f>IFERROR(__xludf.DUMMYFUNCTION("GOOGLEFINANCE(B114, ""pe"")
"),32.0)</f>
        <v>32</v>
      </c>
    </row>
    <row r="115">
      <c r="A115" s="9" t="s">
        <v>128</v>
      </c>
      <c r="B115" s="11" t="str">
        <f t="shared" si="1"/>
        <v>NSE:CAMLINFINE</v>
      </c>
      <c r="C115" s="12">
        <f>IFERROR(__xludf.DUMMYFUNCTION("GOOGLEFINANCE(B115,""marketcap"")/10000000"),4799.5022253)</f>
        <v>4799.502225</v>
      </c>
      <c r="D115" s="13">
        <f>IFERROR(__xludf.DUMMYFUNCTION("GOOGLEFINANCE(B115,""price"")"),255.4)</f>
        <v>255.4</v>
      </c>
      <c r="E115" s="14">
        <f>IFERROR(__xludf.DUMMYFUNCTION("GOOGLEFINANCE(B115,""Volume"")"),263159.0)</f>
        <v>263159</v>
      </c>
      <c r="F115" s="14">
        <f t="array" ref="F115">F114</f>
        <v>14</v>
      </c>
      <c r="G115" s="15" t="str">
        <f>IFERROR(__xludf.DUMMYFUNCTION("IF(E115&gt;AVERAGE(INDEX(GOOGLEFINANCE(B115,""volume"",WORKDAY(TODAY(),-$F$1),TODAY()),,2)),""Breakout"","""")"),"#N/A")</f>
        <v>#N/A</v>
      </c>
      <c r="H115" s="16">
        <f>IFERROR(__xludf.DUMMYFUNCTION("GOOGLEFINANCE(B115,""price"")"),255.4)</f>
        <v>255.4</v>
      </c>
      <c r="I115" s="17">
        <f>IFERROR(__xludf.DUMMYFUNCTION("AVERAGE(QUERY(SORT(GOOGLEFINANCE(B115,""price"",TODAY()-365,TODAY()),1,0),""select Col2 limit 10""))"),288.64500000000004)</f>
        <v>288.645</v>
      </c>
      <c r="J115" s="17">
        <f>IFERROR(__xludf.DUMMYFUNCTION("AVERAGE(QUERY(SORT(GOOGLEFINANCE(B115,""price"",TODAY()-365,TODAY()),1,0),""select Col2 limit 30""))"),301.1350000000001)</f>
        <v>301.135</v>
      </c>
      <c r="K115" s="18">
        <f>IFERROR(__xludf.DUMMYFUNCTION("AVERAGE(QUERY(SORT(GOOGLEFINANCE(B115,""price"",TODAY()-365,TODAY()),1,0),""select Col2 limit 60""))"),260.45716666666675)</f>
        <v>260.4571667</v>
      </c>
      <c r="L115" s="17">
        <f>IFERROR(__xludf.DUMMYFUNCTION("AVERAGE(QUERY(SORT(GOOGLEFINANCE(B115,""price"",TODAY()-365,TODAY()),1,0),""select Col2 limit 90""))"),228.6806666666667)</f>
        <v>228.6806667</v>
      </c>
      <c r="M115" s="17">
        <f>IFERROR(__xludf.DUMMYFUNCTION("AVERAGE(QUERY(SORT(GOOGLEFINANCE(B115,""price"",TODAY()-365,TODAY()),1,0),""select Col2 limit 120""))"),208.0611666666668)</f>
        <v>208.0611667</v>
      </c>
      <c r="N115" s="19">
        <f>IFERROR(__xludf.DUMMYFUNCTION("AVERAGE(QUERY(SORT(GOOGLEFINANCE(B115,""price"",TODAY()-365,TODAY()),1,0),""select Col2 limit 200""))"),171.31944999999996)</f>
        <v>171.31945</v>
      </c>
      <c r="O115" s="20" t="str">
        <f t="shared" si="2"/>
        <v>Avoid</v>
      </c>
      <c r="P115" s="21" t="str">
        <f t="shared" si="3"/>
        <v/>
      </c>
      <c r="Q115" s="21" t="str">
        <f t="shared" si="4"/>
        <v/>
      </c>
      <c r="R115" s="22">
        <f>IFERROR(__xludf.DUMMYFUNCTION("GOOGLEFINANCE(B115, ""pe"")
"),64.58)</f>
        <v>64.58</v>
      </c>
    </row>
    <row r="116">
      <c r="A116" s="9" t="s">
        <v>129</v>
      </c>
      <c r="B116" s="11" t="str">
        <f t="shared" si="1"/>
        <v>NSE:ONMOBILE</v>
      </c>
      <c r="C116" s="12">
        <f>IFERROR(__xludf.DUMMYFUNCTION("GOOGLEFINANCE(B116,""marketcap"")/10000000"),537.3478599)</f>
        <v>537.3478599</v>
      </c>
      <c r="D116" s="13">
        <f>IFERROR(__xludf.DUMMYFUNCTION("GOOGLEFINANCE(B116,""price"")"),50.65)</f>
        <v>50.65</v>
      </c>
      <c r="E116" s="14">
        <f>IFERROR(__xludf.DUMMYFUNCTION("GOOGLEFINANCE(B116,""Volume"")"),167555.0)</f>
        <v>167555</v>
      </c>
      <c r="F116" s="14">
        <f t="array" ref="F116">F115</f>
        <v>14</v>
      </c>
      <c r="G116" s="15" t="str">
        <f>IFERROR(__xludf.DUMMYFUNCTION("IF(E116&gt;AVERAGE(INDEX(GOOGLEFINANCE(B116,""volume"",WORKDAY(TODAY(),-$F$1),TODAY()),,2)),""Breakout"","""")"),"")</f>
        <v/>
      </c>
      <c r="H116" s="16">
        <f>IFERROR(__xludf.DUMMYFUNCTION("GOOGLEFINANCE(B116,""price"")"),50.65)</f>
        <v>50.65</v>
      </c>
      <c r="I116" s="17">
        <f>IFERROR(__xludf.DUMMYFUNCTION("AVERAGE(QUERY(SORT(GOOGLEFINANCE(B116,""price"",TODAY()-365,TODAY()),1,0),""select Col2 limit 10""))"),53.89399999999999)</f>
        <v>53.894</v>
      </c>
      <c r="J116" s="17">
        <f>IFERROR(__xludf.DUMMYFUNCTION("AVERAGE(QUERY(SORT(GOOGLEFINANCE(B116,""price"",TODAY()-365,TODAY()),1,0),""select Col2 limit 30""))"),53.61866666666667)</f>
        <v>53.61866667</v>
      </c>
      <c r="K116" s="18">
        <f>IFERROR(__xludf.DUMMYFUNCTION("AVERAGE(QUERY(SORT(GOOGLEFINANCE(B116,""price"",TODAY()-365,TODAY()),1,0),""select Col2 limit 60""))"),53.19933333333335)</f>
        <v>53.19933333</v>
      </c>
      <c r="L116" s="17">
        <f>IFERROR(__xludf.DUMMYFUNCTION("AVERAGE(QUERY(SORT(GOOGLEFINANCE(B116,""price"",TODAY()-365,TODAY()),1,0),""select Col2 limit 90""))"),51.28144444444445)</f>
        <v>51.28144444</v>
      </c>
      <c r="M116" s="17">
        <f>IFERROR(__xludf.DUMMYFUNCTION("AVERAGE(QUERY(SORT(GOOGLEFINANCE(B116,""price"",TODAY()-365,TODAY()),1,0),""select Col2 limit 120""))"),52.44925000000001)</f>
        <v>52.44925</v>
      </c>
      <c r="N116" s="19">
        <f>IFERROR(__xludf.DUMMYFUNCTION("AVERAGE(QUERY(SORT(GOOGLEFINANCE(B116,""price"",TODAY()-365,TODAY()),1,0),""select Col2 limit 200""))"),61.53705000000003)</f>
        <v>61.53705</v>
      </c>
      <c r="O116" s="20" t="str">
        <f t="shared" si="2"/>
        <v>Avoid</v>
      </c>
      <c r="P116" s="21" t="str">
        <f t="shared" si="3"/>
        <v/>
      </c>
      <c r="Q116" s="21" t="str">
        <f t="shared" si="4"/>
        <v/>
      </c>
      <c r="R116" s="22" t="str">
        <f>IFERROR(__xludf.DUMMYFUNCTION("GOOGLEFINANCE(B116, ""pe"")
"),"#N/A")</f>
        <v>#N/A</v>
      </c>
    </row>
    <row r="117">
      <c r="A117" s="9" t="s">
        <v>130</v>
      </c>
      <c r="B117" s="11" t="str">
        <f t="shared" si="1"/>
        <v>NSE:BIRLACABLE</v>
      </c>
      <c r="C117" s="12">
        <f>IFERROR(__xludf.DUMMYFUNCTION("GOOGLEFINANCE(B117,""marketcap"")/10000000"),510.821973)</f>
        <v>510.821973</v>
      </c>
      <c r="D117" s="13">
        <f>IFERROR(__xludf.DUMMYFUNCTION("GOOGLEFINANCE(B117,""price"")"),170.6)</f>
        <v>170.6</v>
      </c>
      <c r="E117" s="14">
        <f>IFERROR(__xludf.DUMMYFUNCTION("GOOGLEFINANCE(B117,""Volume"")"),4070.0)</f>
        <v>4070</v>
      </c>
      <c r="F117" s="14">
        <f t="array" ref="F117">F116</f>
        <v>14</v>
      </c>
      <c r="G117" s="15" t="str">
        <f>IFERROR(__xludf.DUMMYFUNCTION("IF(E117&gt;AVERAGE(INDEX(GOOGLEFINANCE(B117,""volume"",WORKDAY(TODAY(),-$F$1),TODAY()),,2)),""Breakout"","""")"),"")</f>
        <v/>
      </c>
      <c r="H117" s="16">
        <f>IFERROR(__xludf.DUMMYFUNCTION("GOOGLEFINANCE(B117,""price"")"),170.6)</f>
        <v>170.6</v>
      </c>
      <c r="I117" s="17">
        <f>IFERROR(__xludf.DUMMYFUNCTION("AVERAGE(QUERY(SORT(GOOGLEFINANCE(B117,""price"",TODAY()-365,TODAY()),1,0),""select Col2 limit 10""))"),176.23600000000002)</f>
        <v>176.236</v>
      </c>
      <c r="J117" s="17">
        <f>IFERROR(__xludf.DUMMYFUNCTION("AVERAGE(QUERY(SORT(GOOGLEFINANCE(B117,""price"",TODAY()-365,TODAY()),1,0),""select Col2 limit 30""))"),180.63066666666666)</f>
        <v>180.6306667</v>
      </c>
      <c r="K117" s="18">
        <f>IFERROR(__xludf.DUMMYFUNCTION("AVERAGE(QUERY(SORT(GOOGLEFINANCE(B117,""price"",TODAY()-365,TODAY()),1,0),""select Col2 limit 60""))"),176.1101666666667)</f>
        <v>176.1101667</v>
      </c>
      <c r="L117" s="17">
        <f>IFERROR(__xludf.DUMMYFUNCTION("AVERAGE(QUERY(SORT(GOOGLEFINANCE(B117,""price"",TODAY()-365,TODAY()),1,0),""select Col2 limit 90""))"),166.7203333333334)</f>
        <v>166.7203333</v>
      </c>
      <c r="M117" s="17">
        <f>IFERROR(__xludf.DUMMYFUNCTION("AVERAGE(QUERY(SORT(GOOGLEFINANCE(B117,""price"",TODAY()-365,TODAY()),1,0),""select Col2 limit 120""))"),164.9305000000001)</f>
        <v>164.9305</v>
      </c>
      <c r="N117" s="19">
        <f>IFERROR(__xludf.DUMMYFUNCTION("AVERAGE(QUERY(SORT(GOOGLEFINANCE(B117,""price"",TODAY()-365,TODAY()),1,0),""select Col2 limit 200""))"),186.01180000000008)</f>
        <v>186.0118</v>
      </c>
      <c r="O117" s="20" t="str">
        <f t="shared" si="2"/>
        <v>Avoid</v>
      </c>
      <c r="P117" s="21" t="str">
        <f t="shared" si="3"/>
        <v/>
      </c>
      <c r="Q117" s="21" t="str">
        <f t="shared" si="4"/>
        <v/>
      </c>
      <c r="R117" s="22">
        <f>IFERROR(__xludf.DUMMYFUNCTION("GOOGLEFINANCE(B117, ""pe"")
"),105.17)</f>
        <v>105.17</v>
      </c>
    </row>
    <row r="118">
      <c r="A118" s="9" t="s">
        <v>131</v>
      </c>
      <c r="B118" s="11" t="str">
        <f t="shared" si="1"/>
        <v>NSE:LOTUSEYE</v>
      </c>
      <c r="C118" s="12">
        <f>IFERROR(__xludf.DUMMYFUNCTION("GOOGLEFINANCE(B118,""marketcap"")/10000000"),150.8565797)</f>
        <v>150.8565797</v>
      </c>
      <c r="D118" s="13">
        <f>IFERROR(__xludf.DUMMYFUNCTION("GOOGLEFINANCE(B118,""price"")"),72.54)</f>
        <v>72.54</v>
      </c>
      <c r="E118" s="14">
        <f>IFERROR(__xludf.DUMMYFUNCTION("GOOGLEFINANCE(B118,""Volume"")"),8223.0)</f>
        <v>8223</v>
      </c>
      <c r="F118" s="14">
        <f t="array" ref="F118">F117</f>
        <v>14</v>
      </c>
      <c r="G118" s="15" t="str">
        <f>IFERROR(__xludf.DUMMYFUNCTION("IF(E118&gt;AVERAGE(INDEX(GOOGLEFINANCE(B118,""volume"",WORKDAY(TODAY(),-$F$1),TODAY()),,2)),""Breakout"","""")"),"")</f>
        <v/>
      </c>
      <c r="H118" s="16">
        <f>IFERROR(__xludf.DUMMYFUNCTION("GOOGLEFINANCE(B118,""price"")"),72.54)</f>
        <v>72.54</v>
      </c>
      <c r="I118" s="17">
        <f>IFERROR(__xludf.DUMMYFUNCTION("AVERAGE(QUERY(SORT(GOOGLEFINANCE(B118,""price"",TODAY()-365,TODAY()),1,0),""select Col2 limit 10""))"),74.832)</f>
        <v>74.832</v>
      </c>
      <c r="J118" s="17">
        <f>IFERROR(__xludf.DUMMYFUNCTION("AVERAGE(QUERY(SORT(GOOGLEFINANCE(B118,""price"",TODAY()-365,TODAY()),1,0),""select Col2 limit 30""))"),72.95533333333334)</f>
        <v>72.95533333</v>
      </c>
      <c r="K118" s="18">
        <f>IFERROR(__xludf.DUMMYFUNCTION("AVERAGE(QUERY(SORT(GOOGLEFINANCE(B118,""price"",TODAY()-365,TODAY()),1,0),""select Col2 limit 60""))"),73.11266666666666)</f>
        <v>73.11266667</v>
      </c>
      <c r="L118" s="17">
        <f>IFERROR(__xludf.DUMMYFUNCTION("AVERAGE(QUERY(SORT(GOOGLEFINANCE(B118,""price"",TODAY()-365,TODAY()),1,0),""select Col2 limit 90""))"),71.27333333333331)</f>
        <v>71.27333333</v>
      </c>
      <c r="M118" s="17">
        <f>IFERROR(__xludf.DUMMYFUNCTION("AVERAGE(QUERY(SORT(GOOGLEFINANCE(B118,""price"",TODAY()-365,TODAY()),1,0),""select Col2 limit 120""))"),68.90591666666663)</f>
        <v>68.90591667</v>
      </c>
      <c r="N118" s="19">
        <f>IFERROR(__xludf.DUMMYFUNCTION("AVERAGE(QUERY(SORT(GOOGLEFINANCE(B118,""price"",TODAY()-365,TODAY()),1,0),""select Col2 limit 200""))"),69.2862)</f>
        <v>69.2862</v>
      </c>
      <c r="O118" s="20" t="str">
        <f t="shared" si="2"/>
        <v>Avoid</v>
      </c>
      <c r="P118" s="21" t="str">
        <f t="shared" si="3"/>
        <v>30 DMA</v>
      </c>
      <c r="Q118" s="21" t="str">
        <f t="shared" si="4"/>
        <v/>
      </c>
      <c r="R118" s="22">
        <f>IFERROR(__xludf.DUMMYFUNCTION("GOOGLEFINANCE(B118, ""pe"")
"),201.5)</f>
        <v>201.5</v>
      </c>
    </row>
    <row r="119">
      <c r="A119" s="9" t="s">
        <v>132</v>
      </c>
      <c r="B119" s="11" t="str">
        <f t="shared" si="1"/>
        <v>NSE:LATTEYS</v>
      </c>
      <c r="C119" s="12">
        <f>IFERROR(__xludf.DUMMYFUNCTION("GOOGLEFINANCE(B119,""marketcap"")/10000000"),124.9959113)</f>
        <v>124.9959113</v>
      </c>
      <c r="D119" s="13">
        <f>IFERROR(__xludf.DUMMYFUNCTION("GOOGLEFINANCE(B119,""price"")"),21.74)</f>
        <v>21.74</v>
      </c>
      <c r="E119" s="14">
        <f>IFERROR(__xludf.DUMMYFUNCTION("GOOGLEFINANCE(B119,""Volume"")"),16123.0)</f>
        <v>16123</v>
      </c>
      <c r="F119" s="14">
        <f t="array" ref="F119">F118</f>
        <v>14</v>
      </c>
      <c r="G119" s="15" t="str">
        <f>IFERROR(__xludf.DUMMYFUNCTION("IF(E119&gt;AVERAGE(INDEX(GOOGLEFINANCE(B119,""volume"",WORKDAY(TODAY(),-$F$1),TODAY()),,2)),""Breakout"","""")"),"")</f>
        <v/>
      </c>
      <c r="H119" s="16">
        <f>IFERROR(__xludf.DUMMYFUNCTION("GOOGLEFINANCE(B119,""price"")"),21.74)</f>
        <v>21.74</v>
      </c>
      <c r="I119" s="17">
        <f>IFERROR(__xludf.DUMMYFUNCTION("AVERAGE(QUERY(SORT(GOOGLEFINANCE(B119,""price"",TODAY()-365,TODAY()),1,0),""select Col2 limit 10""))"),22.694)</f>
        <v>22.694</v>
      </c>
      <c r="J119" s="17">
        <f>IFERROR(__xludf.DUMMYFUNCTION("AVERAGE(QUERY(SORT(GOOGLEFINANCE(B119,""price"",TODAY()-365,TODAY()),1,0),""select Col2 limit 30""))"),22.766000000000002)</f>
        <v>22.766</v>
      </c>
      <c r="K119" s="18">
        <f>IFERROR(__xludf.DUMMYFUNCTION("AVERAGE(QUERY(SORT(GOOGLEFINANCE(B119,""price"",TODAY()-365,TODAY()),1,0),""select Col2 limit 60""))"),22.14033333333333)</f>
        <v>22.14033333</v>
      </c>
      <c r="L119" s="17">
        <f>IFERROR(__xludf.DUMMYFUNCTION("AVERAGE(QUERY(SORT(GOOGLEFINANCE(B119,""price"",TODAY()-365,TODAY()),1,0),""select Col2 limit 90""))"),21.41177777777778)</f>
        <v>21.41177778</v>
      </c>
      <c r="M119" s="17">
        <f>IFERROR(__xludf.DUMMYFUNCTION("AVERAGE(QUERY(SORT(GOOGLEFINANCE(B119,""price"",TODAY()-365,TODAY()),1,0),""select Col2 limit 120""))"),21.415750000000006)</f>
        <v>21.41575</v>
      </c>
      <c r="N119" s="19">
        <f>IFERROR(__xludf.DUMMYFUNCTION("AVERAGE(QUERY(SORT(GOOGLEFINANCE(B119,""price"",TODAY()-365,TODAY()),1,0),""select Col2 limit 200""))"),27.279899999999998)</f>
        <v>27.2799</v>
      </c>
      <c r="O119" s="20" t="str">
        <f t="shared" si="2"/>
        <v>Avoid</v>
      </c>
      <c r="P119" s="21" t="str">
        <f t="shared" si="3"/>
        <v/>
      </c>
      <c r="Q119" s="21" t="str">
        <f t="shared" si="4"/>
        <v/>
      </c>
      <c r="R119" s="22">
        <f>IFERROR(__xludf.DUMMYFUNCTION("GOOGLEFINANCE(B119, ""pe"")
"),70.13)</f>
        <v>70.13</v>
      </c>
    </row>
    <row r="120">
      <c r="A120" s="9" t="s">
        <v>133</v>
      </c>
      <c r="B120" s="11" t="str">
        <f t="shared" si="1"/>
        <v>NSE:MARSHALL</v>
      </c>
      <c r="C120" s="12">
        <f>IFERROR(__xludf.DUMMYFUNCTION("GOOGLEFINANCE(B120,""marketcap"")/10000000"),20.124819)</f>
        <v>20.124819</v>
      </c>
      <c r="D120" s="13">
        <f>IFERROR(__xludf.DUMMYFUNCTION("GOOGLEFINANCE(B120,""price"")"),8.42)</f>
        <v>8.42</v>
      </c>
      <c r="E120" s="14">
        <f>IFERROR(__xludf.DUMMYFUNCTION("GOOGLEFINANCE(B120,""Volume"")"),8356.0)</f>
        <v>8356</v>
      </c>
      <c r="F120" s="14">
        <f t="array" ref="F120">F119</f>
        <v>14</v>
      </c>
      <c r="G120" s="15" t="str">
        <f>IFERROR(__xludf.DUMMYFUNCTION("IF(E120&gt;AVERAGE(INDEX(GOOGLEFINANCE(B120,""volume"",WORKDAY(TODAY(),-$F$1),TODAY()),,2)),""Breakout"","""")"),"#N/A")</f>
        <v>#N/A</v>
      </c>
      <c r="H120" s="16">
        <f>IFERROR(__xludf.DUMMYFUNCTION("GOOGLEFINANCE(B120,""price"")"),8.42)</f>
        <v>8.42</v>
      </c>
      <c r="I120" s="17">
        <f>IFERROR(__xludf.DUMMYFUNCTION("AVERAGE(QUERY(SORT(GOOGLEFINANCE(B120,""price"",TODAY()-365,TODAY()),1,0),""select Col2 limit 10""))"),10.483)</f>
        <v>10.483</v>
      </c>
      <c r="J120" s="17">
        <f>IFERROR(__xludf.DUMMYFUNCTION("AVERAGE(QUERY(SORT(GOOGLEFINANCE(B120,""price"",TODAY()-365,TODAY()),1,0),""select Col2 limit 30""))"),10.987999999999998)</f>
        <v>10.988</v>
      </c>
      <c r="K120" s="18">
        <f>IFERROR(__xludf.DUMMYFUNCTION("AVERAGE(QUERY(SORT(GOOGLEFINANCE(B120,""price"",TODAY()-365,TODAY()),1,0),""select Col2 limit 60""))"),11.880999999999997)</f>
        <v>11.881</v>
      </c>
      <c r="L120" s="17">
        <f>IFERROR(__xludf.DUMMYFUNCTION("AVERAGE(QUERY(SORT(GOOGLEFINANCE(B120,""price"",TODAY()-365,TODAY()),1,0),""select Col2 limit 90""))"),13.978888888888887)</f>
        <v>13.97888889</v>
      </c>
      <c r="M120" s="17">
        <f>IFERROR(__xludf.DUMMYFUNCTION("AVERAGE(QUERY(SORT(GOOGLEFINANCE(B120,""price"",TODAY()-365,TODAY()),1,0),""select Col2 limit 120""))"),15.764000000000003)</f>
        <v>15.764</v>
      </c>
      <c r="N120" s="19">
        <f>IFERROR(__xludf.DUMMYFUNCTION("AVERAGE(QUERY(SORT(GOOGLEFINANCE(B120,""price"",TODAY()-365,TODAY()),1,0),""select Col2 limit 200""))"),21.879450000000002)</f>
        <v>21.87945</v>
      </c>
      <c r="O120" s="20" t="str">
        <f t="shared" si="2"/>
        <v>Avoid</v>
      </c>
      <c r="P120" s="21" t="str">
        <f t="shared" si="3"/>
        <v/>
      </c>
      <c r="Q120" s="21" t="str">
        <f t="shared" si="4"/>
        <v/>
      </c>
      <c r="R120" s="22" t="str">
        <f>IFERROR(__xludf.DUMMYFUNCTION("GOOGLEFINANCE(B120, ""pe"")
"),"#N/A")</f>
        <v>#N/A</v>
      </c>
    </row>
    <row r="121">
      <c r="A121" s="9" t="s">
        <v>134</v>
      </c>
      <c r="B121" s="11" t="str">
        <f t="shared" si="1"/>
        <v>NSE:ANKITMETAL</v>
      </c>
      <c r="C121" s="12">
        <f>IFERROR(__xludf.DUMMYFUNCTION("GOOGLEFINANCE(B121,""marketcap"")/10000000"),27.2343257)</f>
        <v>27.2343257</v>
      </c>
      <c r="D121" s="13">
        <f>IFERROR(__xludf.DUMMYFUNCTION("GOOGLEFINANCE(B121,""price"")"),1.93)</f>
        <v>1.93</v>
      </c>
      <c r="E121" s="14">
        <f>IFERROR(__xludf.DUMMYFUNCTION("GOOGLEFINANCE(B121,""Volume"")"),3657.0)</f>
        <v>3657</v>
      </c>
      <c r="F121" s="14">
        <f t="array" ref="F121">F120</f>
        <v>14</v>
      </c>
      <c r="G121" s="15" t="str">
        <f>IFERROR(__xludf.DUMMYFUNCTION("IF(E121&gt;AVERAGE(INDEX(GOOGLEFINANCE(B121,""volume"",WORKDAY(TODAY(),-$F$1),TODAY()),,2)),""Breakout"","""")"),"")</f>
        <v/>
      </c>
      <c r="H121" s="16">
        <f>IFERROR(__xludf.DUMMYFUNCTION("GOOGLEFINANCE(B121,""price"")"),1.93)</f>
        <v>1.93</v>
      </c>
      <c r="I121" s="17">
        <f>IFERROR(__xludf.DUMMYFUNCTION("AVERAGE(QUERY(SORT(GOOGLEFINANCE(B121,""price"",TODAY()-365,TODAY()),1,0),""select Col2 limit 10""))"),1.9809999999999999)</f>
        <v>1.981</v>
      </c>
      <c r="J121" s="17">
        <f>IFERROR(__xludf.DUMMYFUNCTION("AVERAGE(QUERY(SORT(GOOGLEFINANCE(B121,""price"",TODAY()-365,TODAY()),1,0),""select Col2 limit 30""))"),1.9963333333333333)</f>
        <v>1.996333333</v>
      </c>
      <c r="K121" s="18">
        <f>IFERROR(__xludf.DUMMYFUNCTION("AVERAGE(QUERY(SORT(GOOGLEFINANCE(B121,""price"",TODAY()-365,TODAY()),1,0),""select Col2 limit 60""))"),2.1156666666666664)</f>
        <v>2.115666667</v>
      </c>
      <c r="L121" s="17">
        <f>IFERROR(__xludf.DUMMYFUNCTION("AVERAGE(QUERY(SORT(GOOGLEFINANCE(B121,""price"",TODAY()-365,TODAY()),1,0),""select Col2 limit 90""))"),2.1848888888888873)</f>
        <v>2.184888889</v>
      </c>
      <c r="M121" s="17">
        <f>IFERROR(__xludf.DUMMYFUNCTION("AVERAGE(QUERY(SORT(GOOGLEFINANCE(B121,""price"",TODAY()-365,TODAY()),1,0),""select Col2 limit 120""))"),2.586333333333331)</f>
        <v>2.586333333</v>
      </c>
      <c r="N121" s="19">
        <f>IFERROR(__xludf.DUMMYFUNCTION("AVERAGE(QUERY(SORT(GOOGLEFINANCE(B121,""price"",TODAY()-365,TODAY()),1,0),""select Col2 limit 200""))"),2.9573837209302316)</f>
        <v>2.957383721</v>
      </c>
      <c r="O121" s="20" t="str">
        <f t="shared" si="2"/>
        <v>Avoid</v>
      </c>
      <c r="P121" s="21" t="str">
        <f t="shared" si="3"/>
        <v/>
      </c>
      <c r="Q121" s="21" t="str">
        <f t="shared" si="4"/>
        <v/>
      </c>
      <c r="R121" s="22" t="str">
        <f>IFERROR(__xludf.DUMMYFUNCTION("GOOGLEFINANCE(B121, ""pe"")
"),"#N/A")</f>
        <v>#N/A</v>
      </c>
    </row>
    <row r="122">
      <c r="A122" s="9" t="s">
        <v>135</v>
      </c>
      <c r="B122" s="11" t="str">
        <f t="shared" si="1"/>
        <v>NSE:WINSOME</v>
      </c>
      <c r="C122" s="12">
        <f>IFERROR(__xludf.DUMMYFUNCTION("GOOGLEFINANCE(B122,""marketcap"")/10000000"),12.8687198)</f>
        <v>12.8687198</v>
      </c>
      <c r="D122" s="13">
        <f>IFERROR(__xludf.DUMMYFUNCTION("GOOGLEFINANCE(B122,""price"")"),1.82)</f>
        <v>1.82</v>
      </c>
      <c r="E122" s="14">
        <f>IFERROR(__xludf.DUMMYFUNCTION("GOOGLEFINANCE(B122,""Volume"")"),353.0)</f>
        <v>353</v>
      </c>
      <c r="F122" s="14">
        <f t="array" ref="F122">F121</f>
        <v>14</v>
      </c>
      <c r="G122" s="15" t="str">
        <f>IFERROR(__xludf.DUMMYFUNCTION("IF(E122&gt;AVERAGE(INDEX(GOOGLEFINANCE(B122,""volume"",WORKDAY(TODAY(),-$F$1),TODAY()),,2)),""Breakout"","""")"),"")</f>
        <v/>
      </c>
      <c r="H122" s="16">
        <f>IFERROR(__xludf.DUMMYFUNCTION("GOOGLEFINANCE(B122,""price"")"),1.82)</f>
        <v>1.82</v>
      </c>
      <c r="I122" s="17">
        <f>IFERROR(__xludf.DUMMYFUNCTION("AVERAGE(QUERY(SORT(GOOGLEFINANCE(B122,""price"",TODAY()-365,TODAY()),1,0),""select Col2 limit 10""))"),1.859)</f>
        <v>1.859</v>
      </c>
      <c r="J122" s="17">
        <f>IFERROR(__xludf.DUMMYFUNCTION("AVERAGE(QUERY(SORT(GOOGLEFINANCE(B122,""price"",TODAY()-365,TODAY()),1,0),""select Col2 limit 30""))"),1.8916666666666664)</f>
        <v>1.891666667</v>
      </c>
      <c r="K122" s="18">
        <f>IFERROR(__xludf.DUMMYFUNCTION("AVERAGE(QUERY(SORT(GOOGLEFINANCE(B122,""price"",TODAY()-365,TODAY()),1,0),""select Col2 limit 60""))"),1.8414999999999997)</f>
        <v>1.8415</v>
      </c>
      <c r="L122" s="17">
        <f>IFERROR(__xludf.DUMMYFUNCTION("AVERAGE(QUERY(SORT(GOOGLEFINANCE(B122,""price"",TODAY()-365,TODAY()),1,0),""select Col2 limit 90""))"),1.7961111111111105)</f>
        <v>1.796111111</v>
      </c>
      <c r="M122" s="17">
        <f>IFERROR(__xludf.DUMMYFUNCTION("AVERAGE(QUERY(SORT(GOOGLEFINANCE(B122,""price"",TODAY()-365,TODAY()),1,0),""select Col2 limit 120""))"),1.9304999999999997)</f>
        <v>1.9305</v>
      </c>
      <c r="N122" s="19">
        <f>IFERROR(__xludf.DUMMYFUNCTION("AVERAGE(QUERY(SORT(GOOGLEFINANCE(B122,""price"",TODAY()-365,TODAY()),1,0),""select Col2 limit 200""))"),2.5671999999999993)</f>
        <v>2.5672</v>
      </c>
      <c r="O122" s="20" t="str">
        <f t="shared" si="2"/>
        <v>Avoid</v>
      </c>
      <c r="P122" s="21" t="str">
        <f t="shared" si="3"/>
        <v/>
      </c>
      <c r="Q122" s="21" t="str">
        <f t="shared" si="4"/>
        <v/>
      </c>
      <c r="R122" s="22" t="str">
        <f>IFERROR(__xludf.DUMMYFUNCTION("GOOGLEFINANCE(B122, ""pe"")
"),"#N/A")</f>
        <v>#N/A</v>
      </c>
    </row>
    <row r="123">
      <c r="A123" s="9" t="s">
        <v>136</v>
      </c>
      <c r="B123" s="11" t="str">
        <f t="shared" si="1"/>
        <v>NSE:RELIANCE</v>
      </c>
      <c r="C123" s="12">
        <f>IFERROR(__xludf.DUMMYFUNCTION("GOOGLEFINANCE(B123,""marketcap"")/10000000"),1893865.9472287)</f>
        <v>1893865.947</v>
      </c>
      <c r="D123" s="13">
        <f>IFERROR(__xludf.DUMMYFUNCTION("GOOGLEFINANCE(B123,""price"")"),1398.4)</f>
        <v>1398.4</v>
      </c>
      <c r="E123" s="14">
        <f>IFERROR(__xludf.DUMMYFUNCTION("GOOGLEFINANCE(B123,""Volume"")"),3661062.0)</f>
        <v>3661062</v>
      </c>
      <c r="F123" s="14">
        <f t="array" ref="F123">F122</f>
        <v>14</v>
      </c>
      <c r="G123" s="15" t="str">
        <f>IFERROR(__xludf.DUMMYFUNCTION("IF(E123&gt;AVERAGE(INDEX(GOOGLEFINANCE(B123,""volume"",WORKDAY(TODAY(),-$F$1),TODAY()),,2)),""Breakout"","""")"),"")</f>
        <v/>
      </c>
      <c r="H123" s="16">
        <f>IFERROR(__xludf.DUMMYFUNCTION("GOOGLEFINANCE(B123,""price"")"),1398.4)</f>
        <v>1398.4</v>
      </c>
      <c r="I123" s="17">
        <f>IFERROR(__xludf.DUMMYFUNCTION("AVERAGE(QUERY(SORT(GOOGLEFINANCE(B123,""price"",TODAY()-365,TODAY()),1,0),""select Col2 limit 10""))"),1446.77)</f>
        <v>1446.77</v>
      </c>
      <c r="J123" s="17">
        <f>IFERROR(__xludf.DUMMYFUNCTION("AVERAGE(QUERY(SORT(GOOGLEFINANCE(B123,""price"",TODAY()-365,TODAY()),1,0),""select Col2 limit 30""))"),1475.1766666666667)</f>
        <v>1475.176667</v>
      </c>
      <c r="K123" s="18">
        <f>IFERROR(__xludf.DUMMYFUNCTION("AVERAGE(QUERY(SORT(GOOGLEFINANCE(B123,""price"",TODAY()-365,TODAY()),1,0),""select Col2 limit 60""))"),1450.9749999999997)</f>
        <v>1450.975</v>
      </c>
      <c r="L123" s="17">
        <f>IFERROR(__xludf.DUMMYFUNCTION("AVERAGE(QUERY(SORT(GOOGLEFINANCE(B123,""price"",TODAY()-365,TODAY()),1,0),""select Col2 limit 90""))"),1392.1172222222222)</f>
        <v>1392.117222</v>
      </c>
      <c r="M123" s="17">
        <f>IFERROR(__xludf.DUMMYFUNCTION("AVERAGE(QUERY(SORT(GOOGLEFINANCE(B123,""price"",TODAY()-365,TODAY()),1,0),""select Col2 limit 120""))"),1351.9008333333331)</f>
        <v>1351.900833</v>
      </c>
      <c r="N123" s="19">
        <f>IFERROR(__xludf.DUMMYFUNCTION("AVERAGE(QUERY(SORT(GOOGLEFINANCE(B123,""price"",TODAY()-365,TODAY()),1,0),""select Col2 limit 200""))"),1325.7747999999995)</f>
        <v>1325.7748</v>
      </c>
      <c r="O123" s="20" t="str">
        <f t="shared" si="2"/>
        <v>Avoid</v>
      </c>
      <c r="P123" s="21" t="str">
        <f t="shared" si="3"/>
        <v/>
      </c>
      <c r="Q123" s="21" t="str">
        <f t="shared" si="4"/>
        <v/>
      </c>
      <c r="R123" s="22">
        <f>IFERROR(__xludf.DUMMYFUNCTION("GOOGLEFINANCE(B123, ""pe"")
"),23.24)</f>
        <v>23.24</v>
      </c>
    </row>
    <row r="124">
      <c r="A124" s="9" t="s">
        <v>137</v>
      </c>
      <c r="B124" s="11" t="str">
        <f t="shared" si="1"/>
        <v>NSE:TCS</v>
      </c>
      <c r="C124" s="12">
        <f>IFERROR(__xludf.DUMMYFUNCTION("GOOGLEFINANCE(B124,""marketcap"")/10000000"),1123198.8929471)</f>
        <v>1123198.893</v>
      </c>
      <c r="D124" s="13">
        <f>IFERROR(__xludf.DUMMYFUNCTION("GOOGLEFINANCE(B124,""price"")"),3104.4)</f>
        <v>3104.4</v>
      </c>
      <c r="E124" s="14">
        <f>IFERROR(__xludf.DUMMYFUNCTION("GOOGLEFINANCE(B124,""Volume"")"),1692994.0)</f>
        <v>1692994</v>
      </c>
      <c r="F124" s="14">
        <f t="array" ref="F124">F123</f>
        <v>14</v>
      </c>
      <c r="G124" s="15" t="str">
        <f>IFERROR(__xludf.DUMMYFUNCTION("IF(E124&gt;AVERAGE(INDEX(GOOGLEFINANCE(B124,""volume"",WORKDAY(TODAY(),-$F$1),TODAY()),,2)),""Breakout"","""")"),"#N/A")</f>
        <v>#N/A</v>
      </c>
      <c r="H124" s="16">
        <f>IFERROR(__xludf.DUMMYFUNCTION("GOOGLEFINANCE(B124,""price"")"),3104.4)</f>
        <v>3104.4</v>
      </c>
      <c r="I124" s="17">
        <f>IFERROR(__xludf.DUMMYFUNCTION("AVERAGE(QUERY(SORT(GOOGLEFINANCE(B124,""price"",TODAY()-365,TODAY()),1,0),""select Col2 limit 10""))"),3188.79)</f>
        <v>3188.79</v>
      </c>
      <c r="J124" s="17">
        <f>IFERROR(__xludf.DUMMYFUNCTION("AVERAGE(QUERY(SORT(GOOGLEFINANCE(B124,""price"",TODAY()-365,TODAY()),1,0),""select Col2 limit 30""))"),3343.5866666666675)</f>
        <v>3343.586667</v>
      </c>
      <c r="K124" s="18">
        <f>IFERROR(__xludf.DUMMYFUNCTION("AVERAGE(QUERY(SORT(GOOGLEFINANCE(B124,""price"",TODAY()-365,TODAY()),1,0),""select Col2 limit 60""))"),3410.649999999999)</f>
        <v>3410.65</v>
      </c>
      <c r="L124" s="17">
        <f>IFERROR(__xludf.DUMMYFUNCTION("AVERAGE(QUERY(SORT(GOOGLEFINANCE(B124,""price"",TODAY()-365,TODAY()),1,0),""select Col2 limit 90""))"),3420.929444444445)</f>
        <v>3420.929444</v>
      </c>
      <c r="M124" s="17">
        <f>IFERROR(__xludf.DUMMYFUNCTION("AVERAGE(QUERY(SORT(GOOGLEFINANCE(B124,""price"",TODAY()-365,TODAY()),1,0),""select Col2 limit 120""))"),3514.7166666666667)</f>
        <v>3514.716667</v>
      </c>
      <c r="N124" s="19">
        <f>IFERROR(__xludf.DUMMYFUNCTION("AVERAGE(QUERY(SORT(GOOGLEFINANCE(B124,""price"",TODAY()-365,TODAY()),1,0),""select Col2 limit 200""))"),3782.72)</f>
        <v>3782.72</v>
      </c>
      <c r="O124" s="20" t="str">
        <f t="shared" si="2"/>
        <v>Avoid</v>
      </c>
      <c r="P124" s="21" t="str">
        <f t="shared" si="3"/>
        <v/>
      </c>
      <c r="Q124" s="21" t="str">
        <f t="shared" si="4"/>
        <v/>
      </c>
      <c r="R124" s="22">
        <f>IFERROR(__xludf.DUMMYFUNCTION("GOOGLEFINANCE(B124, ""pe"")
"),22.8)</f>
        <v>22.8</v>
      </c>
    </row>
    <row r="125">
      <c r="A125" s="9" t="s">
        <v>138</v>
      </c>
      <c r="B125" s="11" t="str">
        <f t="shared" si="1"/>
        <v>NSE:BHARTIARTL</v>
      </c>
      <c r="C125" s="12">
        <f>IFERROR(__xludf.DUMMYFUNCTION("GOOGLEFINANCE(B125,""marketcap"")/10000000"),1139576.638516)</f>
        <v>1139576.639</v>
      </c>
      <c r="D125" s="13">
        <f>IFERROR(__xludf.DUMMYFUNCTION("GOOGLEFINANCE(B125,""price"")"),1900.0)</f>
        <v>1900</v>
      </c>
      <c r="E125" s="14">
        <f>IFERROR(__xludf.DUMMYFUNCTION("GOOGLEFINANCE(B125,""Volume"")"),1276857.0)</f>
        <v>1276857</v>
      </c>
      <c r="F125" s="14">
        <f t="array" ref="F125">F124</f>
        <v>14</v>
      </c>
      <c r="G125" s="15" t="str">
        <f>IFERROR(__xludf.DUMMYFUNCTION("IF(E125&gt;AVERAGE(INDEX(GOOGLEFINANCE(B125,""volume"",WORKDAY(TODAY(),-$F$1),TODAY()),,2)),""Breakout"","""")"),"")</f>
        <v/>
      </c>
      <c r="H125" s="16">
        <f>IFERROR(__xludf.DUMMYFUNCTION("GOOGLEFINANCE(B125,""price"")"),1900.0)</f>
        <v>1900</v>
      </c>
      <c r="I125" s="17">
        <f>IFERROR(__xludf.DUMMYFUNCTION("AVERAGE(QUERY(SORT(GOOGLEFINANCE(B125,""price"",TODAY()-365,TODAY()),1,0),""select Col2 limit 10""))"),1925.64)</f>
        <v>1925.64</v>
      </c>
      <c r="J125" s="17">
        <f>IFERROR(__xludf.DUMMYFUNCTION("AVERAGE(QUERY(SORT(GOOGLEFINANCE(B125,""price"",TODAY()-365,TODAY()),1,0),""select Col2 limit 30""))"),1953.2600000000007)</f>
        <v>1953.26</v>
      </c>
      <c r="K125" s="18">
        <f>IFERROR(__xludf.DUMMYFUNCTION("AVERAGE(QUERY(SORT(GOOGLEFINANCE(B125,""price"",TODAY()-365,TODAY()),1,0),""select Col2 limit 60""))"),1902.64)</f>
        <v>1902.64</v>
      </c>
      <c r="L125" s="17">
        <f>IFERROR(__xludf.DUMMYFUNCTION("AVERAGE(QUERY(SORT(GOOGLEFINANCE(B125,""price"",TODAY()-365,TODAY()),1,0),""select Col2 limit 90""))"),1857.0988888888883)</f>
        <v>1857.098889</v>
      </c>
      <c r="M125" s="17">
        <f>IFERROR(__xludf.DUMMYFUNCTION("AVERAGE(QUERY(SORT(GOOGLEFINANCE(B125,""price"",TODAY()-365,TODAY()),1,0),""select Col2 limit 120""))"),1804.6804166666661)</f>
        <v>1804.680417</v>
      </c>
      <c r="N125" s="19">
        <f>IFERROR(__xludf.DUMMYFUNCTION("AVERAGE(QUERY(SORT(GOOGLEFINANCE(B125,""price"",TODAY()-365,TODAY()),1,0),""select Col2 limit 200""))"),1729.4282499999995)</f>
        <v>1729.42825</v>
      </c>
      <c r="O125" s="20" t="str">
        <f t="shared" si="2"/>
        <v>Avoid</v>
      </c>
      <c r="P125" s="21" t="str">
        <f t="shared" si="3"/>
        <v>60 DMA</v>
      </c>
      <c r="Q125" s="21" t="str">
        <f t="shared" si="4"/>
        <v/>
      </c>
      <c r="R125" s="22">
        <f>IFERROR(__xludf.DUMMYFUNCTION("GOOGLEFINANCE(B125, ""pe"")
"),33.92)</f>
        <v>33.92</v>
      </c>
    </row>
    <row r="126">
      <c r="A126" s="9" t="s">
        <v>139</v>
      </c>
      <c r="B126" s="11" t="str">
        <f t="shared" si="1"/>
        <v>NSE:SBIN</v>
      </c>
      <c r="C126" s="12">
        <f>IFERROR(__xludf.DUMMYFUNCTION("GOOGLEFINANCE(B126,""marketcap"")/10000000"),718253.4067056)</f>
        <v>718253.4067</v>
      </c>
      <c r="D126" s="13">
        <f>IFERROR(__xludf.DUMMYFUNCTION("GOOGLEFINANCE(B126,""price"")"),804.7)</f>
        <v>804.7</v>
      </c>
      <c r="E126" s="14">
        <f>IFERROR(__xludf.DUMMYFUNCTION("GOOGLEFINANCE(B126,""Volume"")"),3080524.0)</f>
        <v>3080524</v>
      </c>
      <c r="F126" s="14">
        <f t="array" ref="F126">F125</f>
        <v>14</v>
      </c>
      <c r="G126" s="15" t="str">
        <f>IFERROR(__xludf.DUMMYFUNCTION("IF(E126&gt;AVERAGE(INDEX(GOOGLEFINANCE(B126,""volume"",WORKDAY(TODAY(),-$F$1),TODAY()),,2)),""Breakout"","""")"),"")</f>
        <v/>
      </c>
      <c r="H126" s="16">
        <f>IFERROR(__xludf.DUMMYFUNCTION("GOOGLEFINANCE(B126,""price"")"),804.7)</f>
        <v>804.7</v>
      </c>
      <c r="I126" s="17">
        <f>IFERROR(__xludf.DUMMYFUNCTION("AVERAGE(QUERY(SORT(GOOGLEFINANCE(B126,""price"",TODAY()-365,TODAY()),1,0),""select Col2 limit 10""))"),819.1450000000001)</f>
        <v>819.145</v>
      </c>
      <c r="J126" s="17">
        <f>IFERROR(__xludf.DUMMYFUNCTION("AVERAGE(QUERY(SORT(GOOGLEFINANCE(B126,""price"",TODAY()-365,TODAY()),1,0),""select Col2 limit 30""))"),808.57)</f>
        <v>808.57</v>
      </c>
      <c r="K126" s="18">
        <f>IFERROR(__xludf.DUMMYFUNCTION("AVERAGE(QUERY(SORT(GOOGLEFINANCE(B126,""price"",TODAY()-365,TODAY()),1,0),""select Col2 limit 60""))"),803.1124999999998)</f>
        <v>803.1125</v>
      </c>
      <c r="L126" s="17">
        <f>IFERROR(__xludf.DUMMYFUNCTION("AVERAGE(QUERY(SORT(GOOGLEFINANCE(B126,""price"",TODAY()-365,TODAY()),1,0),""select Col2 limit 90""))"),794.1955555555553)</f>
        <v>794.1955556</v>
      </c>
      <c r="M126" s="17">
        <f>IFERROR(__xludf.DUMMYFUNCTION("AVERAGE(QUERY(SORT(GOOGLEFINANCE(B126,""price"",TODAY()-365,TODAY()),1,0),""select Col2 limit 120""))"),778.5687499999998)</f>
        <v>778.56875</v>
      </c>
      <c r="N126" s="19">
        <f>IFERROR(__xludf.DUMMYFUNCTION("AVERAGE(QUERY(SORT(GOOGLEFINANCE(B126,""price"",TODAY()-365,TODAY()),1,0),""select Col2 limit 200""))"),790.0542499999995)</f>
        <v>790.05425</v>
      </c>
      <c r="O126" s="20" t="str">
        <f t="shared" si="2"/>
        <v>Avoid</v>
      </c>
      <c r="P126" s="21" t="str">
        <f t="shared" si="3"/>
        <v>30 DMA</v>
      </c>
      <c r="Q126" s="21" t="str">
        <f t="shared" si="4"/>
        <v/>
      </c>
      <c r="R126" s="22">
        <f>IFERROR(__xludf.DUMMYFUNCTION("GOOGLEFINANCE(B126, ""pe"")
"),9.26)</f>
        <v>9.26</v>
      </c>
    </row>
    <row r="127">
      <c r="A127" s="9" t="s">
        <v>140</v>
      </c>
      <c r="B127" s="11" t="str">
        <f t="shared" si="1"/>
        <v>NSE:LICI</v>
      </c>
      <c r="C127" s="12">
        <f>IFERROR(__xludf.DUMMYFUNCTION("GOOGLEFINANCE(B127,""marketcap"")/10000000"),567984.7306)</f>
        <v>567984.7306</v>
      </c>
      <c r="D127" s="13">
        <f>IFERROR(__xludf.DUMMYFUNCTION("GOOGLEFINANCE(B127,""price"")"),897.9)</f>
        <v>897.9</v>
      </c>
      <c r="E127" s="14">
        <f>IFERROR(__xludf.DUMMYFUNCTION("GOOGLEFINANCE(B127,""Volume"")"),581591.0)</f>
        <v>581591</v>
      </c>
      <c r="F127" s="14">
        <f t="array" ref="F127">F126</f>
        <v>14</v>
      </c>
      <c r="G127" s="15" t="str">
        <f>IFERROR(__xludf.DUMMYFUNCTION("IF(E127&gt;AVERAGE(INDEX(GOOGLEFINANCE(B127,""volume"",WORKDAY(TODAY(),-$F$1),TODAY()),,2)),""Breakout"","""")"),"")</f>
        <v/>
      </c>
      <c r="H127" s="16">
        <f>IFERROR(__xludf.DUMMYFUNCTION("GOOGLEFINANCE(B127,""price"")"),897.9)</f>
        <v>897.9</v>
      </c>
      <c r="I127" s="17">
        <f>IFERROR(__xludf.DUMMYFUNCTION("AVERAGE(QUERY(SORT(GOOGLEFINANCE(B127,""price"",TODAY()-365,TODAY()),1,0),""select Col2 limit 10""))"),919.8699999999999)</f>
        <v>919.87</v>
      </c>
      <c r="J127" s="17">
        <f>IFERROR(__xludf.DUMMYFUNCTION("AVERAGE(QUERY(SORT(GOOGLEFINANCE(B127,""price"",TODAY()-365,TODAY()),1,0),""select Col2 limit 30""))"),937.3500000000001)</f>
        <v>937.35</v>
      </c>
      <c r="K127" s="18">
        <f>IFERROR(__xludf.DUMMYFUNCTION("AVERAGE(QUERY(SORT(GOOGLEFINANCE(B127,""price"",TODAY()-365,TODAY()),1,0),""select Col2 limit 60""))"),910.4774999999997)</f>
        <v>910.4775</v>
      </c>
      <c r="L127" s="17">
        <f>IFERROR(__xludf.DUMMYFUNCTION("AVERAGE(QUERY(SORT(GOOGLEFINANCE(B127,""price"",TODAY()-365,TODAY()),1,0),""select Col2 limit 90""))"),871.1822222222219)</f>
        <v>871.1822222</v>
      </c>
      <c r="M127" s="17">
        <f>IFERROR(__xludf.DUMMYFUNCTION("AVERAGE(QUERY(SORT(GOOGLEFINANCE(B127,""price"",TODAY()-365,TODAY()),1,0),""select Col2 limit 120""))"),848.0674999999994)</f>
        <v>848.0675</v>
      </c>
      <c r="N127" s="19">
        <f>IFERROR(__xludf.DUMMYFUNCTION("AVERAGE(QUERY(SORT(GOOGLEFINANCE(B127,""price"",TODAY()-365,TODAY()),1,0),""select Col2 limit 200""))"),871.9569999999994)</f>
        <v>871.957</v>
      </c>
      <c r="O127" s="20" t="str">
        <f t="shared" si="2"/>
        <v>Avoid</v>
      </c>
      <c r="P127" s="21" t="str">
        <f t="shared" si="3"/>
        <v/>
      </c>
      <c r="Q127" s="21" t="str">
        <f t="shared" si="4"/>
        <v/>
      </c>
      <c r="R127" s="22">
        <f>IFERROR(__xludf.DUMMYFUNCTION("GOOGLEFINANCE(B127, ""pe"")
"),11.74)</f>
        <v>11.74</v>
      </c>
    </row>
    <row r="128">
      <c r="A128" s="9" t="s">
        <v>141</v>
      </c>
      <c r="B128" s="11" t="str">
        <f t="shared" si="1"/>
        <v>NSE:HINDUNILVR</v>
      </c>
      <c r="C128" s="12">
        <f>IFERROR(__xludf.DUMMYFUNCTION("GOOGLEFINANCE(B128,""marketcap"")/10000000"),571303.05165)</f>
        <v>571303.0517</v>
      </c>
      <c r="D128" s="13">
        <f>IFERROR(__xludf.DUMMYFUNCTION("GOOGLEFINANCE(B128,""price"")"),2429.9)</f>
        <v>2429.9</v>
      </c>
      <c r="E128" s="14">
        <f>IFERROR(__xludf.DUMMYFUNCTION("GOOGLEFINANCE(B128,""Volume"")"),339090.0)</f>
        <v>339090</v>
      </c>
      <c r="F128" s="14">
        <f t="array" ref="F128">F127</f>
        <v>14</v>
      </c>
      <c r="G128" s="15" t="str">
        <f>IFERROR(__xludf.DUMMYFUNCTION("IF(E128&gt;AVERAGE(INDEX(GOOGLEFINANCE(B128,""volume"",WORKDAY(TODAY(),-$F$1),TODAY()),,2)),""Breakout"","""")"),"")</f>
        <v/>
      </c>
      <c r="H128" s="16">
        <f>IFERROR(__xludf.DUMMYFUNCTION("GOOGLEFINANCE(B128,""price"")"),2429.9)</f>
        <v>2429.9</v>
      </c>
      <c r="I128" s="17">
        <f>IFERROR(__xludf.DUMMYFUNCTION("AVERAGE(QUERY(SORT(GOOGLEFINANCE(B128,""price"",TODAY()-365,TODAY()),1,0),""select Col2 limit 10""))"),2480.87)</f>
        <v>2480.87</v>
      </c>
      <c r="J128" s="17">
        <f>IFERROR(__xludf.DUMMYFUNCTION("AVERAGE(QUERY(SORT(GOOGLEFINANCE(B128,""price"",TODAY()-365,TODAY()),1,0),""select Col2 limit 30""))"),2382.3799999999997)</f>
        <v>2382.38</v>
      </c>
      <c r="K128" s="18">
        <f>IFERROR(__xludf.DUMMYFUNCTION("AVERAGE(QUERY(SORT(GOOGLEFINANCE(B128,""price"",TODAY()-365,TODAY()),1,0),""select Col2 limit 60""))"),2373.1666666666656)</f>
        <v>2373.166667</v>
      </c>
      <c r="L128" s="17">
        <f>IFERROR(__xludf.DUMMYFUNCTION("AVERAGE(QUERY(SORT(GOOGLEFINANCE(B128,""price"",TODAY()-365,TODAY()),1,0),""select Col2 limit 90""))"),2346.4922222222212)</f>
        <v>2346.492222</v>
      </c>
      <c r="M128" s="17">
        <f>IFERROR(__xludf.DUMMYFUNCTION("AVERAGE(QUERY(SORT(GOOGLEFINANCE(B128,""price"",TODAY()-365,TODAY()),1,0),""select Col2 limit 120""))"),2331.5041666666657)</f>
        <v>2331.504167</v>
      </c>
      <c r="N128" s="19">
        <f>IFERROR(__xludf.DUMMYFUNCTION("AVERAGE(QUERY(SORT(GOOGLEFINANCE(B128,""price"",TODAY()-365,TODAY()),1,0),""select Col2 limit 200""))"),2390.6177499999994)</f>
        <v>2390.61775</v>
      </c>
      <c r="O128" s="20" t="str">
        <f t="shared" si="2"/>
        <v>Avoid</v>
      </c>
      <c r="P128" s="21" t="str">
        <f t="shared" si="3"/>
        <v/>
      </c>
      <c r="Q128" s="21" t="str">
        <f t="shared" si="4"/>
        <v/>
      </c>
      <c r="R128" s="22">
        <f>IFERROR(__xludf.DUMMYFUNCTION("GOOGLEFINANCE(B128, ""pe"")
"),53.58)</f>
        <v>53.58</v>
      </c>
    </row>
    <row r="129">
      <c r="A129" s="9" t="s">
        <v>142</v>
      </c>
      <c r="B129" s="11" t="str">
        <f t="shared" si="1"/>
        <v>NSE:ITC</v>
      </c>
      <c r="C129" s="12">
        <f>IFERROR(__xludf.DUMMYFUNCTION("GOOGLEFINANCE(B129,""marketcap"")/10000000"),512905.2513623)</f>
        <v>512905.2514</v>
      </c>
      <c r="D129" s="13">
        <f>IFERROR(__xludf.DUMMYFUNCTION("GOOGLEFINANCE(B129,""price"")"),409.8)</f>
        <v>409.8</v>
      </c>
      <c r="E129" s="14">
        <f>IFERROR(__xludf.DUMMYFUNCTION("GOOGLEFINANCE(B129,""Volume"")"),5398914.0)</f>
        <v>5398914</v>
      </c>
      <c r="F129" s="14">
        <f t="array" ref="F129">F128</f>
        <v>14</v>
      </c>
      <c r="G129" s="15" t="str">
        <f>IFERROR(__xludf.DUMMYFUNCTION("IF(E129&gt;AVERAGE(INDEX(GOOGLEFINANCE(B129,""volume"",WORKDAY(TODAY(),-$F$1),TODAY()),,2)),""Breakout"","""")"),"")</f>
        <v/>
      </c>
      <c r="H129" s="16">
        <f>IFERROR(__xludf.DUMMYFUNCTION("GOOGLEFINANCE(B129,""price"")"),409.8)</f>
        <v>409.8</v>
      </c>
      <c r="I129" s="17">
        <f>IFERROR(__xludf.DUMMYFUNCTION("AVERAGE(QUERY(SORT(GOOGLEFINANCE(B129,""price"",TODAY()-365,TODAY()),1,0),""select Col2 limit 10""))"),418.32)</f>
        <v>418.32</v>
      </c>
      <c r="J129" s="17">
        <f>IFERROR(__xludf.DUMMYFUNCTION("AVERAGE(QUERY(SORT(GOOGLEFINANCE(B129,""price"",TODAY()-365,TODAY()),1,0),""select Col2 limit 30""))"),416.98833333333334)</f>
        <v>416.9883333</v>
      </c>
      <c r="K129" s="18">
        <f>IFERROR(__xludf.DUMMYFUNCTION("AVERAGE(QUERY(SORT(GOOGLEFINANCE(B129,""price"",TODAY()-365,TODAY()),1,0),""select Col2 limit 60""))"),422.20416666666665)</f>
        <v>422.2041667</v>
      </c>
      <c r="L129" s="17">
        <f>IFERROR(__xludf.DUMMYFUNCTION("AVERAGE(QUERY(SORT(GOOGLEFINANCE(B129,""price"",TODAY()-365,TODAY()),1,0),""select Col2 limit 90""))"),420.31611111111107)</f>
        <v>420.3161111</v>
      </c>
      <c r="M129" s="17">
        <f>IFERROR(__xludf.DUMMYFUNCTION("AVERAGE(QUERY(SORT(GOOGLEFINANCE(B129,""price"",TODAY()-365,TODAY()),1,0),""select Col2 limit 120""))"),419.05208333333326)</f>
        <v>419.0520833</v>
      </c>
      <c r="N129" s="19">
        <f>IFERROR(__xludf.DUMMYFUNCTION("AVERAGE(QUERY(SORT(GOOGLEFINANCE(B129,""price"",TODAY()-365,TODAY()),1,0),""select Col2 limit 200""))"),439.4912499999998)</f>
        <v>439.49125</v>
      </c>
      <c r="O129" s="20" t="str">
        <f t="shared" si="2"/>
        <v>Avoid</v>
      </c>
      <c r="P129" s="21" t="str">
        <f t="shared" si="3"/>
        <v/>
      </c>
      <c r="Q129" s="21" t="str">
        <f t="shared" si="4"/>
        <v/>
      </c>
      <c r="R129" s="22">
        <f>IFERROR(__xludf.DUMMYFUNCTION("GOOGLEFINANCE(B129, ""pe"")
"),26.0)</f>
        <v>26</v>
      </c>
    </row>
    <row r="130">
      <c r="A130" s="9" t="s">
        <v>143</v>
      </c>
      <c r="B130" s="11" t="str">
        <f t="shared" si="1"/>
        <v>NSE:LT</v>
      </c>
      <c r="C130" s="12">
        <f>IFERROR(__xludf.DUMMYFUNCTION("GOOGLEFINANCE(B130,""marketcap"")/10000000"),470785.3857)</f>
        <v>470785.3857</v>
      </c>
      <c r="D130" s="13">
        <f>IFERROR(__xludf.DUMMYFUNCTION("GOOGLEFINANCE(B130,""price"")"),3423.1)</f>
        <v>3423.1</v>
      </c>
      <c r="E130" s="14">
        <f>IFERROR(__xludf.DUMMYFUNCTION("GOOGLEFINANCE(B130,""Volume"")"),1672362.0)</f>
        <v>1672362</v>
      </c>
      <c r="F130" s="14">
        <f t="array" ref="F130">F129</f>
        <v>14</v>
      </c>
      <c r="G130" s="15" t="str">
        <f>IFERROR(__xludf.DUMMYFUNCTION("IF(E130&gt;AVERAGE(INDEX(GOOGLEFINANCE(B130,""volume"",WORKDAY(TODAY(),-$F$1),TODAY()),,2)),""Breakout"","""")"),"#N/A")</f>
        <v>#N/A</v>
      </c>
      <c r="H130" s="16">
        <f>IFERROR(__xludf.DUMMYFUNCTION("GOOGLEFINANCE(B130,""price"")"),3423.1)</f>
        <v>3423.1</v>
      </c>
      <c r="I130" s="17">
        <f>IFERROR(__xludf.DUMMYFUNCTION("AVERAGE(QUERY(SORT(GOOGLEFINANCE(B130,""price"",TODAY()-365,TODAY()),1,0),""select Col2 limit 10""))"),3480.5199999999995)</f>
        <v>3480.52</v>
      </c>
      <c r="J130" s="17">
        <f>IFERROR(__xludf.DUMMYFUNCTION("AVERAGE(QUERY(SORT(GOOGLEFINANCE(B130,""price"",TODAY()-365,TODAY()),1,0),""select Col2 limit 30""))"),3569.3833333333337)</f>
        <v>3569.383333</v>
      </c>
      <c r="K130" s="18">
        <f>IFERROR(__xludf.DUMMYFUNCTION("AVERAGE(QUERY(SORT(GOOGLEFINANCE(B130,""price"",TODAY()-365,TODAY()),1,0),""select Col2 limit 60""))"),3574.056666666667)</f>
        <v>3574.056667</v>
      </c>
      <c r="L130" s="17">
        <f>IFERROR(__xludf.DUMMYFUNCTION("AVERAGE(QUERY(SORT(GOOGLEFINANCE(B130,""price"",TODAY()-365,TODAY()),1,0),""select Col2 limit 90""))"),3486.345)</f>
        <v>3486.345</v>
      </c>
      <c r="M130" s="17">
        <f>IFERROR(__xludf.DUMMYFUNCTION("AVERAGE(QUERY(SORT(GOOGLEFINANCE(B130,""price"",TODAY()-365,TODAY()),1,0),""select Col2 limit 120""))"),3433.285416666669)</f>
        <v>3433.285417</v>
      </c>
      <c r="N130" s="19">
        <f>IFERROR(__xludf.DUMMYFUNCTION("AVERAGE(QUERY(SORT(GOOGLEFINANCE(B130,""price"",TODAY()-365,TODAY()),1,0),""select Col2 limit 200""))"),3501.2595000000047)</f>
        <v>3501.2595</v>
      </c>
      <c r="O130" s="20" t="str">
        <f t="shared" si="2"/>
        <v>Avoid</v>
      </c>
      <c r="P130" s="21" t="str">
        <f t="shared" si="3"/>
        <v>120 DMA</v>
      </c>
      <c r="Q130" s="21" t="str">
        <f t="shared" si="4"/>
        <v/>
      </c>
      <c r="R130" s="22">
        <f>IFERROR(__xludf.DUMMYFUNCTION("GOOGLEFINANCE(B130, ""pe"")
"),31.32)</f>
        <v>31.32</v>
      </c>
    </row>
    <row r="131">
      <c r="A131" s="9" t="s">
        <v>144</v>
      </c>
      <c r="B131" s="11" t="str">
        <f t="shared" si="1"/>
        <v>NSE:HCLTECH</v>
      </c>
      <c r="C131" s="12">
        <f>IFERROR(__xludf.DUMMYFUNCTION("GOOGLEFINANCE(B131,""marketcap"")/10000000"),399866.3315645)</f>
        <v>399866.3316</v>
      </c>
      <c r="D131" s="13">
        <f>IFERROR(__xludf.DUMMYFUNCTION("GOOGLEFINANCE(B131,""price"")"),1476.1)</f>
        <v>1476.1</v>
      </c>
      <c r="E131" s="14">
        <f>IFERROR(__xludf.DUMMYFUNCTION("GOOGLEFINANCE(B131,""Volume"")"),2251014.0)</f>
        <v>2251014</v>
      </c>
      <c r="F131" s="14">
        <f t="array" ref="F131">F130</f>
        <v>14</v>
      </c>
      <c r="G131" s="15" t="str">
        <f>IFERROR(__xludf.DUMMYFUNCTION("IF(E131&gt;AVERAGE(INDEX(GOOGLEFINANCE(B131,""volume"",WORKDAY(TODAY(),-$F$1),TODAY()),,2)),""Breakout"","""")"),"")</f>
        <v/>
      </c>
      <c r="H131" s="16">
        <f>IFERROR(__xludf.DUMMYFUNCTION("GOOGLEFINANCE(B131,""price"")"),1476.1)</f>
        <v>1476.1</v>
      </c>
      <c r="I131" s="17">
        <f>IFERROR(__xludf.DUMMYFUNCTION("AVERAGE(QUERY(SORT(GOOGLEFINANCE(B131,""price"",TODAY()-365,TODAY()),1,0),""select Col2 limit 10""))"),1541.9299999999998)</f>
        <v>1541.93</v>
      </c>
      <c r="J131" s="17">
        <f>IFERROR(__xludf.DUMMYFUNCTION("AVERAGE(QUERY(SORT(GOOGLEFINANCE(B131,""price"",TODAY()-365,TODAY()),1,0),""select Col2 limit 30""))"),1653.2966666666666)</f>
        <v>1653.296667</v>
      </c>
      <c r="K131" s="18">
        <f>IFERROR(__xludf.DUMMYFUNCTION("AVERAGE(QUERY(SORT(GOOGLEFINANCE(B131,""price"",TODAY()-365,TODAY()),1,0),""select Col2 limit 60""))"),1647.363333333334)</f>
        <v>1647.363333</v>
      </c>
      <c r="L131" s="17">
        <f>IFERROR(__xludf.DUMMYFUNCTION("AVERAGE(QUERY(SORT(GOOGLEFINANCE(B131,""price"",TODAY()-365,TODAY()),1,0),""select Col2 limit 90""))"),1605.342222222223)</f>
        <v>1605.342222</v>
      </c>
      <c r="M131" s="17">
        <f>IFERROR(__xludf.DUMMYFUNCTION("AVERAGE(QUERY(SORT(GOOGLEFINANCE(B131,""price"",TODAY()-365,TODAY()),1,0),""select Col2 limit 120""))"),1617.7641666666675)</f>
        <v>1617.764167</v>
      </c>
      <c r="N131" s="19">
        <f>IFERROR(__xludf.DUMMYFUNCTION("AVERAGE(QUERY(SORT(GOOGLEFINANCE(B131,""price"",TODAY()-365,TODAY()),1,0),""select Col2 limit 200""))"),1716.6885000000009)</f>
        <v>1716.6885</v>
      </c>
      <c r="O131" s="20" t="str">
        <f t="shared" si="2"/>
        <v>Avoid</v>
      </c>
      <c r="P131" s="21" t="str">
        <f t="shared" si="3"/>
        <v/>
      </c>
      <c r="Q131" s="21" t="str">
        <f t="shared" si="4"/>
        <v/>
      </c>
      <c r="R131" s="22">
        <f>IFERROR(__xludf.DUMMYFUNCTION("GOOGLEFINANCE(B131, ""pe"")
"),23.58)</f>
        <v>23.58</v>
      </c>
    </row>
    <row r="132">
      <c r="A132" s="9" t="s">
        <v>145</v>
      </c>
      <c r="B132" s="11" t="str">
        <f t="shared" si="1"/>
        <v>NSE:BAJFINANCE</v>
      </c>
      <c r="C132" s="12">
        <f>IFERROR(__xludf.DUMMYFUNCTION("GOOGLEFINANCE(B132,""marketcap"")/10000000"),561662.074323)</f>
        <v>561662.0743</v>
      </c>
      <c r="D132" s="13">
        <f>IFERROR(__xludf.DUMMYFUNCTION("GOOGLEFINANCE(B132,""price"")"),905.2)</f>
        <v>905.2</v>
      </c>
      <c r="E132" s="14">
        <f>IFERROR(__xludf.DUMMYFUNCTION("GOOGLEFINANCE(B132,""Volume"")"),4383298.0)</f>
        <v>4383298</v>
      </c>
      <c r="F132" s="14">
        <f t="array" ref="F132">F131</f>
        <v>14</v>
      </c>
      <c r="G132" s="15" t="str">
        <f>IFERROR(__xludf.DUMMYFUNCTION("IF(E132&gt;AVERAGE(INDEX(GOOGLEFINANCE(B132,""volume"",WORKDAY(TODAY(),-$F$1),TODAY()),,2)),""Breakout"","""")"),"")</f>
        <v/>
      </c>
      <c r="H132" s="16">
        <f>IFERROR(__xludf.DUMMYFUNCTION("GOOGLEFINANCE(B132,""price"")"),905.2)</f>
        <v>905.2</v>
      </c>
      <c r="I132" s="17" t="str">
        <f>IFERROR(__xludf.DUMMYFUNCTION("AVERAGE(QUERY(SORT(GOOGLEFINANCE(B132,""price"",TODAY()-365,TODAY()),1,0),""select Col2 limit 10""))"),"#N/A")</f>
        <v>#N/A</v>
      </c>
      <c r="J132" s="17" t="str">
        <f>IFERROR(__xludf.DUMMYFUNCTION("AVERAGE(QUERY(SORT(GOOGLEFINANCE(B132,""price"",TODAY()-365,TODAY()),1,0),""select Col2 limit 30""))"),"#N/A")</f>
        <v>#N/A</v>
      </c>
      <c r="K132" s="18" t="str">
        <f>IFERROR(__xludf.DUMMYFUNCTION("AVERAGE(QUERY(SORT(GOOGLEFINANCE(B132,""price"",TODAY()-365,TODAY()),1,0),""select Col2 limit 60""))"),"#N/A")</f>
        <v>#N/A</v>
      </c>
      <c r="L132" s="17" t="str">
        <f>IFERROR(__xludf.DUMMYFUNCTION("AVERAGE(QUERY(SORT(GOOGLEFINANCE(B132,""price"",TODAY()-365,TODAY()),1,0),""select Col2 limit 90""))"),"#N/A")</f>
        <v>#N/A</v>
      </c>
      <c r="M132" s="17" t="str">
        <f>IFERROR(__xludf.DUMMYFUNCTION("AVERAGE(QUERY(SORT(GOOGLEFINANCE(B132,""price"",TODAY()-365,TODAY()),1,0),""select Col2 limit 120""))"),"#N/A")</f>
        <v>#N/A</v>
      </c>
      <c r="N132" s="19" t="str">
        <f>IFERROR(__xludf.DUMMYFUNCTION("AVERAGE(QUERY(SORT(GOOGLEFINANCE(B132,""price"",TODAY()-365,TODAY()),1,0),""select Col2 limit 200""))"),"#N/A")</f>
        <v>#N/A</v>
      </c>
      <c r="O132" s="20" t="str">
        <f t="shared" si="2"/>
        <v>#N/A</v>
      </c>
      <c r="P132" s="21" t="str">
        <f t="shared" si="3"/>
        <v>#N/A</v>
      </c>
      <c r="Q132" s="21" t="str">
        <f t="shared" si="4"/>
        <v>#N/A</v>
      </c>
      <c r="R132" s="22">
        <f>IFERROR(__xludf.DUMMYFUNCTION("GOOGLEFINANCE(B132, ""pe"")
"),32.23)</f>
        <v>32.23</v>
      </c>
    </row>
    <row r="133">
      <c r="A133" s="9" t="s">
        <v>146</v>
      </c>
      <c r="B133" s="11" t="str">
        <f t="shared" si="1"/>
        <v>NSE:ONGC</v>
      </c>
      <c r="C133" s="12">
        <f>IFERROR(__xludf.DUMMYFUNCTION("GOOGLEFINANCE(B133,""marketcap"")/10000000"),303146.7677256)</f>
        <v>303146.7677</v>
      </c>
      <c r="D133" s="13">
        <f>IFERROR(__xludf.DUMMYFUNCTION("GOOGLEFINANCE(B133,""price"")"),241.08)</f>
        <v>241.08</v>
      </c>
      <c r="E133" s="14">
        <f>IFERROR(__xludf.DUMMYFUNCTION("GOOGLEFINANCE(B133,""Volume"")"),2063695.0)</f>
        <v>2063695</v>
      </c>
      <c r="F133" s="14">
        <f t="array" ref="F133">F132</f>
        <v>14</v>
      </c>
      <c r="G133" s="15" t="str">
        <f>IFERROR(__xludf.DUMMYFUNCTION("IF(E133&gt;AVERAGE(INDEX(GOOGLEFINANCE(B133,""volume"",WORKDAY(TODAY(),-$F$1),TODAY()),,2)),""Breakout"","""")"),"")</f>
        <v/>
      </c>
      <c r="H133" s="16">
        <f>IFERROR(__xludf.DUMMYFUNCTION("GOOGLEFINANCE(B133,""price"")"),241.08)</f>
        <v>241.08</v>
      </c>
      <c r="I133" s="17">
        <f>IFERROR(__xludf.DUMMYFUNCTION("AVERAGE(QUERY(SORT(GOOGLEFINANCE(B133,""price"",TODAY()-365,TODAY()),1,0),""select Col2 limit 10""))"),244.304)</f>
        <v>244.304</v>
      </c>
      <c r="J133" s="17">
        <f>IFERROR(__xludf.DUMMYFUNCTION("AVERAGE(QUERY(SORT(GOOGLEFINANCE(B133,""price"",TODAY()-365,TODAY()),1,0),""select Col2 limit 30""))"),245.38733333333337)</f>
        <v>245.3873333</v>
      </c>
      <c r="K133" s="18">
        <f>IFERROR(__xludf.DUMMYFUNCTION("AVERAGE(QUERY(SORT(GOOGLEFINANCE(B133,""price"",TODAY()-365,TODAY()),1,0),""select Col2 limit 60""))"),244.0401666666667)</f>
        <v>244.0401667</v>
      </c>
      <c r="L133" s="17">
        <f>IFERROR(__xludf.DUMMYFUNCTION("AVERAGE(QUERY(SORT(GOOGLEFINANCE(B133,""price"",TODAY()-365,TODAY()),1,0),""select Col2 limit 90""))"),242.70022222222224)</f>
        <v>242.7002222</v>
      </c>
      <c r="M133" s="17">
        <f>IFERROR(__xludf.DUMMYFUNCTION("AVERAGE(QUERY(SORT(GOOGLEFINANCE(B133,""price"",TODAY()-365,TODAY()),1,0),""select Col2 limit 120""))"),241.4700833333334)</f>
        <v>241.4700833</v>
      </c>
      <c r="N133" s="19">
        <f>IFERROR(__xludf.DUMMYFUNCTION("AVERAGE(QUERY(SORT(GOOGLEFINANCE(B133,""price"",TODAY()-365,TODAY()),1,0),""select Col2 limit 200""))"),249.12405000000012)</f>
        <v>249.12405</v>
      </c>
      <c r="O133" s="20" t="str">
        <f t="shared" si="2"/>
        <v>Avoid</v>
      </c>
      <c r="P133" s="21" t="str">
        <f t="shared" si="3"/>
        <v>90 DMA</v>
      </c>
      <c r="Q133" s="21" t="str">
        <f t="shared" si="4"/>
        <v/>
      </c>
      <c r="R133" s="22">
        <f>IFERROR(__xludf.DUMMYFUNCTION("GOOGLEFINANCE(B133, ""pe"")
"),8.37)</f>
        <v>8.37</v>
      </c>
    </row>
    <row r="134">
      <c r="A134" s="9" t="s">
        <v>147</v>
      </c>
      <c r="B134" s="11" t="str">
        <f t="shared" si="1"/>
        <v>NSE:AXISBANK</v>
      </c>
      <c r="C134" s="12">
        <f>IFERROR(__xludf.DUMMYFUNCTION("GOOGLEFINANCE(B134,""marketcap"")/10000000"),334444.5726744)</f>
        <v>334444.5727</v>
      </c>
      <c r="D134" s="13">
        <f>IFERROR(__xludf.DUMMYFUNCTION("GOOGLEFINANCE(B134,""price"")"),1078.4)</f>
        <v>1078.4</v>
      </c>
      <c r="E134" s="14">
        <f>IFERROR(__xludf.DUMMYFUNCTION("GOOGLEFINANCE(B134,""Volume"")"),4520292.0)</f>
        <v>4520292</v>
      </c>
      <c r="F134" s="14">
        <f t="array" ref="F134">F133</f>
        <v>14</v>
      </c>
      <c r="G134" s="15" t="str">
        <f>IFERROR(__xludf.DUMMYFUNCTION("IF(E134&gt;AVERAGE(INDEX(GOOGLEFINANCE(B134,""volume"",WORKDAY(TODAY(),-$F$1),TODAY()),,2)),""Breakout"","""")"),"")</f>
        <v/>
      </c>
      <c r="H134" s="16">
        <f>IFERROR(__xludf.DUMMYFUNCTION("GOOGLEFINANCE(B134,""price"")"),1078.4)</f>
        <v>1078.4</v>
      </c>
      <c r="I134" s="17">
        <f>IFERROR(__xludf.DUMMYFUNCTION("AVERAGE(QUERY(SORT(GOOGLEFINANCE(B134,""price"",TODAY()-365,TODAY()),1,0),""select Col2 limit 10""))"),1124.97)</f>
        <v>1124.97</v>
      </c>
      <c r="J134" s="17">
        <f>IFERROR(__xludf.DUMMYFUNCTION("AVERAGE(QUERY(SORT(GOOGLEFINANCE(B134,""price"",TODAY()-365,TODAY()),1,0),""select Col2 limit 30""))"),1172.8799999999999)</f>
        <v>1172.88</v>
      </c>
      <c r="K134" s="18">
        <f>IFERROR(__xludf.DUMMYFUNCTION("AVERAGE(QUERY(SORT(GOOGLEFINANCE(B134,""price"",TODAY()-365,TODAY()),1,0),""select Col2 limit 60""))"),1183.5549999999998)</f>
        <v>1183.555</v>
      </c>
      <c r="L134" s="17">
        <f>IFERROR(__xludf.DUMMYFUNCTION("AVERAGE(QUERY(SORT(GOOGLEFINANCE(B134,""price"",TODAY()-365,TODAY()),1,0),""select Col2 limit 90""))"),1162.4683333333337)</f>
        <v>1162.468333</v>
      </c>
      <c r="M134" s="17">
        <f>IFERROR(__xludf.DUMMYFUNCTION("AVERAGE(QUERY(SORT(GOOGLEFINANCE(B134,""price"",TODAY()-365,TODAY()),1,0),""select Col2 limit 120""))"),1124.5137500000003)</f>
        <v>1124.51375</v>
      </c>
      <c r="N134" s="19">
        <f>IFERROR(__xludf.DUMMYFUNCTION("AVERAGE(QUERY(SORT(GOOGLEFINANCE(B134,""price"",TODAY()-365,TODAY()),1,0),""select Col2 limit 200""))"),1120.14725)</f>
        <v>1120.14725</v>
      </c>
      <c r="O134" s="20" t="str">
        <f t="shared" si="2"/>
        <v>Avoid</v>
      </c>
      <c r="P134" s="21" t="str">
        <f t="shared" si="3"/>
        <v/>
      </c>
      <c r="Q134" s="21" t="str">
        <f t="shared" si="4"/>
        <v/>
      </c>
      <c r="R134" s="22">
        <f>IFERROR(__xludf.DUMMYFUNCTION("GOOGLEFINANCE(B134, ""pe"")
"),12.04)</f>
        <v>12.04</v>
      </c>
    </row>
    <row r="135">
      <c r="A135" s="9" t="s">
        <v>148</v>
      </c>
      <c r="B135" s="11" t="str">
        <f t="shared" si="1"/>
        <v>NSE:MARUTI</v>
      </c>
      <c r="C135" s="12">
        <f>IFERROR(__xludf.DUMMYFUNCTION("GOOGLEFINANCE(B135,""marketcap"")/10000000"),391116.8344)</f>
        <v>391116.8344</v>
      </c>
      <c r="D135" s="13">
        <f>IFERROR(__xludf.DUMMYFUNCTION("GOOGLEFINANCE(B135,""price"")"),12434.0)</f>
        <v>12434</v>
      </c>
      <c r="E135" s="14">
        <f>IFERROR(__xludf.DUMMYFUNCTION("GOOGLEFINANCE(B135,""Volume"")"),170277.0)</f>
        <v>170277</v>
      </c>
      <c r="F135" s="14">
        <f t="array" ref="F135">F134</f>
        <v>14</v>
      </c>
      <c r="G135" s="15" t="str">
        <f>IFERROR(__xludf.DUMMYFUNCTION("IF(E135&gt;AVERAGE(INDEX(GOOGLEFINANCE(B135,""volume"",WORKDAY(TODAY(),-$F$1),TODAY()),,2)),""Breakout"","""")"),"")</f>
        <v/>
      </c>
      <c r="H135" s="16">
        <f>IFERROR(__xludf.DUMMYFUNCTION("GOOGLEFINANCE(B135,""price"")"),12434.0)</f>
        <v>12434</v>
      </c>
      <c r="I135" s="17">
        <f>IFERROR(__xludf.DUMMYFUNCTION("AVERAGE(QUERY(SORT(GOOGLEFINANCE(B135,""price"",TODAY()-365,TODAY()),1,0),""select Col2 limit 10""))"),12499.4)</f>
        <v>12499.4</v>
      </c>
      <c r="J135" s="17">
        <f>IFERROR(__xludf.DUMMYFUNCTION("AVERAGE(QUERY(SORT(GOOGLEFINANCE(B135,""price"",TODAY()-365,TODAY()),1,0),""select Col2 limit 30""))"),12579.6)</f>
        <v>12579.6</v>
      </c>
      <c r="K135" s="18">
        <f>IFERROR(__xludf.DUMMYFUNCTION("AVERAGE(QUERY(SORT(GOOGLEFINANCE(B135,""price"",TODAY()-365,TODAY()),1,0),""select Col2 limit 60""))"),12533.5)</f>
        <v>12533.5</v>
      </c>
      <c r="L135" s="17">
        <f>IFERROR(__xludf.DUMMYFUNCTION("AVERAGE(QUERY(SORT(GOOGLEFINANCE(B135,""price"",TODAY()-365,TODAY()),1,0),""select Col2 limit 90""))"),12265.341666666667)</f>
        <v>12265.34167</v>
      </c>
      <c r="M135" s="17">
        <f>IFERROR(__xludf.DUMMYFUNCTION("AVERAGE(QUERY(SORT(GOOGLEFINANCE(B135,""price"",TODAY()-365,TODAY()),1,0),""select Col2 limit 120""))"),12284.648333333334)</f>
        <v>12284.64833</v>
      </c>
      <c r="N135" s="19">
        <f>IFERROR(__xludf.DUMMYFUNCTION("AVERAGE(QUERY(SORT(GOOGLEFINANCE(B135,""price"",TODAY()-365,TODAY()),1,0),""select Col2 limit 200""))"),11988.292000000009)</f>
        <v>11988.292</v>
      </c>
      <c r="O135" s="20" t="str">
        <f t="shared" si="2"/>
        <v>Avoid</v>
      </c>
      <c r="P135" s="21" t="str">
        <f t="shared" si="3"/>
        <v>10 DMA</v>
      </c>
      <c r="Q135" s="21" t="str">
        <f t="shared" si="4"/>
        <v/>
      </c>
      <c r="R135" s="22">
        <f>IFERROR(__xludf.DUMMYFUNCTION("GOOGLEFINANCE(B135, ""pe"")
"),26.97)</f>
        <v>26.97</v>
      </c>
    </row>
    <row r="136">
      <c r="A136" s="9" t="s">
        <v>149</v>
      </c>
      <c r="B136" s="11" t="str">
        <f t="shared" si="1"/>
        <v>NSE:SUNPHARMA</v>
      </c>
      <c r="C136" s="12">
        <f>IFERROR(__xludf.DUMMYFUNCTION("GOOGLEFINANCE(B136,""marketcap"")/10000000"),408126.7134)</f>
        <v>408126.7134</v>
      </c>
      <c r="D136" s="13">
        <f>IFERROR(__xludf.DUMMYFUNCTION("GOOGLEFINANCE(B136,""price"")"),1701.2)</f>
        <v>1701.2</v>
      </c>
      <c r="E136" s="14">
        <f>IFERROR(__xludf.DUMMYFUNCTION("GOOGLEFINANCE(B136,""Volume"")"),943309.0)</f>
        <v>943309</v>
      </c>
      <c r="F136" s="14">
        <f t="array" ref="F136">F135</f>
        <v>14</v>
      </c>
      <c r="G136" s="15" t="str">
        <f>IFERROR(__xludf.DUMMYFUNCTION("IF(E136&gt;AVERAGE(INDEX(GOOGLEFINANCE(B136,""volume"",WORKDAY(TODAY(),-$F$1),TODAY()),,2)),""Breakout"","""")"),"")</f>
        <v/>
      </c>
      <c r="H136" s="16">
        <f>IFERROR(__xludf.DUMMYFUNCTION("GOOGLEFINANCE(B136,""price"")"),1701.2)</f>
        <v>1701.2</v>
      </c>
      <c r="I136" s="17">
        <f>IFERROR(__xludf.DUMMYFUNCTION("AVERAGE(QUERY(SORT(GOOGLEFINANCE(B136,""price"",TODAY()-365,TODAY()),1,0),""select Col2 limit 10""))"),1695.1899999999998)</f>
        <v>1695.19</v>
      </c>
      <c r="J136" s="17">
        <f>IFERROR(__xludf.DUMMYFUNCTION("AVERAGE(QUERY(SORT(GOOGLEFINANCE(B136,""price"",TODAY()-365,TODAY()),1,0),""select Col2 limit 30""))"),1677.7333333333331)</f>
        <v>1677.733333</v>
      </c>
      <c r="K136" s="18">
        <f>IFERROR(__xludf.DUMMYFUNCTION("AVERAGE(QUERY(SORT(GOOGLEFINANCE(B136,""price"",TODAY()-365,TODAY()),1,0),""select Col2 limit 60""))"),1694.0683333333336)</f>
        <v>1694.068333</v>
      </c>
      <c r="L136" s="17">
        <f>IFERROR(__xludf.DUMMYFUNCTION("AVERAGE(QUERY(SORT(GOOGLEFINANCE(B136,""price"",TODAY()-365,TODAY()),1,0),""select Col2 limit 90""))"),1711.7172222222225)</f>
        <v>1711.717222</v>
      </c>
      <c r="M136" s="17">
        <f>IFERROR(__xludf.DUMMYFUNCTION("AVERAGE(QUERY(SORT(GOOGLEFINANCE(B136,""price"",TODAY()-365,TODAY()),1,0),""select Col2 limit 120""))"),1702.8691666666673)</f>
        <v>1702.869167</v>
      </c>
      <c r="N136" s="19">
        <f>IFERROR(__xludf.DUMMYFUNCTION("AVERAGE(QUERY(SORT(GOOGLEFINANCE(B136,""price"",TODAY()-365,TODAY()),1,0),""select Col2 limit 200""))"),1751.2570000000005)</f>
        <v>1751.257</v>
      </c>
      <c r="O136" s="20" t="str">
        <f t="shared" si="2"/>
        <v>Avoid</v>
      </c>
      <c r="P136" s="21" t="str">
        <f t="shared" si="3"/>
        <v>90 DMA</v>
      </c>
      <c r="Q136" s="21" t="str">
        <f t="shared" si="4"/>
        <v>90 DMA cross best</v>
      </c>
      <c r="R136" s="22">
        <f>IFERROR(__xludf.DUMMYFUNCTION("GOOGLEFINANCE(B136, ""pe"")
"),37.35)</f>
        <v>37.35</v>
      </c>
    </row>
    <row r="137">
      <c r="A137" s="9" t="s">
        <v>150</v>
      </c>
      <c r="B137" s="11" t="str">
        <f t="shared" si="1"/>
        <v>NSE:TATAMOTORS</v>
      </c>
      <c r="C137" s="12">
        <f>IFERROR(__xludf.DUMMYFUNCTION("GOOGLEFINANCE(B137,""marketcap"")/10000000"),254295.7141942)</f>
        <v>254295.7142</v>
      </c>
      <c r="D137" s="13">
        <f>IFERROR(__xludf.DUMMYFUNCTION("GOOGLEFINANCE(B137,""price"")"),689.8)</f>
        <v>689.8</v>
      </c>
      <c r="E137" s="14">
        <f>IFERROR(__xludf.DUMMYFUNCTION("GOOGLEFINANCE(B137,""Volume"")"),4487483.0)</f>
        <v>4487483</v>
      </c>
      <c r="F137" s="14">
        <f t="array" ref="F137">F136</f>
        <v>14</v>
      </c>
      <c r="G137" s="15" t="str">
        <f>IFERROR(__xludf.DUMMYFUNCTION("IF(E137&gt;AVERAGE(INDEX(GOOGLEFINANCE(B137,""volume"",WORKDAY(TODAY(),-$F$1),TODAY()),,2)),""Breakout"","""")"),"")</f>
        <v/>
      </c>
      <c r="H137" s="16">
        <f>IFERROR(__xludf.DUMMYFUNCTION("GOOGLEFINANCE(B137,""price"")"),689.8)</f>
        <v>689.8</v>
      </c>
      <c r="I137" s="17">
        <f>IFERROR(__xludf.DUMMYFUNCTION("AVERAGE(QUERY(SORT(GOOGLEFINANCE(B137,""price"",TODAY()-365,TODAY()),1,0),""select Col2 limit 10""))"),683.87)</f>
        <v>683.87</v>
      </c>
      <c r="J137" s="17">
        <f>IFERROR(__xludf.DUMMYFUNCTION("AVERAGE(QUERY(SORT(GOOGLEFINANCE(B137,""price"",TODAY()-365,TODAY()),1,0),""select Col2 limit 30""))"),683.3316666666667)</f>
        <v>683.3316667</v>
      </c>
      <c r="K137" s="18">
        <f>IFERROR(__xludf.DUMMYFUNCTION("AVERAGE(QUERY(SORT(GOOGLEFINANCE(B137,""price"",TODAY()-365,TODAY()),1,0),""select Col2 limit 60""))"),697.4241666666666)</f>
        <v>697.4241667</v>
      </c>
      <c r="L137" s="17">
        <f>IFERROR(__xludf.DUMMYFUNCTION("AVERAGE(QUERY(SORT(GOOGLEFINANCE(B137,""price"",TODAY()-365,TODAY()),1,0),""select Col2 limit 90""))"),682.5461111111113)</f>
        <v>682.5461111</v>
      </c>
      <c r="M137" s="17">
        <f>IFERROR(__xludf.DUMMYFUNCTION("AVERAGE(QUERY(SORT(GOOGLEFINANCE(B137,""price"",TODAY()-365,TODAY()),1,0),""select Col2 limit 120""))"),679.9775000000003)</f>
        <v>679.9775</v>
      </c>
      <c r="N137" s="19">
        <f>IFERROR(__xludf.DUMMYFUNCTION("AVERAGE(QUERY(SORT(GOOGLEFINANCE(B137,""price"",TODAY()-365,TODAY()),1,0),""select Col2 limit 200""))"),730.2470000000003)</f>
        <v>730.247</v>
      </c>
      <c r="O137" s="20" t="str">
        <f t="shared" si="2"/>
        <v>Avoid</v>
      </c>
      <c r="P137" s="21" t="str">
        <f t="shared" si="3"/>
        <v/>
      </c>
      <c r="Q137" s="21" t="str">
        <f t="shared" si="4"/>
        <v/>
      </c>
      <c r="R137" s="22">
        <f>IFERROR(__xludf.DUMMYFUNCTION("GOOGLEFINANCE(B137, ""pe"")
"),10.63)</f>
        <v>10.63</v>
      </c>
    </row>
    <row r="138">
      <c r="A138" s="9" t="s">
        <v>151</v>
      </c>
      <c r="B138" s="11" t="str">
        <f t="shared" si="1"/>
        <v>NSE:TATAMTRDVR</v>
      </c>
      <c r="C138" s="12" t="str">
        <f>IFERROR(__xludf.DUMMYFUNCTION("GOOGLEFINANCE(B138,""marketcap"")/10000000"),"#N/A")</f>
        <v>#N/A</v>
      </c>
      <c r="D138" s="13" t="str">
        <f>IFERROR(__xludf.DUMMYFUNCTION("GOOGLEFINANCE(B138,""price"")"),"#N/A")</f>
        <v>#N/A</v>
      </c>
      <c r="E138" s="14" t="str">
        <f>IFERROR(__xludf.DUMMYFUNCTION("GOOGLEFINANCE(B138,""Volume"")"),"#N/A")</f>
        <v>#N/A</v>
      </c>
      <c r="F138" s="14">
        <f t="array" ref="F138">F137</f>
        <v>14</v>
      </c>
      <c r="G138" s="15" t="str">
        <f>IFERROR(__xludf.DUMMYFUNCTION("IF(E138&gt;AVERAGE(INDEX(GOOGLEFINANCE(B138,""volume"",WORKDAY(TODAY(),-$F$1),TODAY()),,2)),""Breakout"","""")"),"#N/A")</f>
        <v>#N/A</v>
      </c>
      <c r="H138" s="16" t="str">
        <f>IFERROR(__xludf.DUMMYFUNCTION("GOOGLEFINANCE(B138,""price"")"),"#N/A")</f>
        <v>#N/A</v>
      </c>
      <c r="I138" s="17" t="str">
        <f>IFERROR(__xludf.DUMMYFUNCTION("AVERAGE(QUERY(SORT(GOOGLEFINANCE(B138,""price"",TODAY()-365,TODAY()),1,0),""select Col2 limit 10""))"),"#N/A")</f>
        <v>#N/A</v>
      </c>
      <c r="J138" s="17" t="str">
        <f>IFERROR(__xludf.DUMMYFUNCTION("AVERAGE(QUERY(SORT(GOOGLEFINANCE(B138,""price"",TODAY()-365,TODAY()),1,0),""select Col2 limit 30""))"),"#N/A")</f>
        <v>#N/A</v>
      </c>
      <c r="K138" s="18" t="str">
        <f>IFERROR(__xludf.DUMMYFUNCTION("AVERAGE(QUERY(SORT(GOOGLEFINANCE(B138,""price"",TODAY()-365,TODAY()),1,0),""select Col2 limit 60""))"),"#N/A")</f>
        <v>#N/A</v>
      </c>
      <c r="L138" s="17" t="str">
        <f>IFERROR(__xludf.DUMMYFUNCTION("AVERAGE(QUERY(SORT(GOOGLEFINANCE(B138,""price"",TODAY()-365,TODAY()),1,0),""select Col2 limit 90""))"),"#N/A")</f>
        <v>#N/A</v>
      </c>
      <c r="M138" s="17" t="str">
        <f>IFERROR(__xludf.DUMMYFUNCTION("AVERAGE(QUERY(SORT(GOOGLEFINANCE(B138,""price"",TODAY()-365,TODAY()),1,0),""select Col2 limit 120""))"),"#N/A")</f>
        <v>#N/A</v>
      </c>
      <c r="N138" s="19" t="str">
        <f>IFERROR(__xludf.DUMMYFUNCTION("AVERAGE(QUERY(SORT(GOOGLEFINANCE(B138,""price"",TODAY()-365,TODAY()),1,0),""select Col2 limit 200""))"),"#N/A")</f>
        <v>#N/A</v>
      </c>
      <c r="O138" s="20" t="str">
        <f t="shared" si="2"/>
        <v>#N/A</v>
      </c>
      <c r="P138" s="21" t="str">
        <f t="shared" si="3"/>
        <v>#N/A</v>
      </c>
      <c r="Q138" s="21" t="str">
        <f t="shared" si="4"/>
        <v>#N/A</v>
      </c>
      <c r="R138" s="22" t="str">
        <f>IFERROR(__xludf.DUMMYFUNCTION("GOOGLEFINANCE(B138, ""pe"")
"),"#N/A")</f>
        <v>#N/A</v>
      </c>
    </row>
    <row r="139">
      <c r="A139" s="9" t="s">
        <v>152</v>
      </c>
      <c r="B139" s="11" t="str">
        <f t="shared" si="1"/>
        <v>NSE:KOTAKBANK</v>
      </c>
      <c r="C139" s="12">
        <f>IFERROR(__xludf.DUMMYFUNCTION("GOOGLEFINANCE(B139,""marketcap"")/10000000"),393760.8814089)</f>
        <v>393760.8814</v>
      </c>
      <c r="D139" s="13">
        <f>IFERROR(__xludf.DUMMYFUNCTION("GOOGLEFINANCE(B139,""price"")"),1979.8)</f>
        <v>1979.8</v>
      </c>
      <c r="E139" s="14">
        <f>IFERROR(__xludf.DUMMYFUNCTION("GOOGLEFINANCE(B139,""Volume"")"),9446385.0)</f>
        <v>9446385</v>
      </c>
      <c r="F139" s="14">
        <f t="array" ref="F139">F138</f>
        <v>14</v>
      </c>
      <c r="G139" s="15" t="str">
        <f>IFERROR(__xludf.DUMMYFUNCTION("IF(E139&gt;AVERAGE(INDEX(GOOGLEFINANCE(B139,""volume"",WORKDAY(TODAY(),-$F$1),TODAY()),,2)),""Breakout"","""")"),"Breakout")</f>
        <v>Breakout</v>
      </c>
      <c r="H139" s="16">
        <f>IFERROR(__xludf.DUMMYFUNCTION("GOOGLEFINANCE(B139,""price"")"),1979.8)</f>
        <v>1979.8</v>
      </c>
      <c r="I139" s="17">
        <f>IFERROR(__xludf.DUMMYFUNCTION("AVERAGE(QUERY(SORT(GOOGLEFINANCE(B139,""price"",TODAY()-365,TODAY()),1,0),""select Col2 limit 10""))"),2164.5099999999998)</f>
        <v>2164.51</v>
      </c>
      <c r="J139" s="17">
        <f>IFERROR(__xludf.DUMMYFUNCTION("AVERAGE(QUERY(SORT(GOOGLEFINANCE(B139,""price"",TODAY()-365,TODAY()),1,0),""select Col2 limit 30""))"),2172.93)</f>
        <v>2172.93</v>
      </c>
      <c r="K139" s="18">
        <f>IFERROR(__xludf.DUMMYFUNCTION("AVERAGE(QUERY(SORT(GOOGLEFINANCE(B139,""price"",TODAY()-365,TODAY()),1,0),""select Col2 limit 60""))"),2133.3)</f>
        <v>2133.3</v>
      </c>
      <c r="L139" s="17">
        <f>IFERROR(__xludf.DUMMYFUNCTION("AVERAGE(QUERY(SORT(GOOGLEFINANCE(B139,""price"",TODAY()-365,TODAY()),1,0),""select Col2 limit 90""))"),2135.492777777778)</f>
        <v>2135.492778</v>
      </c>
      <c r="M139" s="17">
        <f>IFERROR(__xludf.DUMMYFUNCTION("AVERAGE(QUERY(SORT(GOOGLEFINANCE(B139,""price"",TODAY()-365,TODAY()),1,0),""select Col2 limit 120""))"),2086.2775)</f>
        <v>2086.2775</v>
      </c>
      <c r="N139" s="19">
        <f>IFERROR(__xludf.DUMMYFUNCTION("AVERAGE(QUERY(SORT(GOOGLEFINANCE(B139,""price"",TODAY()-365,TODAY()),1,0),""select Col2 limit 200""))"),1967.7032500000005)</f>
        <v>1967.70325</v>
      </c>
      <c r="O139" s="20" t="str">
        <f t="shared" si="2"/>
        <v>Sell Below 200 DMA</v>
      </c>
      <c r="P139" s="21" t="str">
        <f t="shared" si="3"/>
        <v/>
      </c>
      <c r="Q139" s="21" t="str">
        <f t="shared" si="4"/>
        <v/>
      </c>
      <c r="R139" s="22">
        <f>IFERROR(__xludf.DUMMYFUNCTION("GOOGLEFINANCE(B139, ""pe"")
"),17.79)</f>
        <v>17.79</v>
      </c>
    </row>
    <row r="140">
      <c r="A140" s="9" t="s">
        <v>153</v>
      </c>
      <c r="B140" s="11" t="str">
        <f t="shared" si="1"/>
        <v>NSE:NTPC</v>
      </c>
      <c r="C140" s="12">
        <f>IFERROR(__xludf.DUMMYFUNCTION("GOOGLEFINANCE(B140,""marketcap"")/10000000"),325468.5548066)</f>
        <v>325468.5548</v>
      </c>
      <c r="D140" s="13">
        <f>IFERROR(__xludf.DUMMYFUNCTION("GOOGLEFINANCE(B140,""price"")"),335.55)</f>
        <v>335.55</v>
      </c>
      <c r="E140" s="14">
        <f>IFERROR(__xludf.DUMMYFUNCTION("GOOGLEFINANCE(B140,""Volume"")"),2139419.0)</f>
        <v>2139419</v>
      </c>
      <c r="F140" s="14">
        <f t="array" ref="F140">F139</f>
        <v>14</v>
      </c>
      <c r="G140" s="15" t="str">
        <f>IFERROR(__xludf.DUMMYFUNCTION("IF(E140&gt;AVERAGE(INDEX(GOOGLEFINANCE(B140,""volume"",WORKDAY(TODAY(),-$F$1),TODAY()),,2)),""Breakout"","""")"),"")</f>
        <v/>
      </c>
      <c r="H140" s="16">
        <f>IFERROR(__xludf.DUMMYFUNCTION("GOOGLEFINANCE(B140,""price"")"),335.55)</f>
        <v>335.55</v>
      </c>
      <c r="I140" s="17">
        <f>IFERROR(__xludf.DUMMYFUNCTION("AVERAGE(QUERY(SORT(GOOGLEFINANCE(B140,""price"",TODAY()-365,TODAY()),1,0),""select Col2 limit 10""))"),340.875)</f>
        <v>340.875</v>
      </c>
      <c r="J140" s="17">
        <f>IFERROR(__xludf.DUMMYFUNCTION("AVERAGE(QUERY(SORT(GOOGLEFINANCE(B140,""price"",TODAY()-365,TODAY()),1,0),""select Col2 limit 30""))"),337.4116666666667)</f>
        <v>337.4116667</v>
      </c>
      <c r="K140" s="18">
        <f>IFERROR(__xludf.DUMMYFUNCTION("AVERAGE(QUERY(SORT(GOOGLEFINANCE(B140,""price"",TODAY()-365,TODAY()),1,0),""select Col2 limit 60""))"),338.1674999999999)</f>
        <v>338.1675</v>
      </c>
      <c r="L140" s="17">
        <f>IFERROR(__xludf.DUMMYFUNCTION("AVERAGE(QUERY(SORT(GOOGLEFINANCE(B140,""price"",TODAY()-365,TODAY()),1,0),""select Col2 limit 90""))"),343.79055555555556)</f>
        <v>343.7905556</v>
      </c>
      <c r="M140" s="17">
        <f>IFERROR(__xludf.DUMMYFUNCTION("AVERAGE(QUERY(SORT(GOOGLEFINANCE(B140,""price"",TODAY()-365,TODAY()),1,0),""select Col2 limit 120""))"),337.3874999999998)</f>
        <v>337.3875</v>
      </c>
      <c r="N140" s="19">
        <f>IFERROR(__xludf.DUMMYFUNCTION("AVERAGE(QUERY(SORT(GOOGLEFINANCE(B140,""price"",TODAY()-365,TODAY()),1,0),""select Col2 limit 200""))"),349.07849999999996)</f>
        <v>349.0785</v>
      </c>
      <c r="O140" s="20" t="str">
        <f t="shared" si="2"/>
        <v>Avoid</v>
      </c>
      <c r="P140" s="21" t="str">
        <f t="shared" si="3"/>
        <v>30 DMA</v>
      </c>
      <c r="Q140" s="21" t="str">
        <f t="shared" si="4"/>
        <v/>
      </c>
      <c r="R140" s="22">
        <f>IFERROR(__xludf.DUMMYFUNCTION("GOOGLEFINANCE(B140, ""pe"")
"),13.91)</f>
        <v>13.91</v>
      </c>
    </row>
    <row r="141">
      <c r="A141" s="9" t="s">
        <v>154</v>
      </c>
      <c r="B141" s="11" t="str">
        <f t="shared" si="1"/>
        <v>NSE:M&amp;M</v>
      </c>
      <c r="C141" s="12">
        <f>IFERROR(__xludf.DUMMYFUNCTION("GOOGLEFINANCE(B141,""marketcap"")/10000000"),386257.3554758)</f>
        <v>386257.3555</v>
      </c>
      <c r="D141" s="13">
        <f>IFERROR(__xludf.DUMMYFUNCTION("GOOGLEFINANCE(B141,""price"")"),3219.9)</f>
        <v>3219.9</v>
      </c>
      <c r="E141" s="14">
        <f>IFERROR(__xludf.DUMMYFUNCTION("GOOGLEFINANCE(B141,""Volume"")"),821008.0)</f>
        <v>821008</v>
      </c>
      <c r="F141" s="14">
        <f t="array" ref="F141">F140</f>
        <v>14</v>
      </c>
      <c r="G141" s="15" t="str">
        <f>IFERROR(__xludf.DUMMYFUNCTION("IF(E141&gt;AVERAGE(INDEX(GOOGLEFINANCE(B141,""volume"",WORKDAY(TODAY(),-$F$1),TODAY()),,2)),""Breakout"","""")"),"")</f>
        <v/>
      </c>
      <c r="H141" s="16">
        <f>IFERROR(__xludf.DUMMYFUNCTION("GOOGLEFINANCE(B141,""price"")"),3219.9)</f>
        <v>3219.9</v>
      </c>
      <c r="I141" s="17">
        <f>IFERROR(__xludf.DUMMYFUNCTION("AVERAGE(QUERY(SORT(GOOGLEFINANCE(B141,""price"",TODAY()-365,TODAY()),1,0),""select Col2 limit 10""))"),3208.46)</f>
        <v>3208.46</v>
      </c>
      <c r="J141" s="17">
        <f>IFERROR(__xludf.DUMMYFUNCTION("AVERAGE(QUERY(SORT(GOOGLEFINANCE(B141,""price"",TODAY()-365,TODAY()),1,0),""select Col2 limit 30""))"),3164.8933333333334)</f>
        <v>3164.893333</v>
      </c>
      <c r="K141" s="18">
        <f>IFERROR(__xludf.DUMMYFUNCTION("AVERAGE(QUERY(SORT(GOOGLEFINANCE(B141,""price"",TODAY()-365,TODAY()),1,0),""select Col2 limit 60""))"),3110.8583333333327)</f>
        <v>3110.858333</v>
      </c>
      <c r="L141" s="17">
        <f>IFERROR(__xludf.DUMMYFUNCTION("AVERAGE(QUERY(SORT(GOOGLEFINANCE(B141,""price"",TODAY()-365,TODAY()),1,0),""select Col2 limit 90""))"),2985.23)</f>
        <v>2985.23</v>
      </c>
      <c r="M141" s="17">
        <f>IFERROR(__xludf.DUMMYFUNCTION("AVERAGE(QUERY(SORT(GOOGLEFINANCE(B141,""price"",TODAY()-365,TODAY()),1,0),""select Col2 limit 120""))"),2953.304166666666)</f>
        <v>2953.304167</v>
      </c>
      <c r="N141" s="19">
        <f>IFERROR(__xludf.DUMMYFUNCTION("AVERAGE(QUERY(SORT(GOOGLEFINANCE(B141,""price"",TODAY()-365,TODAY()),1,0),""select Col2 limit 200""))"),2962.842999999998)</f>
        <v>2962.843</v>
      </c>
      <c r="O141" s="20" t="str">
        <f t="shared" si="2"/>
        <v>Avoid</v>
      </c>
      <c r="P141" s="21" t="str">
        <f t="shared" si="3"/>
        <v/>
      </c>
      <c r="Q141" s="21" t="str">
        <f t="shared" si="4"/>
        <v/>
      </c>
      <c r="R141" s="22">
        <f>IFERROR(__xludf.DUMMYFUNCTION("GOOGLEFINANCE(B141, ""pe"")
"),27.89)</f>
        <v>27.89</v>
      </c>
    </row>
    <row r="142">
      <c r="A142" s="9" t="s">
        <v>155</v>
      </c>
      <c r="B142" s="11" t="str">
        <f t="shared" si="1"/>
        <v>NSE:DMART</v>
      </c>
      <c r="C142" s="12">
        <f>IFERROR(__xludf.DUMMYFUNCTION("GOOGLEFINANCE(B142,""marketcap"")/10000000"),259297.5753325)</f>
        <v>259297.5753</v>
      </c>
      <c r="D142" s="13">
        <f>IFERROR(__xludf.DUMMYFUNCTION("GOOGLEFINANCE(B142,""price"")"),3983.6)</f>
        <v>3983.6</v>
      </c>
      <c r="E142" s="14">
        <f>IFERROR(__xludf.DUMMYFUNCTION("GOOGLEFINANCE(B142,""Volume"")"),123008.0)</f>
        <v>123008</v>
      </c>
      <c r="F142" s="14">
        <f t="array" ref="F142">F141</f>
        <v>14</v>
      </c>
      <c r="G142" s="15" t="str">
        <f>IFERROR(__xludf.DUMMYFUNCTION("IF(E142&gt;AVERAGE(INDEX(GOOGLEFINANCE(B142,""volume"",WORKDAY(TODAY(),-$F$1),TODAY()),,2)),""Breakout"","""")"),"#N/A")</f>
        <v>#N/A</v>
      </c>
      <c r="H142" s="16">
        <f>IFERROR(__xludf.DUMMYFUNCTION("GOOGLEFINANCE(B142,""price"")"),3983.6)</f>
        <v>3983.6</v>
      </c>
      <c r="I142" s="17">
        <f>IFERROR(__xludf.DUMMYFUNCTION("AVERAGE(QUERY(SORT(GOOGLEFINANCE(B142,""price"",TODAY()-365,TODAY()),1,0),""select Col2 limit 10""))"),4034.7400000000002)</f>
        <v>4034.74</v>
      </c>
      <c r="J142" s="17">
        <f>IFERROR(__xludf.DUMMYFUNCTION("AVERAGE(QUERY(SORT(GOOGLEFINANCE(B142,""price"",TODAY()-365,TODAY()),1,0),""select Col2 limit 30""))"),4180.56)</f>
        <v>4180.56</v>
      </c>
      <c r="K142" s="18">
        <f>IFERROR(__xludf.DUMMYFUNCTION("AVERAGE(QUERY(SORT(GOOGLEFINANCE(B142,""price"",TODAY()-365,TODAY()),1,0),""select Col2 limit 60""))"),4128.248333333334)</f>
        <v>4128.248333</v>
      </c>
      <c r="L142" s="17">
        <f>IFERROR(__xludf.DUMMYFUNCTION("AVERAGE(QUERY(SORT(GOOGLEFINANCE(B142,""price"",TODAY()-365,TODAY()),1,0),""select Col2 limit 90""))"),4128.126666666666)</f>
        <v>4128.126667</v>
      </c>
      <c r="M142" s="17">
        <f>IFERROR(__xludf.DUMMYFUNCTION("AVERAGE(QUERY(SORT(GOOGLEFINANCE(B142,""price"",TODAY()-365,TODAY()),1,0),""select Col2 limit 120""))"),4007.199166666667)</f>
        <v>4007.199167</v>
      </c>
      <c r="N142" s="19">
        <f>IFERROR(__xludf.DUMMYFUNCTION("AVERAGE(QUERY(SORT(GOOGLEFINANCE(B142,""price"",TODAY()-365,TODAY()),1,0),""select Col2 limit 200""))"),3931.104500000001)</f>
        <v>3931.1045</v>
      </c>
      <c r="O142" s="20" t="str">
        <f t="shared" si="2"/>
        <v>Sell Below 200 DMA</v>
      </c>
      <c r="P142" s="21" t="str">
        <f t="shared" si="3"/>
        <v>120 DMA</v>
      </c>
      <c r="Q142" s="21" t="str">
        <f t="shared" si="4"/>
        <v/>
      </c>
      <c r="R142" s="22">
        <f>IFERROR(__xludf.DUMMYFUNCTION("GOOGLEFINANCE(B142, ""pe"")
"),95.92)</f>
        <v>95.92</v>
      </c>
    </row>
    <row r="143">
      <c r="A143" s="9" t="s">
        <v>156</v>
      </c>
      <c r="B143" s="11" t="str">
        <f t="shared" si="1"/>
        <v>NSE:ULTRACEMCO</v>
      </c>
      <c r="C143" s="12">
        <f>IFERROR(__xludf.DUMMYFUNCTION("GOOGLEFINANCE(B143,""marketcap"")/10000000"),360454.59604)</f>
        <v>360454.596</v>
      </c>
      <c r="D143" s="13">
        <f>IFERROR(__xludf.DUMMYFUNCTION("GOOGLEFINANCE(B143,""price"")"),12260.0)</f>
        <v>12260</v>
      </c>
      <c r="E143" s="14">
        <f>IFERROR(__xludf.DUMMYFUNCTION("GOOGLEFINANCE(B143,""Volume"")"),94609.0)</f>
        <v>94609</v>
      </c>
      <c r="F143" s="14">
        <f t="array" ref="F143">F142</f>
        <v>14</v>
      </c>
      <c r="G143" s="15" t="str">
        <f>IFERROR(__xludf.DUMMYFUNCTION("IF(E143&gt;AVERAGE(INDEX(GOOGLEFINANCE(B143,""volume"",WORKDAY(TODAY(),-$F$1),TODAY()),,2)),""Breakout"","""")"),"")</f>
        <v/>
      </c>
      <c r="H143" s="16">
        <f>IFERROR(__xludf.DUMMYFUNCTION("GOOGLEFINANCE(B143,""price"")"),12260.0)</f>
        <v>12260</v>
      </c>
      <c r="I143" s="17">
        <f>IFERROR(__xludf.DUMMYFUNCTION("AVERAGE(QUERY(SORT(GOOGLEFINANCE(B143,""price"",TODAY()-365,TODAY()),1,0),""select Col2 limit 10""))"),12441.9)</f>
        <v>12441.9</v>
      </c>
      <c r="J143" s="17">
        <f>IFERROR(__xludf.DUMMYFUNCTION("AVERAGE(QUERY(SORT(GOOGLEFINANCE(B143,""price"",TODAY()-365,TODAY()),1,0),""select Col2 limit 30""))"),12150.4)</f>
        <v>12150.4</v>
      </c>
      <c r="K143" s="18">
        <f>IFERROR(__xludf.DUMMYFUNCTION("AVERAGE(QUERY(SORT(GOOGLEFINANCE(B143,""price"",TODAY()-365,TODAY()),1,0),""select Col2 limit 60""))"),11821.3)</f>
        <v>11821.3</v>
      </c>
      <c r="L143" s="17">
        <f>IFERROR(__xludf.DUMMYFUNCTION("AVERAGE(QUERY(SORT(GOOGLEFINANCE(B143,""price"",TODAY()-365,TODAY()),1,0),""select Col2 limit 90""))"),11714.617777777776)</f>
        <v>11714.61778</v>
      </c>
      <c r="M143" s="17">
        <f>IFERROR(__xludf.DUMMYFUNCTION("AVERAGE(QUERY(SORT(GOOGLEFINANCE(B143,""price"",TODAY()-365,TODAY()),1,0),""select Col2 limit 120""))"),11542.519583333331)</f>
        <v>11542.51958</v>
      </c>
      <c r="N143" s="19">
        <f>IFERROR(__xludf.DUMMYFUNCTION("AVERAGE(QUERY(SORT(GOOGLEFINANCE(B143,""price"",TODAY()-365,TODAY()),1,0),""select Col2 limit 200""))"),11428.956749999994)</f>
        <v>11428.95675</v>
      </c>
      <c r="O143" s="20" t="str">
        <f t="shared" si="2"/>
        <v>Avoid</v>
      </c>
      <c r="P143" s="21" t="str">
        <f t="shared" si="3"/>
        <v/>
      </c>
      <c r="Q143" s="21" t="str">
        <f t="shared" si="4"/>
        <v/>
      </c>
      <c r="R143" s="22">
        <f>IFERROR(__xludf.DUMMYFUNCTION("GOOGLEFINANCE(B143, ""pe"")
"),51.19)</f>
        <v>51.19</v>
      </c>
    </row>
    <row r="144">
      <c r="A144" s="9" t="s">
        <v>157</v>
      </c>
      <c r="B144" s="11" t="str">
        <f t="shared" si="1"/>
        <v>NSE:HAL</v>
      </c>
      <c r="C144" s="12">
        <f>IFERROR(__xludf.DUMMYFUNCTION("GOOGLEFINANCE(B144,""marketcap"")/10000000"),302286.3)</f>
        <v>302286.3</v>
      </c>
      <c r="D144" s="13">
        <f>IFERROR(__xludf.DUMMYFUNCTION("GOOGLEFINANCE(B144,""price"")"),4521.9)</f>
        <v>4521.9</v>
      </c>
      <c r="E144" s="14">
        <f>IFERROR(__xludf.DUMMYFUNCTION("GOOGLEFINANCE(B144,""Volume"")"),383887.0)</f>
        <v>383887</v>
      </c>
      <c r="F144" s="14">
        <f t="array" ref="F144">F143</f>
        <v>14</v>
      </c>
      <c r="G144" s="15" t="str">
        <f>IFERROR(__xludf.DUMMYFUNCTION("IF(E144&gt;AVERAGE(INDEX(GOOGLEFINANCE(B144,""volume"",WORKDAY(TODAY(),-$F$1),TODAY()),,2)),""Breakout"","""")"),"")</f>
        <v/>
      </c>
      <c r="H144" s="16">
        <f>IFERROR(__xludf.DUMMYFUNCTION("GOOGLEFINANCE(B144,""price"")"),4521.9)</f>
        <v>4521.9</v>
      </c>
      <c r="I144" s="17">
        <f>IFERROR(__xludf.DUMMYFUNCTION("AVERAGE(QUERY(SORT(GOOGLEFINANCE(B144,""price"",TODAY()-365,TODAY()),1,0),""select Col2 limit 10""))"),4755.39)</f>
        <v>4755.39</v>
      </c>
      <c r="J144" s="17">
        <f>IFERROR(__xludf.DUMMYFUNCTION("AVERAGE(QUERY(SORT(GOOGLEFINANCE(B144,""price"",TODAY()-365,TODAY()),1,0),""select Col2 limit 30""))"),4878.8533333333335)</f>
        <v>4878.853333</v>
      </c>
      <c r="K144" s="18">
        <f>IFERROR(__xludf.DUMMYFUNCTION("AVERAGE(QUERY(SORT(GOOGLEFINANCE(B144,""price"",TODAY()-365,TODAY()),1,0),""select Col2 limit 60""))"),4878.883333333334)</f>
        <v>4878.883333</v>
      </c>
      <c r="L144" s="17">
        <f>IFERROR(__xludf.DUMMYFUNCTION("AVERAGE(QUERY(SORT(GOOGLEFINANCE(B144,""price"",TODAY()-365,TODAY()),1,0),""select Col2 limit 90""))"),4634.080000000003)</f>
        <v>4634.08</v>
      </c>
      <c r="M144" s="17">
        <f>IFERROR(__xludf.DUMMYFUNCTION("AVERAGE(QUERY(SORT(GOOGLEFINANCE(B144,""price"",TODAY()-365,TODAY()),1,0),""select Col2 limit 120""))"),4350.5437500000035)</f>
        <v>4350.54375</v>
      </c>
      <c r="N144" s="19">
        <f>IFERROR(__xludf.DUMMYFUNCTION("AVERAGE(QUERY(SORT(GOOGLEFINANCE(B144,""price"",TODAY()-365,TODAY()),1,0),""select Col2 limit 200""))"),4314.881000000001)</f>
        <v>4314.881</v>
      </c>
      <c r="O144" s="20" t="str">
        <f t="shared" si="2"/>
        <v>Avoid</v>
      </c>
      <c r="P144" s="21" t="str">
        <f t="shared" si="3"/>
        <v/>
      </c>
      <c r="Q144" s="21" t="str">
        <f t="shared" si="4"/>
        <v/>
      </c>
      <c r="R144" s="22">
        <f>IFERROR(__xludf.DUMMYFUNCTION("GOOGLEFINANCE(B144, ""pe"")
"),36.15)</f>
        <v>36.15</v>
      </c>
    </row>
    <row r="145">
      <c r="A145" s="9" t="s">
        <v>158</v>
      </c>
      <c r="B145" s="11" t="str">
        <f t="shared" si="1"/>
        <v>NSE:ADANIPORTS</v>
      </c>
      <c r="C145" s="12">
        <f>IFERROR(__xludf.DUMMYFUNCTION("GOOGLEFINANCE(B145,""marketcap"")/10000000"),300928.8195062)</f>
        <v>300928.8195</v>
      </c>
      <c r="D145" s="13">
        <f>IFERROR(__xludf.DUMMYFUNCTION("GOOGLEFINANCE(B145,""price"")"),1393.0)</f>
        <v>1393</v>
      </c>
      <c r="E145" s="14">
        <f>IFERROR(__xludf.DUMMYFUNCTION("GOOGLEFINANCE(B145,""Volume"")"),322481.0)</f>
        <v>322481</v>
      </c>
      <c r="F145" s="14">
        <f t="array" ref="F145">F144</f>
        <v>14</v>
      </c>
      <c r="G145" s="15" t="str">
        <f>IFERROR(__xludf.DUMMYFUNCTION("IF(E145&gt;AVERAGE(INDEX(GOOGLEFINANCE(B145,""volume"",WORKDAY(TODAY(),-$F$1),TODAY()),,2)),""Breakout"","""")"),"")</f>
        <v/>
      </c>
      <c r="H145" s="16">
        <f>IFERROR(__xludf.DUMMYFUNCTION("GOOGLEFINANCE(B145,""price"")"),1393.0)</f>
        <v>1393</v>
      </c>
      <c r="I145" s="17">
        <f>IFERROR(__xludf.DUMMYFUNCTION("AVERAGE(QUERY(SORT(GOOGLEFINANCE(B145,""price"",TODAY()-365,TODAY()),1,0),""select Col2 limit 10""))"),1433.19)</f>
        <v>1433.19</v>
      </c>
      <c r="J145" s="17">
        <f>IFERROR(__xludf.DUMMYFUNCTION("AVERAGE(QUERY(SORT(GOOGLEFINANCE(B145,""price"",TODAY()-365,TODAY()),1,0),""select Col2 limit 30""))"),1419.53)</f>
        <v>1419.53</v>
      </c>
      <c r="K145" s="18">
        <f>IFERROR(__xludf.DUMMYFUNCTION("AVERAGE(QUERY(SORT(GOOGLEFINANCE(B145,""price"",TODAY()-365,TODAY()),1,0),""select Col2 limit 60""))"),1411.3700000000001)</f>
        <v>1411.37</v>
      </c>
      <c r="L145" s="17">
        <f>IFERROR(__xludf.DUMMYFUNCTION("AVERAGE(QUERY(SORT(GOOGLEFINANCE(B145,""price"",TODAY()-365,TODAY()),1,0),""select Col2 limit 90""))"),1338.633888888889)</f>
        <v>1338.633889</v>
      </c>
      <c r="M145" s="17">
        <f>IFERROR(__xludf.DUMMYFUNCTION("AVERAGE(QUERY(SORT(GOOGLEFINANCE(B145,""price"",TODAY()-365,TODAY()),1,0),""select Col2 limit 120""))"),1280.667916666667)</f>
        <v>1280.667917</v>
      </c>
      <c r="N145" s="19">
        <f>IFERROR(__xludf.DUMMYFUNCTION("AVERAGE(QUERY(SORT(GOOGLEFINANCE(B145,""price"",TODAY()-365,TODAY()),1,0),""select Col2 limit 200""))"),1269.0142500000004)</f>
        <v>1269.01425</v>
      </c>
      <c r="O145" s="20" t="str">
        <f t="shared" si="2"/>
        <v>Avoid</v>
      </c>
      <c r="P145" s="21" t="str">
        <f t="shared" si="3"/>
        <v/>
      </c>
      <c r="Q145" s="21" t="str">
        <f t="shared" si="4"/>
        <v/>
      </c>
      <c r="R145" s="22">
        <f>IFERROR(__xludf.DUMMYFUNCTION("GOOGLEFINANCE(B145, ""pe"")
"),27.14)</f>
        <v>27.14</v>
      </c>
    </row>
    <row r="146">
      <c r="A146" s="9" t="s">
        <v>159</v>
      </c>
      <c r="B146" s="11" t="str">
        <f t="shared" si="1"/>
        <v>NSE:POWERGRID</v>
      </c>
      <c r="C146" s="12">
        <f>IFERROR(__xludf.DUMMYFUNCTION("GOOGLEFINANCE(B146,""marketcap"")/10000000"),273577.2903983)</f>
        <v>273577.2904</v>
      </c>
      <c r="D146" s="13">
        <f>IFERROR(__xludf.DUMMYFUNCTION("GOOGLEFINANCE(B146,""price"")"),294.2)</f>
        <v>294.2</v>
      </c>
      <c r="E146" s="14">
        <f>IFERROR(__xludf.DUMMYFUNCTION("GOOGLEFINANCE(B146,""Volume"")"),2443137.0)</f>
        <v>2443137</v>
      </c>
      <c r="F146" s="14">
        <f t="array" ref="F146">F145</f>
        <v>14</v>
      </c>
      <c r="G146" s="15" t="str">
        <f>IFERROR(__xludf.DUMMYFUNCTION("IF(E146&gt;AVERAGE(INDEX(GOOGLEFINANCE(B146,""volume"",WORKDAY(TODAY(),-$F$1),TODAY()),,2)),""Breakout"","""")"),"")</f>
        <v/>
      </c>
      <c r="H146" s="16">
        <f>IFERROR(__xludf.DUMMYFUNCTION("GOOGLEFINANCE(B146,""price"")"),294.2)</f>
        <v>294.2</v>
      </c>
      <c r="I146" s="17" t="str">
        <f>IFERROR(__xludf.DUMMYFUNCTION("AVERAGE(QUERY(SORT(GOOGLEFINANCE(B146,""price"",TODAY()-365,TODAY()),1,0),""select Col2 limit 10""))"),"#N/A")</f>
        <v>#N/A</v>
      </c>
      <c r="J146" s="17" t="str">
        <f>IFERROR(__xludf.DUMMYFUNCTION("AVERAGE(QUERY(SORT(GOOGLEFINANCE(B146,""price"",TODAY()-365,TODAY()),1,0),""select Col2 limit 30""))"),"#N/A")</f>
        <v>#N/A</v>
      </c>
      <c r="K146" s="18" t="str">
        <f>IFERROR(__xludf.DUMMYFUNCTION("AVERAGE(QUERY(SORT(GOOGLEFINANCE(B146,""price"",TODAY()-365,TODAY()),1,0),""select Col2 limit 60""))"),"#N/A")</f>
        <v>#N/A</v>
      </c>
      <c r="L146" s="17" t="str">
        <f>IFERROR(__xludf.DUMMYFUNCTION("AVERAGE(QUERY(SORT(GOOGLEFINANCE(B146,""price"",TODAY()-365,TODAY()),1,0),""select Col2 limit 90""))"),"#N/A")</f>
        <v>#N/A</v>
      </c>
      <c r="M146" s="17" t="str">
        <f>IFERROR(__xludf.DUMMYFUNCTION("AVERAGE(QUERY(SORT(GOOGLEFINANCE(B146,""price"",TODAY()-365,TODAY()),1,0),""select Col2 limit 120""))"),"#N/A")</f>
        <v>#N/A</v>
      </c>
      <c r="N146" s="19" t="str">
        <f>IFERROR(__xludf.DUMMYFUNCTION("AVERAGE(QUERY(SORT(GOOGLEFINANCE(B146,""price"",TODAY()-365,TODAY()),1,0),""select Col2 limit 200""))"),"#N/A")</f>
        <v>#N/A</v>
      </c>
      <c r="O146" s="20" t="str">
        <f t="shared" si="2"/>
        <v>#N/A</v>
      </c>
      <c r="P146" s="21" t="str">
        <f t="shared" si="3"/>
        <v>#N/A</v>
      </c>
      <c r="Q146" s="21" t="str">
        <f t="shared" si="4"/>
        <v>#N/A</v>
      </c>
      <c r="R146" s="22">
        <f>IFERROR(__xludf.DUMMYFUNCTION("GOOGLEFINANCE(B146, ""pe"")
"),17.95)</f>
        <v>17.95</v>
      </c>
    </row>
    <row r="147">
      <c r="A147" s="9" t="s">
        <v>160</v>
      </c>
      <c r="B147" s="11" t="str">
        <f t="shared" si="1"/>
        <v>NSE:COALINDIA</v>
      </c>
      <c r="C147" s="12">
        <f>IFERROR(__xludf.DUMMYFUNCTION("GOOGLEFINANCE(B147,""marketcap"")/10000000"),234153.9396)</f>
        <v>234153.9396</v>
      </c>
      <c r="D147" s="13">
        <f>IFERROR(__xludf.DUMMYFUNCTION("GOOGLEFINANCE(B147,""price"")"),380.6)</f>
        <v>380.6</v>
      </c>
      <c r="E147" s="14">
        <f>IFERROR(__xludf.DUMMYFUNCTION("GOOGLEFINANCE(B147,""Volume"")"),2557709.0)</f>
        <v>2557709</v>
      </c>
      <c r="F147" s="14">
        <f t="array" ref="F147">F146</f>
        <v>14</v>
      </c>
      <c r="G147" s="15" t="str">
        <f>IFERROR(__xludf.DUMMYFUNCTION("IF(E147&gt;AVERAGE(INDEX(GOOGLEFINANCE(B147,""volume"",WORKDAY(TODAY(),-$F$1),TODAY()),,2)),""Breakout"","""")"),"")</f>
        <v/>
      </c>
      <c r="H147" s="16">
        <f>IFERROR(__xludf.DUMMYFUNCTION("GOOGLEFINANCE(B147,""price"")"),380.6)</f>
        <v>380.6</v>
      </c>
      <c r="I147" s="17">
        <f>IFERROR(__xludf.DUMMYFUNCTION("AVERAGE(QUERY(SORT(GOOGLEFINANCE(B147,""price"",TODAY()-365,TODAY()),1,0),""select Col2 limit 10""))"),386.41499999999996)</f>
        <v>386.415</v>
      </c>
      <c r="J147" s="17">
        <f>IFERROR(__xludf.DUMMYFUNCTION("AVERAGE(QUERY(SORT(GOOGLEFINANCE(B147,""price"",TODAY()-365,TODAY()),1,0),""select Col2 limit 30""))"),387.9783333333333)</f>
        <v>387.9783333</v>
      </c>
      <c r="K147" s="18">
        <f>IFERROR(__xludf.DUMMYFUNCTION("AVERAGE(QUERY(SORT(GOOGLEFINANCE(B147,""price"",TODAY()-365,TODAY()),1,0),""select Col2 limit 60""))"),392.2991666666667)</f>
        <v>392.2991667</v>
      </c>
      <c r="L147" s="17">
        <f>IFERROR(__xludf.DUMMYFUNCTION("AVERAGE(QUERY(SORT(GOOGLEFINANCE(B147,""price"",TODAY()-365,TODAY()),1,0),""select Col2 limit 90""))"),392.77166666666665)</f>
        <v>392.7716667</v>
      </c>
      <c r="M147" s="17">
        <f>IFERROR(__xludf.DUMMYFUNCTION("AVERAGE(QUERY(SORT(GOOGLEFINANCE(B147,""price"",TODAY()-365,TODAY()),1,0),""select Col2 limit 120""))"),387.3066666666666)</f>
        <v>387.3066667</v>
      </c>
      <c r="N147" s="19">
        <f>IFERROR(__xludf.DUMMYFUNCTION("AVERAGE(QUERY(SORT(GOOGLEFINANCE(B147,""price"",TODAY()-365,TODAY()),1,0),""select Col2 limit 200""))"),399.9847500000001)</f>
        <v>399.98475</v>
      </c>
      <c r="O147" s="20" t="str">
        <f t="shared" si="2"/>
        <v>Avoid</v>
      </c>
      <c r="P147" s="21" t="str">
        <f t="shared" si="3"/>
        <v/>
      </c>
      <c r="Q147" s="21" t="str">
        <f t="shared" si="4"/>
        <v/>
      </c>
      <c r="R147" s="22">
        <f>IFERROR(__xludf.DUMMYFUNCTION("GOOGLEFINANCE(B147, ""pe"")
"),6.64)</f>
        <v>6.64</v>
      </c>
    </row>
    <row r="148">
      <c r="A148" s="9" t="s">
        <v>161</v>
      </c>
      <c r="B148" s="11" t="str">
        <f t="shared" si="1"/>
        <v>NSE:TITAN</v>
      </c>
      <c r="C148" s="12">
        <f>IFERROR(__xludf.DUMMYFUNCTION("GOOGLEFINANCE(B148,""marketcap"")/10000000"),301435.6615507)</f>
        <v>301435.6616</v>
      </c>
      <c r="D148" s="13">
        <f>IFERROR(__xludf.DUMMYFUNCTION("GOOGLEFINANCE(B148,""price"")"),3398.5)</f>
        <v>3398.5</v>
      </c>
      <c r="E148" s="14">
        <f>IFERROR(__xludf.DUMMYFUNCTION("GOOGLEFINANCE(B148,""Volume"")"),257562.0)</f>
        <v>257562</v>
      </c>
      <c r="F148" s="14">
        <f t="array" ref="F148">F147</f>
        <v>14</v>
      </c>
      <c r="G148" s="15" t="str">
        <f>IFERROR(__xludf.DUMMYFUNCTION("IF(E148&gt;AVERAGE(INDEX(GOOGLEFINANCE(B148,""volume"",WORKDAY(TODAY(),-$F$1),TODAY()),,2)),""Breakout"","""")"),"")</f>
        <v/>
      </c>
      <c r="H148" s="16">
        <f>IFERROR(__xludf.DUMMYFUNCTION("GOOGLEFINANCE(B148,""price"")"),3398.5)</f>
        <v>3398.5</v>
      </c>
      <c r="I148" s="17">
        <f>IFERROR(__xludf.DUMMYFUNCTION("AVERAGE(QUERY(SORT(GOOGLEFINANCE(B148,""price"",TODAY()-365,TODAY()),1,0),""select Col2 limit 10""))"),3439.72)</f>
        <v>3439.72</v>
      </c>
      <c r="J148" s="17">
        <f>IFERROR(__xludf.DUMMYFUNCTION("AVERAGE(QUERY(SORT(GOOGLEFINANCE(B148,""price"",TODAY()-365,TODAY()),1,0),""select Col2 limit 30""))"),3518.7733333333326)</f>
        <v>3518.773333</v>
      </c>
      <c r="K148" s="18">
        <f>IFERROR(__xludf.DUMMYFUNCTION("AVERAGE(QUERY(SORT(GOOGLEFINANCE(B148,""price"",TODAY()-365,TODAY()),1,0),""select Col2 limit 60""))"),3521.4583333333317)</f>
        <v>3521.458333</v>
      </c>
      <c r="L148" s="17">
        <f>IFERROR(__xludf.DUMMYFUNCTION("AVERAGE(QUERY(SORT(GOOGLEFINANCE(B148,""price"",TODAY()-365,TODAY()),1,0),""select Col2 limit 90""))"),3412.473888888888)</f>
        <v>3412.473889</v>
      </c>
      <c r="M148" s="17">
        <f>IFERROR(__xludf.DUMMYFUNCTION("AVERAGE(QUERY(SORT(GOOGLEFINANCE(B148,""price"",TODAY()-365,TODAY()),1,0),""select Col2 limit 120""))"),3366.865416666666)</f>
        <v>3366.865417</v>
      </c>
      <c r="N148" s="19">
        <f>IFERROR(__xludf.DUMMYFUNCTION("AVERAGE(QUERY(SORT(GOOGLEFINANCE(B148,""price"",TODAY()-365,TODAY()),1,0),""select Col2 limit 200""))"),3361.9694999999983)</f>
        <v>3361.9695</v>
      </c>
      <c r="O148" s="20" t="str">
        <f t="shared" si="2"/>
        <v>Avoid</v>
      </c>
      <c r="P148" s="21" t="str">
        <f t="shared" si="3"/>
        <v>90 DMA</v>
      </c>
      <c r="Q148" s="21" t="str">
        <f t="shared" si="4"/>
        <v/>
      </c>
      <c r="R148" s="22">
        <f>IFERROR(__xludf.DUMMYFUNCTION("GOOGLEFINANCE(B148, ""pe"")
"),90.39)</f>
        <v>90.39</v>
      </c>
    </row>
    <row r="149">
      <c r="A149" s="9" t="s">
        <v>162</v>
      </c>
      <c r="B149" s="11" t="str">
        <f t="shared" si="1"/>
        <v>NSE:ASIANPAINT</v>
      </c>
      <c r="C149" s="12">
        <f>IFERROR(__xludf.DUMMYFUNCTION("GOOGLEFINANCE(B149,""marketcap"")/10000000"),226173.03423)</f>
        <v>226173.0342</v>
      </c>
      <c r="D149" s="13">
        <f>IFERROR(__xludf.DUMMYFUNCTION("GOOGLEFINANCE(B149,""price"")"),2360.3)</f>
        <v>2360.3</v>
      </c>
      <c r="E149" s="14">
        <f>IFERROR(__xludf.DUMMYFUNCTION("GOOGLEFINANCE(B149,""Volume"")"),257848.0)</f>
        <v>257848</v>
      </c>
      <c r="F149" s="14">
        <f t="array" ref="F149">F148</f>
        <v>14</v>
      </c>
      <c r="G149" s="15" t="str">
        <f>IFERROR(__xludf.DUMMYFUNCTION("IF(E149&gt;AVERAGE(INDEX(GOOGLEFINANCE(B149,""volume"",WORKDAY(TODAY(),-$F$1),TODAY()),,2)),""Breakout"","""")"),"")</f>
        <v/>
      </c>
      <c r="H149" s="16">
        <f>IFERROR(__xludf.DUMMYFUNCTION("GOOGLEFINANCE(B149,""price"")"),2360.3)</f>
        <v>2360.3</v>
      </c>
      <c r="I149" s="17">
        <f>IFERROR(__xludf.DUMMYFUNCTION("AVERAGE(QUERY(SORT(GOOGLEFINANCE(B149,""price"",TODAY()-365,TODAY()),1,0),""select Col2 limit 10""))"),2379.12)</f>
        <v>2379.12</v>
      </c>
      <c r="J149" s="17">
        <f>IFERROR(__xludf.DUMMYFUNCTION("AVERAGE(QUERY(SORT(GOOGLEFINANCE(B149,""price"",TODAY()-365,TODAY()),1,0),""select Col2 limit 30""))"),2363.516666666667)</f>
        <v>2363.516667</v>
      </c>
      <c r="K149" s="18">
        <f>IFERROR(__xludf.DUMMYFUNCTION("AVERAGE(QUERY(SORT(GOOGLEFINANCE(B149,""price"",TODAY()-365,TODAY()),1,0),""select Col2 limit 60""))"),2329.6383333333333)</f>
        <v>2329.638333</v>
      </c>
      <c r="L149" s="17">
        <f>IFERROR(__xludf.DUMMYFUNCTION("AVERAGE(QUERY(SORT(GOOGLEFINANCE(B149,""price"",TODAY()-365,TODAY()),1,0),""select Col2 limit 90""))"),2344.133888888889)</f>
        <v>2344.133889</v>
      </c>
      <c r="M149" s="17">
        <f>IFERROR(__xludf.DUMMYFUNCTION("AVERAGE(QUERY(SORT(GOOGLEFINANCE(B149,""price"",TODAY()-365,TODAY()),1,0),""select Col2 limit 120""))"),2319.444583333333)</f>
        <v>2319.444583</v>
      </c>
      <c r="N149" s="19">
        <f>IFERROR(__xludf.DUMMYFUNCTION("AVERAGE(QUERY(SORT(GOOGLEFINANCE(B149,""price"",TODAY()-365,TODAY()),1,0),""select Col2 limit 200""))"),2414.2587499999995)</f>
        <v>2414.25875</v>
      </c>
      <c r="O149" s="20" t="str">
        <f t="shared" si="2"/>
        <v>Avoid</v>
      </c>
      <c r="P149" s="21" t="str">
        <f t="shared" si="3"/>
        <v>10 DMA</v>
      </c>
      <c r="Q149" s="21" t="str">
        <f t="shared" si="4"/>
        <v/>
      </c>
      <c r="R149" s="22">
        <f>IFERROR(__xludf.DUMMYFUNCTION("GOOGLEFINANCE(B149, ""pe"")
"),61.72)</f>
        <v>61.72</v>
      </c>
    </row>
    <row r="150">
      <c r="A150" s="9" t="s">
        <v>163</v>
      </c>
      <c r="B150" s="11" t="str">
        <f t="shared" si="1"/>
        <v>NSE:HINDZINC</v>
      </c>
      <c r="C150" s="12">
        <f>IFERROR(__xludf.DUMMYFUNCTION("GOOGLEFINANCE(B150,""marketcap"")/10000000"),184646.3966)</f>
        <v>184646.3966</v>
      </c>
      <c r="D150" s="13">
        <f>IFERROR(__xludf.DUMMYFUNCTION("GOOGLEFINANCE(B150,""price"")"),436.55)</f>
        <v>436.55</v>
      </c>
      <c r="E150" s="14">
        <f>IFERROR(__xludf.DUMMYFUNCTION("GOOGLEFINANCE(B150,""Volume"")"),570257.0)</f>
        <v>570257</v>
      </c>
      <c r="F150" s="14">
        <f t="array" ref="F150">F149</f>
        <v>14</v>
      </c>
      <c r="G150" s="15" t="str">
        <f>IFERROR(__xludf.DUMMYFUNCTION("IF(E150&gt;AVERAGE(INDEX(GOOGLEFINANCE(B150,""volume"",WORKDAY(TODAY(),-$F$1),TODAY()),,2)),""Breakout"","""")"),"")</f>
        <v/>
      </c>
      <c r="H150" s="16">
        <f>IFERROR(__xludf.DUMMYFUNCTION("GOOGLEFINANCE(B150,""price"")"),436.55)</f>
        <v>436.55</v>
      </c>
      <c r="I150" s="17" t="str">
        <f>IFERROR(__xludf.DUMMYFUNCTION("AVERAGE(QUERY(SORT(GOOGLEFINANCE(B150,""price"",TODAY()-365,TODAY()),1,0),""select Col2 limit 10""))"),"#N/A")</f>
        <v>#N/A</v>
      </c>
      <c r="J150" s="17" t="str">
        <f>IFERROR(__xludf.DUMMYFUNCTION("AVERAGE(QUERY(SORT(GOOGLEFINANCE(B150,""price"",TODAY()-365,TODAY()),1,0),""select Col2 limit 30""))"),"#N/A")</f>
        <v>#N/A</v>
      </c>
      <c r="K150" s="18" t="str">
        <f>IFERROR(__xludf.DUMMYFUNCTION("AVERAGE(QUERY(SORT(GOOGLEFINANCE(B150,""price"",TODAY()-365,TODAY()),1,0),""select Col2 limit 60""))"),"#N/A")</f>
        <v>#N/A</v>
      </c>
      <c r="L150" s="17" t="str">
        <f>IFERROR(__xludf.DUMMYFUNCTION("AVERAGE(QUERY(SORT(GOOGLEFINANCE(B150,""price"",TODAY()-365,TODAY()),1,0),""select Col2 limit 90""))"),"#N/A")</f>
        <v>#N/A</v>
      </c>
      <c r="M150" s="17" t="str">
        <f>IFERROR(__xludf.DUMMYFUNCTION("AVERAGE(QUERY(SORT(GOOGLEFINANCE(B150,""price"",TODAY()-365,TODAY()),1,0),""select Col2 limit 120""))"),"#N/A")</f>
        <v>#N/A</v>
      </c>
      <c r="N150" s="19" t="str">
        <f>IFERROR(__xludf.DUMMYFUNCTION("AVERAGE(QUERY(SORT(GOOGLEFINANCE(B150,""price"",TODAY()-365,TODAY()),1,0),""select Col2 limit 200""))"),"#N/A")</f>
        <v>#N/A</v>
      </c>
      <c r="O150" s="20" t="str">
        <f t="shared" si="2"/>
        <v>#N/A</v>
      </c>
      <c r="P150" s="21" t="str">
        <f t="shared" si="3"/>
        <v>#N/A</v>
      </c>
      <c r="Q150" s="21" t="str">
        <f t="shared" si="4"/>
        <v>#N/A</v>
      </c>
      <c r="R150" s="22">
        <f>IFERROR(__xludf.DUMMYFUNCTION("GOOGLEFINANCE(B150, ""pe"")
"),18.02)</f>
        <v>18.02</v>
      </c>
    </row>
    <row r="151">
      <c r="A151" s="9" t="s">
        <v>164</v>
      </c>
      <c r="B151" s="11" t="str">
        <f t="shared" si="1"/>
        <v>NSE:IRFC</v>
      </c>
      <c r="C151" s="12">
        <f>IFERROR(__xludf.DUMMYFUNCTION("GOOGLEFINANCE(B151,""marketcap"")/10000000"),174124.7011787)</f>
        <v>174124.7012</v>
      </c>
      <c r="D151" s="13">
        <f>IFERROR(__xludf.DUMMYFUNCTION("GOOGLEFINANCE(B151,""price"")"),133.32)</f>
        <v>133.32</v>
      </c>
      <c r="E151" s="14">
        <f>IFERROR(__xludf.DUMMYFUNCTION("GOOGLEFINANCE(B151,""Volume"")"),6452922.0)</f>
        <v>6452922</v>
      </c>
      <c r="F151" s="14">
        <f t="array" ref="F151">F150</f>
        <v>14</v>
      </c>
      <c r="G151" s="15" t="str">
        <f>IFERROR(__xludf.DUMMYFUNCTION("IF(E151&gt;AVERAGE(INDEX(GOOGLEFINANCE(B151,""volume"",WORKDAY(TODAY(),-$F$1),TODAY()),,2)),""Breakout"","""")"),"")</f>
        <v/>
      </c>
      <c r="H151" s="16">
        <f>IFERROR(__xludf.DUMMYFUNCTION("GOOGLEFINANCE(B151,""price"")"),133.32)</f>
        <v>133.32</v>
      </c>
      <c r="I151" s="17">
        <f>IFERROR(__xludf.DUMMYFUNCTION("AVERAGE(QUERY(SORT(GOOGLEFINANCE(B151,""price"",TODAY()-365,TODAY()),1,0),""select Col2 limit 10""))"),134.127)</f>
        <v>134.127</v>
      </c>
      <c r="J151" s="17">
        <f>IFERROR(__xludf.DUMMYFUNCTION("AVERAGE(QUERY(SORT(GOOGLEFINANCE(B151,""price"",TODAY()-365,TODAY()),1,0),""select Col2 limit 30""))"),136.86166666666662)</f>
        <v>136.8616667</v>
      </c>
      <c r="K151" s="18">
        <f>IFERROR(__xludf.DUMMYFUNCTION("AVERAGE(QUERY(SORT(GOOGLEFINANCE(B151,""price"",TODAY()-365,TODAY()),1,0),""select Col2 limit 60""))"),136.3623333333333)</f>
        <v>136.3623333</v>
      </c>
      <c r="L151" s="17">
        <f>IFERROR(__xludf.DUMMYFUNCTION("AVERAGE(QUERY(SORT(GOOGLEFINANCE(B151,""price"",TODAY()-365,TODAY()),1,0),""select Col2 limit 90""))"),133.30722222222218)</f>
        <v>133.3072222</v>
      </c>
      <c r="M151" s="17">
        <f>IFERROR(__xludf.DUMMYFUNCTION("AVERAGE(QUERY(SORT(GOOGLEFINANCE(B151,""price"",TODAY()-365,TODAY()),1,0),""select Col2 limit 120""))"),131.40216666666666)</f>
        <v>131.4021667</v>
      </c>
      <c r="N151" s="19">
        <f>IFERROR(__xludf.DUMMYFUNCTION("AVERAGE(QUERY(SORT(GOOGLEFINANCE(B151,""price"",TODAY()-365,TODAY()),1,0),""select Col2 limit 200""))"),137.8506499999999)</f>
        <v>137.85065</v>
      </c>
      <c r="O151" s="20" t="str">
        <f t="shared" si="2"/>
        <v>Avoid</v>
      </c>
      <c r="P151" s="21" t="str">
        <f t="shared" si="3"/>
        <v>10 DMA</v>
      </c>
      <c r="Q151" s="21" t="str">
        <f t="shared" si="4"/>
        <v/>
      </c>
      <c r="R151" s="22">
        <f>IFERROR(__xludf.DUMMYFUNCTION("GOOGLEFINANCE(B151, ""pe"")
"),26.09)</f>
        <v>26.09</v>
      </c>
    </row>
    <row r="152">
      <c r="A152" s="9" t="s">
        <v>165</v>
      </c>
      <c r="B152" s="11" t="str">
        <f t="shared" si="1"/>
        <v>NSE:ADANIPOWER</v>
      </c>
      <c r="C152" s="12">
        <f>IFERROR(__xludf.DUMMYFUNCTION("GOOGLEFINANCE(B152,""marketcap"")/10000000"),220134.73635)</f>
        <v>220134.7364</v>
      </c>
      <c r="D152" s="13">
        <f>IFERROR(__xludf.DUMMYFUNCTION("GOOGLEFINANCE(B152,""price"")"),570.85)</f>
        <v>570.85</v>
      </c>
      <c r="E152" s="14">
        <f>IFERROR(__xludf.DUMMYFUNCTION("GOOGLEFINANCE(B152,""Volume"")"),1125712.0)</f>
        <v>1125712</v>
      </c>
      <c r="F152" s="14">
        <f t="array" ref="F152">F151</f>
        <v>14</v>
      </c>
      <c r="G152" s="15" t="str">
        <f>IFERROR(__xludf.DUMMYFUNCTION("IF(E152&gt;AVERAGE(INDEX(GOOGLEFINANCE(B152,""volume"",WORKDAY(TODAY(),-$F$1),TODAY()),,2)),""Breakout"","""")"),"")</f>
        <v/>
      </c>
      <c r="H152" s="16">
        <f>IFERROR(__xludf.DUMMYFUNCTION("GOOGLEFINANCE(B152,""price"")"),570.85)</f>
        <v>570.85</v>
      </c>
      <c r="I152" s="17">
        <f>IFERROR(__xludf.DUMMYFUNCTION("AVERAGE(QUERY(SORT(GOOGLEFINANCE(B152,""price"",TODAY()-365,TODAY()),1,0),""select Col2 limit 10""))"),594.7650000000001)</f>
        <v>594.765</v>
      </c>
      <c r="J152" s="17">
        <f>IFERROR(__xludf.DUMMYFUNCTION("AVERAGE(QUERY(SORT(GOOGLEFINANCE(B152,""price"",TODAY()-365,TODAY()),1,0),""select Col2 limit 30""))"),581.3666666666666)</f>
        <v>581.3666667</v>
      </c>
      <c r="K152" s="18">
        <f>IFERROR(__xludf.DUMMYFUNCTION("AVERAGE(QUERY(SORT(GOOGLEFINANCE(B152,""price"",TODAY()-365,TODAY()),1,0),""select Col2 limit 60""))"),566.6258333333333)</f>
        <v>566.6258333</v>
      </c>
      <c r="L152" s="17">
        <f>IFERROR(__xludf.DUMMYFUNCTION("AVERAGE(QUERY(SORT(GOOGLEFINANCE(B152,""price"",TODAY()-365,TODAY()),1,0),""select Col2 limit 90""))"),554.6405555555555)</f>
        <v>554.6405556</v>
      </c>
      <c r="M152" s="17">
        <f>IFERROR(__xludf.DUMMYFUNCTION("AVERAGE(QUERY(SORT(GOOGLEFINANCE(B152,""price"",TODAY()-365,TODAY()),1,0),""select Col2 limit 120""))"),540.1225000000001)</f>
        <v>540.1225</v>
      </c>
      <c r="N152" s="19">
        <f>IFERROR(__xludf.DUMMYFUNCTION("AVERAGE(QUERY(SORT(GOOGLEFINANCE(B152,""price"",TODAY()-365,TODAY()),1,0),""select Col2 limit 200""))"),543.7015)</f>
        <v>543.7015</v>
      </c>
      <c r="O152" s="20" t="str">
        <f t="shared" si="2"/>
        <v>Avoid</v>
      </c>
      <c r="P152" s="21" t="str">
        <f t="shared" si="3"/>
        <v/>
      </c>
      <c r="Q152" s="21" t="str">
        <f t="shared" si="4"/>
        <v/>
      </c>
      <c r="R152" s="22">
        <f>IFERROR(__xludf.DUMMYFUNCTION("GOOGLEFINANCE(B152, ""pe"")
"),17.01)</f>
        <v>17.01</v>
      </c>
    </row>
    <row r="153">
      <c r="A153" s="9" t="s">
        <v>166</v>
      </c>
      <c r="B153" s="11" t="str">
        <f t="shared" si="1"/>
        <v>NSE:BAJAJ-AUTO</v>
      </c>
      <c r="C153" s="12">
        <f>IFERROR(__xludf.DUMMYFUNCTION("GOOGLEFINANCE(B153,""marketcap"")/10000000"),227075.60776)</f>
        <v>227075.6078</v>
      </c>
      <c r="D153" s="13">
        <f>IFERROR(__xludf.DUMMYFUNCTION("GOOGLEFINANCE(B153,""price"")"),8125.0)</f>
        <v>8125</v>
      </c>
      <c r="E153" s="14">
        <f>IFERROR(__xludf.DUMMYFUNCTION("GOOGLEFINANCE(B153,""Volume"")"),117880.0)</f>
        <v>117880</v>
      </c>
      <c r="F153" s="14">
        <f t="array" ref="F153">F152</f>
        <v>14</v>
      </c>
      <c r="G153" s="15" t="str">
        <f>IFERROR(__xludf.DUMMYFUNCTION("IF(E153&gt;AVERAGE(INDEX(GOOGLEFINANCE(B153,""volume"",WORKDAY(TODAY(),-$F$1),TODAY()),,2)),""Breakout"","""")"),"")</f>
        <v/>
      </c>
      <c r="H153" s="16">
        <f>IFERROR(__xludf.DUMMYFUNCTION("GOOGLEFINANCE(B153,""price"")"),8125.0)</f>
        <v>8125</v>
      </c>
      <c r="I153" s="17">
        <f>IFERROR(__xludf.DUMMYFUNCTION("AVERAGE(QUERY(SORT(GOOGLEFINANCE(B153,""price"",TODAY()-365,TODAY()),1,0),""select Col2 limit 10""))"),8285.85)</f>
        <v>8285.85</v>
      </c>
      <c r="J153" s="17">
        <f>IFERROR(__xludf.DUMMYFUNCTION("AVERAGE(QUERY(SORT(GOOGLEFINANCE(B153,""price"",TODAY()-365,TODAY()),1,0),""select Col2 limit 30""))"),8353.483333333334)</f>
        <v>8353.483333</v>
      </c>
      <c r="K153" s="18">
        <f>IFERROR(__xludf.DUMMYFUNCTION("AVERAGE(QUERY(SORT(GOOGLEFINANCE(B153,""price"",TODAY()-365,TODAY()),1,0),""select Col2 limit 60""))"),8407.016666666666)</f>
        <v>8407.016667</v>
      </c>
      <c r="L153" s="17">
        <f>IFERROR(__xludf.DUMMYFUNCTION("AVERAGE(QUERY(SORT(GOOGLEFINANCE(B153,""price"",TODAY()-365,TODAY()),1,0),""select Col2 limit 90""))"),8243.519444444446)</f>
        <v>8243.519444</v>
      </c>
      <c r="M153" s="17">
        <f>IFERROR(__xludf.DUMMYFUNCTION("AVERAGE(QUERY(SORT(GOOGLEFINANCE(B153,""price"",TODAY()-365,TODAY()),1,0),""select Col2 limit 120""))"),8255.616250000003)</f>
        <v>8255.61625</v>
      </c>
      <c r="N153" s="19">
        <f>IFERROR(__xludf.DUMMYFUNCTION("AVERAGE(QUERY(SORT(GOOGLEFINANCE(B153,""price"",TODAY()-365,TODAY()),1,0),""select Col2 limit 200""))"),8745.7345)</f>
        <v>8745.7345</v>
      </c>
      <c r="O153" s="20" t="str">
        <f t="shared" si="2"/>
        <v>Avoid</v>
      </c>
      <c r="P153" s="21" t="str">
        <f t="shared" si="3"/>
        <v/>
      </c>
      <c r="Q153" s="21" t="str">
        <f t="shared" si="4"/>
        <v/>
      </c>
      <c r="R153" s="22">
        <f>IFERROR(__xludf.DUMMYFUNCTION("GOOGLEFINANCE(B153, ""pe"")
"),30.16)</f>
        <v>30.16</v>
      </c>
    </row>
    <row r="154">
      <c r="A154" s="9" t="s">
        <v>167</v>
      </c>
      <c r="B154" s="11" t="str">
        <f t="shared" si="1"/>
        <v>NSE:BAJAJFINSV</v>
      </c>
      <c r="C154" s="12">
        <f>IFERROR(__xludf.DUMMYFUNCTION("GOOGLEFINANCE(B154,""marketcap"")/10000000"),319807.8861)</f>
        <v>319807.8861</v>
      </c>
      <c r="D154" s="13">
        <f>IFERROR(__xludf.DUMMYFUNCTION("GOOGLEFINANCE(B154,""price"")"),2004.8)</f>
        <v>2004.8</v>
      </c>
      <c r="E154" s="14">
        <f>IFERROR(__xludf.DUMMYFUNCTION("GOOGLEFINANCE(B154,""Volume"")"),583964.0)</f>
        <v>583964</v>
      </c>
      <c r="F154" s="14">
        <f t="array" ref="F154">F153</f>
        <v>14</v>
      </c>
      <c r="G154" s="15" t="str">
        <f>IFERROR(__xludf.DUMMYFUNCTION("IF(E154&gt;AVERAGE(INDEX(GOOGLEFINANCE(B154,""volume"",WORKDAY(TODAY(),-$F$1),TODAY()),,2)),""Breakout"","""")"),"")</f>
        <v/>
      </c>
      <c r="H154" s="16">
        <f>IFERROR(__xludf.DUMMYFUNCTION("GOOGLEFINANCE(B154,""price"")"),2004.8)</f>
        <v>2004.8</v>
      </c>
      <c r="I154" s="17">
        <f>IFERROR(__xludf.DUMMYFUNCTION("AVERAGE(QUERY(SORT(GOOGLEFINANCE(B154,""price"",TODAY()-365,TODAY()),1,0),""select Col2 limit 10""))"),2030.4299999999998)</f>
        <v>2030.43</v>
      </c>
      <c r="J154" s="17">
        <f>IFERROR(__xludf.DUMMYFUNCTION("AVERAGE(QUERY(SORT(GOOGLEFINANCE(B154,""price"",TODAY()-365,TODAY()),1,0),""select Col2 limit 30""))"),2019.5900000000001)</f>
        <v>2019.59</v>
      </c>
      <c r="K154" s="18">
        <f>IFERROR(__xludf.DUMMYFUNCTION("AVERAGE(QUERY(SORT(GOOGLEFINANCE(B154,""price"",TODAY()-365,TODAY()),1,0),""select Col2 limit 60""))"),2017.5183333333332)</f>
        <v>2017.518333</v>
      </c>
      <c r="L154" s="17">
        <f>IFERROR(__xludf.DUMMYFUNCTION("AVERAGE(QUERY(SORT(GOOGLEFINANCE(B154,""price"",TODAY()-365,TODAY()),1,0),""select Col2 limit 90""))"),1998.1505555555555)</f>
        <v>1998.150556</v>
      </c>
      <c r="M154" s="17">
        <f>IFERROR(__xludf.DUMMYFUNCTION("AVERAGE(QUERY(SORT(GOOGLEFINANCE(B154,""price"",TODAY()-365,TODAY()),1,0),""select Col2 limit 120""))"),1955.59875)</f>
        <v>1955.59875</v>
      </c>
      <c r="N154" s="19">
        <f>IFERROR(__xludf.DUMMYFUNCTION("AVERAGE(QUERY(SORT(GOOGLEFINANCE(B154,""price"",TODAY()-365,TODAY()),1,0),""select Col2 limit 200""))"),1851.4337500000008)</f>
        <v>1851.43375</v>
      </c>
      <c r="O154" s="20" t="str">
        <f t="shared" si="2"/>
        <v>Avoid</v>
      </c>
      <c r="P154" s="21" t="str">
        <f t="shared" si="3"/>
        <v>30 DMA</v>
      </c>
      <c r="Q154" s="21" t="str">
        <f t="shared" si="4"/>
        <v/>
      </c>
      <c r="R154" s="22">
        <f>IFERROR(__xludf.DUMMYFUNCTION("GOOGLEFINANCE(B154, ""pe"")
"),33.88)</f>
        <v>33.88</v>
      </c>
    </row>
    <row r="155">
      <c r="A155" s="9" t="s">
        <v>168</v>
      </c>
      <c r="B155" s="11" t="str">
        <f t="shared" si="1"/>
        <v>NSE:NESTLEIND</v>
      </c>
      <c r="C155" s="12">
        <f>IFERROR(__xludf.DUMMYFUNCTION("GOOGLEFINANCE(B155,""marketcap"")/10000000"),216914.6603981)</f>
        <v>216914.6604</v>
      </c>
      <c r="D155" s="13">
        <f>IFERROR(__xludf.DUMMYFUNCTION("GOOGLEFINANCE(B155,""price"")"),2250.0)</f>
        <v>2250</v>
      </c>
      <c r="E155" s="14">
        <f>IFERROR(__xludf.DUMMYFUNCTION("GOOGLEFINANCE(B155,""Volume"")"),326872.0)</f>
        <v>326872</v>
      </c>
      <c r="F155" s="14">
        <f t="array" ref="F155">F154</f>
        <v>14</v>
      </c>
      <c r="G155" s="15" t="str">
        <f>IFERROR(__xludf.DUMMYFUNCTION("IF(E155&gt;AVERAGE(INDEX(GOOGLEFINANCE(B155,""volume"",WORKDAY(TODAY(),-$F$1),TODAY()),,2)),""Breakout"","""")"),"")</f>
        <v/>
      </c>
      <c r="H155" s="16">
        <f>IFERROR(__xludf.DUMMYFUNCTION("GOOGLEFINANCE(B155,""price"")"),2250.0)</f>
        <v>2250</v>
      </c>
      <c r="I155" s="17">
        <f>IFERROR(__xludf.DUMMYFUNCTION("AVERAGE(QUERY(SORT(GOOGLEFINANCE(B155,""price"",TODAY()-365,TODAY()),1,0),""select Col2 limit 10""))"),2415.58)</f>
        <v>2415.58</v>
      </c>
      <c r="J155" s="17">
        <f>IFERROR(__xludf.DUMMYFUNCTION("AVERAGE(QUERY(SORT(GOOGLEFINANCE(B155,""price"",TODAY()-365,TODAY()),1,0),""select Col2 limit 30""))"),2402.146666666667)</f>
        <v>2402.146667</v>
      </c>
      <c r="K155" s="18">
        <f>IFERROR(__xludf.DUMMYFUNCTION("AVERAGE(QUERY(SORT(GOOGLEFINANCE(B155,""price"",TODAY()-365,TODAY()),1,0),""select Col2 limit 60""))"),2397.116666666667)</f>
        <v>2397.116667</v>
      </c>
      <c r="L155" s="17">
        <f>IFERROR(__xludf.DUMMYFUNCTION("AVERAGE(QUERY(SORT(GOOGLEFINANCE(B155,""price"",TODAY()-365,TODAY()),1,0),""select Col2 limit 90""))"),2367.6622222222218)</f>
        <v>2367.662222</v>
      </c>
      <c r="M155" s="17">
        <f>IFERROR(__xludf.DUMMYFUNCTION("AVERAGE(QUERY(SORT(GOOGLEFINANCE(B155,""price"",TODAY()-365,TODAY()),1,0),""select Col2 limit 120""))"),2331.617083333333)</f>
        <v>2331.617083</v>
      </c>
      <c r="N155" s="19">
        <f>IFERROR(__xludf.DUMMYFUNCTION("AVERAGE(QUERY(SORT(GOOGLEFINANCE(B155,""price"",TODAY()-365,TODAY()),1,0),""select Col2 limit 200""))"),2305.1580000000013)</f>
        <v>2305.158</v>
      </c>
      <c r="O155" s="20" t="str">
        <f t="shared" si="2"/>
        <v>Avoid</v>
      </c>
      <c r="P155" s="21" t="str">
        <f t="shared" si="3"/>
        <v/>
      </c>
      <c r="Q155" s="21" t="str">
        <f t="shared" si="4"/>
        <v/>
      </c>
      <c r="R155" s="22">
        <f>IFERROR(__xludf.DUMMYFUNCTION("GOOGLEFINANCE(B155, ""pe"")
"),69.67)</f>
        <v>69.67</v>
      </c>
    </row>
    <row r="156">
      <c r="A156" s="9" t="s">
        <v>169</v>
      </c>
      <c r="B156" s="11" t="str">
        <f t="shared" si="1"/>
        <v>NSE:SIEMENS</v>
      </c>
      <c r="C156" s="12">
        <f>IFERROR(__xludf.DUMMYFUNCTION("GOOGLEFINANCE(B156,""marketcap"")/10000000"),108588.2306291)</f>
        <v>108588.2306</v>
      </c>
      <c r="D156" s="13">
        <f>IFERROR(__xludf.DUMMYFUNCTION("GOOGLEFINANCE(B156,""price"")"),3045.1)</f>
        <v>3045.1</v>
      </c>
      <c r="E156" s="14">
        <f>IFERROR(__xludf.DUMMYFUNCTION("GOOGLEFINANCE(B156,""Volume"")"),193753.0)</f>
        <v>193753</v>
      </c>
      <c r="F156" s="14">
        <f t="array" ref="F156">F155</f>
        <v>14</v>
      </c>
      <c r="G156" s="15" t="str">
        <f>IFERROR(__xludf.DUMMYFUNCTION("IF(E156&gt;AVERAGE(INDEX(GOOGLEFINANCE(B156,""volume"",WORKDAY(TODAY(),-$F$1),TODAY()),,2)),""Breakout"","""")"),"")</f>
        <v/>
      </c>
      <c r="H156" s="16">
        <f>IFERROR(__xludf.DUMMYFUNCTION("GOOGLEFINANCE(B156,""price"")"),3045.1)</f>
        <v>3045.1</v>
      </c>
      <c r="I156" s="17">
        <f>IFERROR(__xludf.DUMMYFUNCTION("AVERAGE(QUERY(SORT(GOOGLEFINANCE(B156,""price"",TODAY()-365,TODAY()),1,0),""select Col2 limit 10""))"),3123.4299999999994)</f>
        <v>3123.43</v>
      </c>
      <c r="J156" s="17">
        <f>IFERROR(__xludf.DUMMYFUNCTION("AVERAGE(QUERY(SORT(GOOGLEFINANCE(B156,""price"",TODAY()-365,TODAY()),1,0),""select Col2 limit 30""))"),3199.8333333333335)</f>
        <v>3199.833333</v>
      </c>
      <c r="K156" s="18">
        <f>IFERROR(__xludf.DUMMYFUNCTION("AVERAGE(QUERY(SORT(GOOGLEFINANCE(B156,""price"",TODAY()-365,TODAY()),1,0),""select Col2 limit 60""))"),3186.3316666666674)</f>
        <v>3186.331667</v>
      </c>
      <c r="L156" s="17">
        <f>IFERROR(__xludf.DUMMYFUNCTION("AVERAGE(QUERY(SORT(GOOGLEFINANCE(B156,""price"",TODAY()-365,TODAY()),1,0),""select Col2 limit 90""))"),3048.6087777777784)</f>
        <v>3048.608778</v>
      </c>
      <c r="M156" s="17">
        <f>IFERROR(__xludf.DUMMYFUNCTION("AVERAGE(QUERY(SORT(GOOGLEFINANCE(B156,""price"",TODAY()-365,TODAY()),1,0),""select Col2 limit 120""))"),2951.4961666666663)</f>
        <v>2951.496167</v>
      </c>
      <c r="N156" s="19">
        <f>IFERROR(__xludf.DUMMYFUNCTION("AVERAGE(QUERY(SORT(GOOGLEFINANCE(B156,""price"",TODAY()-365,TODAY()),1,0),""select Col2 limit 200""))"),3217.040949999999)</f>
        <v>3217.04095</v>
      </c>
      <c r="O156" s="20" t="str">
        <f t="shared" si="2"/>
        <v>Avoid</v>
      </c>
      <c r="P156" s="21" t="str">
        <f t="shared" si="3"/>
        <v>90 DMA</v>
      </c>
      <c r="Q156" s="21" t="str">
        <f t="shared" si="4"/>
        <v/>
      </c>
      <c r="R156" s="22">
        <f>IFERROR(__xludf.DUMMYFUNCTION("GOOGLEFINANCE(B156, ""pe"")
"),41.77)</f>
        <v>41.77</v>
      </c>
    </row>
    <row r="157">
      <c r="A157" s="9" t="s">
        <v>170</v>
      </c>
      <c r="B157" s="11" t="str">
        <f t="shared" si="1"/>
        <v>NSE:BEL</v>
      </c>
      <c r="C157" s="12">
        <f>IFERROR(__xludf.DUMMYFUNCTION("GOOGLEFINANCE(B157,""marketcap"")/10000000"),282267.0730084)</f>
        <v>282267.073</v>
      </c>
      <c r="D157" s="13">
        <f>IFERROR(__xludf.DUMMYFUNCTION("GOOGLEFINANCE(B157,""price"")"),387.25)</f>
        <v>387.25</v>
      </c>
      <c r="E157" s="14">
        <f>IFERROR(__xludf.DUMMYFUNCTION("GOOGLEFINANCE(B157,""Volume"")"),6740639.0)</f>
        <v>6740639</v>
      </c>
      <c r="F157" s="14">
        <f t="array" ref="F157">F156</f>
        <v>14</v>
      </c>
      <c r="G157" s="15" t="str">
        <f>IFERROR(__xludf.DUMMYFUNCTION("IF(E157&gt;AVERAGE(INDEX(GOOGLEFINANCE(B157,""volume"",WORKDAY(TODAY(),-$F$1),TODAY()),,2)),""Breakout"","""")"),"")</f>
        <v/>
      </c>
      <c r="H157" s="16">
        <f>IFERROR(__xludf.DUMMYFUNCTION("GOOGLEFINANCE(B157,""price"")"),387.25)</f>
        <v>387.25</v>
      </c>
      <c r="I157" s="17">
        <f>IFERROR(__xludf.DUMMYFUNCTION("AVERAGE(QUERY(SORT(GOOGLEFINANCE(B157,""price"",TODAY()-365,TODAY()),1,0),""select Col2 limit 10""))"),401.80499999999995)</f>
        <v>401.805</v>
      </c>
      <c r="J157" s="17">
        <f>IFERROR(__xludf.DUMMYFUNCTION("AVERAGE(QUERY(SORT(GOOGLEFINANCE(B157,""price"",TODAY()-365,TODAY()),1,0),""select Col2 limit 30""))"),410.5016666666666)</f>
        <v>410.5016667</v>
      </c>
      <c r="K157" s="18">
        <f>IFERROR(__xludf.DUMMYFUNCTION("AVERAGE(QUERY(SORT(GOOGLEFINANCE(B157,""price"",TODAY()-365,TODAY()),1,0),""select Col2 limit 60""))"),388.55333333333334)</f>
        <v>388.5533333</v>
      </c>
      <c r="L157" s="17">
        <f>IFERROR(__xludf.DUMMYFUNCTION("AVERAGE(QUERY(SORT(GOOGLEFINANCE(B157,""price"",TODAY()-365,TODAY()),1,0),""select Col2 limit 90""))"),357.4218888888889)</f>
        <v>357.4218889</v>
      </c>
      <c r="M157" s="17">
        <f>IFERROR(__xludf.DUMMYFUNCTION("AVERAGE(QUERY(SORT(GOOGLEFINANCE(B157,""price"",TODAY()-365,TODAY()),1,0),""select Col2 limit 120""))"),334.8436666666666)</f>
        <v>334.8436667</v>
      </c>
      <c r="N157" s="19">
        <f>IFERROR(__xludf.DUMMYFUNCTION("AVERAGE(QUERY(SORT(GOOGLEFINANCE(B157,""price"",TODAY()-365,TODAY()),1,0),""select Col2 limit 200""))"),316.2396999999999)</f>
        <v>316.2397</v>
      </c>
      <c r="O157" s="20" t="str">
        <f t="shared" si="2"/>
        <v>Avoid</v>
      </c>
      <c r="P157" s="21" t="str">
        <f t="shared" si="3"/>
        <v>60 DMA</v>
      </c>
      <c r="Q157" s="21" t="str">
        <f t="shared" si="4"/>
        <v/>
      </c>
      <c r="R157" s="22">
        <f>IFERROR(__xludf.DUMMYFUNCTION("GOOGLEFINANCE(B157, ""pe"")
"),53.16)</f>
        <v>53.16</v>
      </c>
    </row>
    <row r="158">
      <c r="A158" s="9" t="s">
        <v>171</v>
      </c>
      <c r="B158" s="11" t="str">
        <f t="shared" si="1"/>
        <v>NSE:JSWSTEEL</v>
      </c>
      <c r="C158" s="12">
        <f>IFERROR(__xludf.DUMMYFUNCTION("GOOGLEFINANCE(B158,""marketcap"")/10000000"),250012.3719922)</f>
        <v>250012.372</v>
      </c>
      <c r="D158" s="13">
        <f>IFERROR(__xludf.DUMMYFUNCTION("GOOGLEFINANCE(B158,""price"")"),1018.8)</f>
        <v>1018.8</v>
      </c>
      <c r="E158" s="14">
        <f>IFERROR(__xludf.DUMMYFUNCTION("GOOGLEFINANCE(B158,""Volume"")"),434909.0)</f>
        <v>434909</v>
      </c>
      <c r="F158" s="14">
        <f t="array" ref="F158">F157</f>
        <v>14</v>
      </c>
      <c r="G158" s="15" t="str">
        <f>IFERROR(__xludf.DUMMYFUNCTION("IF(E158&gt;AVERAGE(INDEX(GOOGLEFINANCE(B158,""volume"",WORKDAY(TODAY(),-$F$1),TODAY()),,2)),""Breakout"","""")"),"")</f>
        <v/>
      </c>
      <c r="H158" s="16">
        <f>IFERROR(__xludf.DUMMYFUNCTION("GOOGLEFINANCE(B158,""price"")"),1018.8)</f>
        <v>1018.8</v>
      </c>
      <c r="I158" s="17">
        <f>IFERROR(__xludf.DUMMYFUNCTION("AVERAGE(QUERY(SORT(GOOGLEFINANCE(B158,""price"",TODAY()-365,TODAY()),1,0),""select Col2 limit 10""))"),1033.23)</f>
        <v>1033.23</v>
      </c>
      <c r="J158" s="17">
        <f>IFERROR(__xludf.DUMMYFUNCTION("AVERAGE(QUERY(SORT(GOOGLEFINANCE(B158,""price"",TODAY()-365,TODAY()),1,0),""select Col2 limit 30""))"),1027.32)</f>
        <v>1027.32</v>
      </c>
      <c r="K158" s="18">
        <f>IFERROR(__xludf.DUMMYFUNCTION("AVERAGE(QUERY(SORT(GOOGLEFINANCE(B158,""price"",TODAY()-365,TODAY()),1,0),""select Col2 limit 60""))"),1010.8883333333334)</f>
        <v>1010.888333</v>
      </c>
      <c r="L158" s="17">
        <f>IFERROR(__xludf.DUMMYFUNCTION("AVERAGE(QUERY(SORT(GOOGLEFINANCE(B158,""price"",TODAY()-365,TODAY()),1,0),""select Col2 limit 90""))"),1015.6927777777777)</f>
        <v>1015.692778</v>
      </c>
      <c r="M158" s="17">
        <f>IFERROR(__xludf.DUMMYFUNCTION("AVERAGE(QUERY(SORT(GOOGLEFINANCE(B158,""price"",TODAY()-365,TODAY()),1,0),""select Col2 limit 120""))"),1005.2729166666664)</f>
        <v>1005.272917</v>
      </c>
      <c r="N158" s="19">
        <f>IFERROR(__xludf.DUMMYFUNCTION("AVERAGE(QUERY(SORT(GOOGLEFINANCE(B158,""price"",TODAY()-365,TODAY()),1,0),""select Col2 limit 200""))"),985.5327499999999)</f>
        <v>985.53275</v>
      </c>
      <c r="O158" s="20" t="str">
        <f t="shared" si="2"/>
        <v>Avoid</v>
      </c>
      <c r="P158" s="21" t="str">
        <f t="shared" si="3"/>
        <v>30 DMA</v>
      </c>
      <c r="Q158" s="21" t="str">
        <f t="shared" si="4"/>
        <v/>
      </c>
      <c r="R158" s="22">
        <f>IFERROR(__xludf.DUMMYFUNCTION("GOOGLEFINANCE(B158, ""pe"")
"),51.78)</f>
        <v>51.78</v>
      </c>
    </row>
    <row r="159">
      <c r="A159" s="9" t="s">
        <v>172</v>
      </c>
      <c r="B159" s="11" t="str">
        <f t="shared" si="1"/>
        <v>NSE:JIOFIN</v>
      </c>
      <c r="C159" s="12">
        <f>IFERROR(__xludf.DUMMYFUNCTION("GOOGLEFINANCE(B159,""marketcap"")/10000000"),199615.6665552)</f>
        <v>199615.6666</v>
      </c>
      <c r="D159" s="13">
        <f>IFERROR(__xludf.DUMMYFUNCTION("GOOGLEFINANCE(B159,""price"")"),313.55)</f>
        <v>313.55</v>
      </c>
      <c r="E159" s="14">
        <f>IFERROR(__xludf.DUMMYFUNCTION("GOOGLEFINANCE(B159,""Volume"")"),7360820.0)</f>
        <v>7360820</v>
      </c>
      <c r="F159" s="14">
        <f t="array" ref="F159">F158</f>
        <v>14</v>
      </c>
      <c r="G159" s="15" t="str">
        <f>IFERROR(__xludf.DUMMYFUNCTION("IF(E159&gt;AVERAGE(INDEX(GOOGLEFINANCE(B159,""volume"",WORKDAY(TODAY(),-$F$1),TODAY()),,2)),""Breakout"","""")"),"")</f>
        <v/>
      </c>
      <c r="H159" s="16">
        <f>IFERROR(__xludf.DUMMYFUNCTION("GOOGLEFINANCE(B159,""price"")"),313.55)</f>
        <v>313.55</v>
      </c>
      <c r="I159" s="17">
        <f>IFERROR(__xludf.DUMMYFUNCTION("AVERAGE(QUERY(SORT(GOOGLEFINANCE(B159,""price"",TODAY()-365,TODAY()),1,0),""select Col2 limit 10""))"),316.505)</f>
        <v>316.505</v>
      </c>
      <c r="J159" s="17">
        <f>IFERROR(__xludf.DUMMYFUNCTION("AVERAGE(QUERY(SORT(GOOGLEFINANCE(B159,""price"",TODAY()-365,TODAY()),1,0),""select Col2 limit 30""))"),314.1983333333333)</f>
        <v>314.1983333</v>
      </c>
      <c r="K159" s="18">
        <f>IFERROR(__xludf.DUMMYFUNCTION("AVERAGE(QUERY(SORT(GOOGLEFINANCE(B159,""price"",TODAY()-365,TODAY()),1,0),""select Col2 limit 60""))"),296.7541666666666)</f>
        <v>296.7541667</v>
      </c>
      <c r="L159" s="17">
        <f>IFERROR(__xludf.DUMMYFUNCTION("AVERAGE(QUERY(SORT(GOOGLEFINANCE(B159,""price"",TODAY()-365,TODAY()),1,0),""select Col2 limit 90""))"),276.7836666666665)</f>
        <v>276.7836667</v>
      </c>
      <c r="M159" s="17">
        <f>IFERROR(__xludf.DUMMYFUNCTION("AVERAGE(QUERY(SORT(GOOGLEFINANCE(B159,""price"",TODAY()-365,TODAY()),1,0),""select Col2 limit 120""))"),264.5534999999998)</f>
        <v>264.5535</v>
      </c>
      <c r="N159" s="19">
        <f>IFERROR(__xludf.DUMMYFUNCTION("AVERAGE(QUERY(SORT(GOOGLEFINANCE(B159,""price"",TODAY()-365,TODAY()),1,0),""select Col2 limit 200""))"),283.31059999999985)</f>
        <v>283.3106</v>
      </c>
      <c r="O159" s="20" t="str">
        <f t="shared" si="2"/>
        <v>Avoid</v>
      </c>
      <c r="P159" s="21" t="str">
        <f t="shared" si="3"/>
        <v>10 DMA</v>
      </c>
      <c r="Q159" s="21" t="str">
        <f t="shared" si="4"/>
        <v/>
      </c>
      <c r="R159" s="22">
        <f>IFERROR(__xludf.DUMMYFUNCTION("GOOGLEFINANCE(B159, ""pe"")
"),122.54)</f>
        <v>122.54</v>
      </c>
    </row>
    <row r="160">
      <c r="A160" s="9" t="s">
        <v>173</v>
      </c>
      <c r="B160" s="11" t="str">
        <f t="shared" si="1"/>
        <v>NSE:VBL</v>
      </c>
      <c r="C160" s="12">
        <f>IFERROR(__xludf.DUMMYFUNCTION("GOOGLEFINANCE(B160,""marketcap"")/10000000"),164259.7128183)</f>
        <v>164259.7128</v>
      </c>
      <c r="D160" s="13">
        <f>IFERROR(__xludf.DUMMYFUNCTION("GOOGLEFINANCE(B160,""price"")"),485.25)</f>
        <v>485.25</v>
      </c>
      <c r="E160" s="14">
        <f>IFERROR(__xludf.DUMMYFUNCTION("GOOGLEFINANCE(B160,""Volume"")"),3345062.0)</f>
        <v>3345062</v>
      </c>
      <c r="F160" s="14">
        <f t="array" ref="F160">F159</f>
        <v>14</v>
      </c>
      <c r="G160" s="15" t="str">
        <f>IFERROR(__xludf.DUMMYFUNCTION("IF(E160&gt;AVERAGE(INDEX(GOOGLEFINANCE(B160,""volume"",WORKDAY(TODAY(),-$F$1),TODAY()),,2)),""Breakout"","""")"),"")</f>
        <v/>
      </c>
      <c r="H160" s="16">
        <f>IFERROR(__xludf.DUMMYFUNCTION("GOOGLEFINANCE(B160,""price"")"),485.25)</f>
        <v>485.25</v>
      </c>
      <c r="I160" s="17">
        <f>IFERROR(__xludf.DUMMYFUNCTION("AVERAGE(QUERY(SORT(GOOGLEFINANCE(B160,""price"",TODAY()-365,TODAY()),1,0),""select Col2 limit 10""))"),481.15500000000003)</f>
        <v>481.155</v>
      </c>
      <c r="J160" s="17">
        <f>IFERROR(__xludf.DUMMYFUNCTION("AVERAGE(QUERY(SORT(GOOGLEFINANCE(B160,""price"",TODAY()-365,TODAY()),1,0),""select Col2 limit 30""))"),466.88499999999993)</f>
        <v>466.885</v>
      </c>
      <c r="K160" s="18">
        <f>IFERROR(__xludf.DUMMYFUNCTION("AVERAGE(QUERY(SORT(GOOGLEFINANCE(B160,""price"",TODAY()-365,TODAY()),1,0),""select Col2 limit 60""))"),477.7458333333333)</f>
        <v>477.7458333</v>
      </c>
      <c r="L160" s="17">
        <f>IFERROR(__xludf.DUMMYFUNCTION("AVERAGE(QUERY(SORT(GOOGLEFINANCE(B160,""price"",TODAY()-365,TODAY()),1,0),""select Col2 limit 90""))"),497.3516666666666)</f>
        <v>497.3516667</v>
      </c>
      <c r="M160" s="17">
        <f>IFERROR(__xludf.DUMMYFUNCTION("AVERAGE(QUERY(SORT(GOOGLEFINANCE(B160,""price"",TODAY()-365,TODAY()),1,0),""select Col2 limit 120""))"),498.905)</f>
        <v>498.905</v>
      </c>
      <c r="N160" s="19">
        <f>IFERROR(__xludf.DUMMYFUNCTION("AVERAGE(QUERY(SORT(GOOGLEFINANCE(B160,""price"",TODAY()-365,TODAY()),1,0),""select Col2 limit 200""))"),540.567)</f>
        <v>540.567</v>
      </c>
      <c r="O160" s="20" t="str">
        <f t="shared" si="2"/>
        <v>Avoid</v>
      </c>
      <c r="P160" s="21" t="str">
        <f t="shared" si="3"/>
        <v/>
      </c>
      <c r="Q160" s="21" t="str">
        <f t="shared" si="4"/>
        <v/>
      </c>
      <c r="R160" s="22">
        <f>IFERROR(__xludf.DUMMYFUNCTION("GOOGLEFINANCE(B160, ""pe"")
"),57.22)</f>
        <v>57.22</v>
      </c>
    </row>
    <row r="161">
      <c r="A161" s="9" t="s">
        <v>174</v>
      </c>
      <c r="B161" s="11" t="str">
        <f t="shared" si="1"/>
        <v>NSE:GRASIM</v>
      </c>
      <c r="C161" s="12">
        <f>IFERROR(__xludf.DUMMYFUNCTION("GOOGLEFINANCE(B161,""marketcap"")/10000000"),186127.0223062)</f>
        <v>186127.0223</v>
      </c>
      <c r="D161" s="13">
        <f>IFERROR(__xludf.DUMMYFUNCTION("GOOGLEFINANCE(B161,""price"")"),2741.5)</f>
        <v>2741.5</v>
      </c>
      <c r="E161" s="14">
        <f>IFERROR(__xludf.DUMMYFUNCTION("GOOGLEFINANCE(B161,""Volume"")"),367312.0)</f>
        <v>367312</v>
      </c>
      <c r="F161" s="14">
        <f t="array" ref="F161">F160</f>
        <v>14</v>
      </c>
      <c r="G161" s="15" t="str">
        <f>IFERROR(__xludf.DUMMYFUNCTION("IF(E161&gt;AVERAGE(INDEX(GOOGLEFINANCE(B161,""volume"",WORKDAY(TODAY(),-$F$1),TODAY()),,2)),""Breakout"","""")"),"")</f>
        <v/>
      </c>
      <c r="H161" s="16">
        <f>IFERROR(__xludf.DUMMYFUNCTION("GOOGLEFINANCE(B161,""price"")"),2741.5)</f>
        <v>2741.5</v>
      </c>
      <c r="I161" s="17">
        <f>IFERROR(__xludf.DUMMYFUNCTION("AVERAGE(QUERY(SORT(GOOGLEFINANCE(B161,""price"",TODAY()-365,TODAY()),1,0),""select Col2 limit 10""))"),2743.4)</f>
        <v>2743.4</v>
      </c>
      <c r="J161" s="17">
        <f>IFERROR(__xludf.DUMMYFUNCTION("AVERAGE(QUERY(SORT(GOOGLEFINANCE(B161,""price"",TODAY()-365,TODAY()),1,0),""select Col2 limit 30""))"),2768.893333333333)</f>
        <v>2768.893333</v>
      </c>
      <c r="K161" s="18">
        <f>IFERROR(__xludf.DUMMYFUNCTION("AVERAGE(QUERY(SORT(GOOGLEFINANCE(B161,""price"",TODAY()-365,TODAY()),1,0),""select Col2 limit 60""))"),2716.7433333333333)</f>
        <v>2716.743333</v>
      </c>
      <c r="L161" s="17">
        <f>IFERROR(__xludf.DUMMYFUNCTION("AVERAGE(QUERY(SORT(GOOGLEFINANCE(B161,""price"",TODAY()-365,TODAY()),1,0),""select Col2 limit 90""))"),2685.793888888889)</f>
        <v>2685.793889</v>
      </c>
      <c r="M161" s="17">
        <f>IFERROR(__xludf.DUMMYFUNCTION("AVERAGE(QUERY(SORT(GOOGLEFINANCE(B161,""price"",TODAY()-365,TODAY()),1,0),""select Col2 limit 120""))"),2622.9487500000005)</f>
        <v>2622.94875</v>
      </c>
      <c r="N161" s="19">
        <f>IFERROR(__xludf.DUMMYFUNCTION("AVERAGE(QUERY(SORT(GOOGLEFINANCE(B161,""price"",TODAY()-365,TODAY()),1,0),""select Col2 limit 200""))"),2602.293500000001)</f>
        <v>2602.2935</v>
      </c>
      <c r="O161" s="20" t="str">
        <f t="shared" si="2"/>
        <v>Avoid</v>
      </c>
      <c r="P161" s="21" t="str">
        <f t="shared" si="3"/>
        <v>10 DMA</v>
      </c>
      <c r="Q161" s="21" t="str">
        <f t="shared" si="4"/>
        <v/>
      </c>
      <c r="R161" s="22">
        <f>IFERROR(__xludf.DUMMYFUNCTION("GOOGLEFINANCE(B161, ""pe"")
"),49.43)</f>
        <v>49.43</v>
      </c>
    </row>
    <row r="162">
      <c r="A162" s="9" t="s">
        <v>175</v>
      </c>
      <c r="B162" s="11" t="str">
        <f t="shared" si="1"/>
        <v>NSE:ZOMATO</v>
      </c>
      <c r="C162" s="12" t="str">
        <f>IFERROR(__xludf.DUMMYFUNCTION("GOOGLEFINANCE(B162,""marketcap"")/10000000"),"#N/A")</f>
        <v>#N/A</v>
      </c>
      <c r="D162" s="13" t="str">
        <f>IFERROR(__xludf.DUMMYFUNCTION("GOOGLEFINANCE(B162,""price"")"),"#N/A")</f>
        <v>#N/A</v>
      </c>
      <c r="E162" s="14" t="str">
        <f>IFERROR(__xludf.DUMMYFUNCTION("GOOGLEFINANCE(B162,""Volume"")"),"#N/A")</f>
        <v>#N/A</v>
      </c>
      <c r="F162" s="14">
        <f t="array" ref="F162">F161</f>
        <v>14</v>
      </c>
      <c r="G162" s="15" t="str">
        <f>IFERROR(__xludf.DUMMYFUNCTION("IF(E162&gt;AVERAGE(INDEX(GOOGLEFINANCE(B162,""volume"",WORKDAY(TODAY(),-$F$1),TODAY()),,2)),""Breakout"","""")"),"#N/A")</f>
        <v>#N/A</v>
      </c>
      <c r="H162" s="16" t="str">
        <f>IFERROR(__xludf.DUMMYFUNCTION("GOOGLEFINANCE(B162,""price"")"),"#N/A")</f>
        <v>#N/A</v>
      </c>
      <c r="I162" s="17" t="str">
        <f>IFERROR(__xludf.DUMMYFUNCTION("AVERAGE(QUERY(SORT(GOOGLEFINANCE(B162,""price"",TODAY()-365,TODAY()),1,0),""select Col2 limit 10""))"),"#N/A")</f>
        <v>#N/A</v>
      </c>
      <c r="J162" s="17" t="str">
        <f>IFERROR(__xludf.DUMMYFUNCTION("AVERAGE(QUERY(SORT(GOOGLEFINANCE(B162,""price"",TODAY()-365,TODAY()),1,0),""select Col2 limit 30""))"),"#N/A")</f>
        <v>#N/A</v>
      </c>
      <c r="K162" s="18" t="str">
        <f>IFERROR(__xludf.DUMMYFUNCTION("AVERAGE(QUERY(SORT(GOOGLEFINANCE(B162,""price"",TODAY()-365,TODAY()),1,0),""select Col2 limit 60""))"),"#N/A")</f>
        <v>#N/A</v>
      </c>
      <c r="L162" s="17" t="str">
        <f>IFERROR(__xludf.DUMMYFUNCTION("AVERAGE(QUERY(SORT(GOOGLEFINANCE(B162,""price"",TODAY()-365,TODAY()),1,0),""select Col2 limit 90""))"),"#N/A")</f>
        <v>#N/A</v>
      </c>
      <c r="M162" s="17" t="str">
        <f>IFERROR(__xludf.DUMMYFUNCTION("AVERAGE(QUERY(SORT(GOOGLEFINANCE(B162,""price"",TODAY()-365,TODAY()),1,0),""select Col2 limit 120""))"),"#N/A")</f>
        <v>#N/A</v>
      </c>
      <c r="N162" s="19" t="str">
        <f>IFERROR(__xludf.DUMMYFUNCTION("AVERAGE(QUERY(SORT(GOOGLEFINANCE(B162,""price"",TODAY()-365,TODAY()),1,0),""select Col2 limit 200""))"),"#N/A")</f>
        <v>#N/A</v>
      </c>
      <c r="O162" s="20" t="str">
        <f t="shared" si="2"/>
        <v>#N/A</v>
      </c>
      <c r="P162" s="21" t="str">
        <f t="shared" si="3"/>
        <v>#N/A</v>
      </c>
      <c r="Q162" s="21" t="str">
        <f t="shared" si="4"/>
        <v>#N/A</v>
      </c>
      <c r="R162" s="22" t="str">
        <f>IFERROR(__xludf.DUMMYFUNCTION("GOOGLEFINANCE(B162, ""pe"")
"),"#N/A")</f>
        <v>#N/A</v>
      </c>
    </row>
    <row r="163">
      <c r="A163" s="9" t="s">
        <v>176</v>
      </c>
      <c r="B163" s="11" t="str">
        <f t="shared" si="1"/>
        <v>NSE:TRENT</v>
      </c>
      <c r="C163" s="12">
        <f>IFERROR(__xludf.DUMMYFUNCTION("GOOGLEFINANCE(B163,""marketcap"")/10000000"),180836.44038)</f>
        <v>180836.4404</v>
      </c>
      <c r="D163" s="13">
        <f>IFERROR(__xludf.DUMMYFUNCTION("GOOGLEFINANCE(B163,""price"")"),5087.0)</f>
        <v>5087</v>
      </c>
      <c r="E163" s="14">
        <f>IFERROR(__xludf.DUMMYFUNCTION("GOOGLEFINANCE(B163,""Volume"")"),611455.0)</f>
        <v>611455</v>
      </c>
      <c r="F163" s="14">
        <f t="array" ref="F163">F162</f>
        <v>14</v>
      </c>
      <c r="G163" s="15" t="str">
        <f>IFERROR(__xludf.DUMMYFUNCTION("IF(E163&gt;AVERAGE(INDEX(GOOGLEFINANCE(B163,""volume"",WORKDAY(TODAY(),-$F$1),TODAY()),,2)),""Breakout"","""")"),"#N/A")</f>
        <v>#N/A</v>
      </c>
      <c r="H163" s="16">
        <f>IFERROR(__xludf.DUMMYFUNCTION("GOOGLEFINANCE(B163,""price"")"),5087.0)</f>
        <v>5087</v>
      </c>
      <c r="I163" s="17">
        <f>IFERROR(__xludf.DUMMYFUNCTION("AVERAGE(QUERY(SORT(GOOGLEFINANCE(B163,""price"",TODAY()-365,TODAY()),1,0),""select Col2 limit 10""))"),5317.15)</f>
        <v>5317.15</v>
      </c>
      <c r="J163" s="17">
        <f>IFERROR(__xludf.DUMMYFUNCTION("AVERAGE(QUERY(SORT(GOOGLEFINANCE(B163,""price"",TODAY()-365,TODAY()),1,0),""select Col2 limit 30""))"),5654.5)</f>
        <v>5654.5</v>
      </c>
      <c r="K163" s="18">
        <f>IFERROR(__xludf.DUMMYFUNCTION("AVERAGE(QUERY(SORT(GOOGLEFINANCE(B163,""price"",TODAY()-365,TODAY()),1,0),""select Col2 limit 60""))"),5586.025)</f>
        <v>5586.025</v>
      </c>
      <c r="L163" s="17">
        <f>IFERROR(__xludf.DUMMYFUNCTION("AVERAGE(QUERY(SORT(GOOGLEFINANCE(B163,""price"",TODAY()-365,TODAY()),1,0),""select Col2 limit 90""))"),5459.273888888889)</f>
        <v>5459.273889</v>
      </c>
      <c r="M163" s="17">
        <f>IFERROR(__xludf.DUMMYFUNCTION("AVERAGE(QUERY(SORT(GOOGLEFINANCE(B163,""price"",TODAY()-365,TODAY()),1,0),""select Col2 limit 120""))"),5390.613333333333)</f>
        <v>5390.613333</v>
      </c>
      <c r="N163" s="19">
        <f>IFERROR(__xludf.DUMMYFUNCTION("AVERAGE(QUERY(SORT(GOOGLEFINANCE(B163,""price"",TODAY()-365,TODAY()),1,0),""select Col2 limit 200""))"),5990.811500000002)</f>
        <v>5990.8115</v>
      </c>
      <c r="O163" s="20" t="str">
        <f t="shared" si="2"/>
        <v>Avoid</v>
      </c>
      <c r="P163" s="21" t="str">
        <f t="shared" si="3"/>
        <v/>
      </c>
      <c r="Q163" s="21" t="str">
        <f t="shared" si="4"/>
        <v/>
      </c>
      <c r="R163" s="22">
        <f>IFERROR(__xludf.DUMMYFUNCTION("GOOGLEFINANCE(B163, ""pe"")
"),116.93)</f>
        <v>116.93</v>
      </c>
    </row>
    <row r="164">
      <c r="A164" s="9" t="s">
        <v>177</v>
      </c>
      <c r="B164" s="11" t="str">
        <f t="shared" si="1"/>
        <v>NSE:PFC</v>
      </c>
      <c r="C164" s="12">
        <f>IFERROR(__xludf.DUMMYFUNCTION("GOOGLEFINANCE(B164,""marketcap"")/10000000"),136294.1713)</f>
        <v>136294.1713</v>
      </c>
      <c r="D164" s="13">
        <f>IFERROR(__xludf.DUMMYFUNCTION("GOOGLEFINANCE(B164,""price"")"),413.4)</f>
        <v>413.4</v>
      </c>
      <c r="E164" s="14">
        <f>IFERROR(__xludf.DUMMYFUNCTION("GOOGLEFINANCE(B164,""Volume"")"),1431019.0)</f>
        <v>1431019</v>
      </c>
      <c r="F164" s="14">
        <f t="array" ref="F164">F163</f>
        <v>14</v>
      </c>
      <c r="G164" s="15" t="str">
        <f>IFERROR(__xludf.DUMMYFUNCTION("IF(E164&gt;AVERAGE(INDEX(GOOGLEFINANCE(B164,""volume"",WORKDAY(TODAY(),-$F$1),TODAY()),,2)),""Breakout"","""")"),"")</f>
        <v/>
      </c>
      <c r="H164" s="16">
        <f>IFERROR(__xludf.DUMMYFUNCTION("GOOGLEFINANCE(B164,""price"")"),413.4)</f>
        <v>413.4</v>
      </c>
      <c r="I164" s="17">
        <f>IFERROR(__xludf.DUMMYFUNCTION("AVERAGE(QUERY(SORT(GOOGLEFINANCE(B164,""price"",TODAY()-365,TODAY()),1,0),""select Col2 limit 10""))"),420.95)</f>
        <v>420.95</v>
      </c>
      <c r="J164" s="17">
        <f>IFERROR(__xludf.DUMMYFUNCTION("AVERAGE(QUERY(SORT(GOOGLEFINANCE(B164,""price"",TODAY()-365,TODAY()),1,0),""select Col2 limit 30""))"),416.7499999999999)</f>
        <v>416.75</v>
      </c>
      <c r="K164" s="18">
        <f>IFERROR(__xludf.DUMMYFUNCTION("AVERAGE(QUERY(SORT(GOOGLEFINANCE(B164,""price"",TODAY()-365,TODAY()),1,0),""select Col2 limit 60""))"),413.5633333333333)</f>
        <v>413.5633333</v>
      </c>
      <c r="L164" s="17">
        <f>IFERROR(__xludf.DUMMYFUNCTION("AVERAGE(QUERY(SORT(GOOGLEFINANCE(B164,""price"",TODAY()-365,TODAY()),1,0),""select Col2 limit 90""))"),413.6027777777777)</f>
        <v>413.6027778</v>
      </c>
      <c r="M164" s="17">
        <f>IFERROR(__xludf.DUMMYFUNCTION("AVERAGE(QUERY(SORT(GOOGLEFINANCE(B164,""price"",TODAY()-365,TODAY()),1,0),""select Col2 limit 120""))"),407.8737499999998)</f>
        <v>407.87375</v>
      </c>
      <c r="N164" s="19">
        <f>IFERROR(__xludf.DUMMYFUNCTION("AVERAGE(QUERY(SORT(GOOGLEFINANCE(B164,""price"",TODAY()-365,TODAY()),1,0),""select Col2 limit 200""))"),428.92699999999985)</f>
        <v>428.927</v>
      </c>
      <c r="O164" s="20" t="str">
        <f t="shared" si="2"/>
        <v>Avoid</v>
      </c>
      <c r="P164" s="21" t="str">
        <f t="shared" si="3"/>
        <v>30 DMA</v>
      </c>
      <c r="Q164" s="21" t="str">
        <f t="shared" si="4"/>
        <v/>
      </c>
      <c r="R164" s="22">
        <f>IFERROR(__xludf.DUMMYFUNCTION("GOOGLEFINANCE(B164, ""pe"")
"),5.94)</f>
        <v>5.94</v>
      </c>
    </row>
    <row r="165">
      <c r="A165" s="9" t="s">
        <v>178</v>
      </c>
      <c r="B165" s="11" t="str">
        <f t="shared" si="1"/>
        <v>NSE:LTIM</v>
      </c>
      <c r="C165" s="12">
        <f>IFERROR(__xludf.DUMMYFUNCTION("GOOGLEFINANCE(B165,""marketcap"")/10000000"),151043.4)</f>
        <v>151043.4</v>
      </c>
      <c r="D165" s="13">
        <f>IFERROR(__xludf.DUMMYFUNCTION("GOOGLEFINANCE(B165,""price"")"),5096.0)</f>
        <v>5096</v>
      </c>
      <c r="E165" s="14">
        <f>IFERROR(__xludf.DUMMYFUNCTION("GOOGLEFINANCE(B165,""Volume"")"),69038.0)</f>
        <v>69038</v>
      </c>
      <c r="F165" s="14">
        <f t="array" ref="F165">F164</f>
        <v>14</v>
      </c>
      <c r="G165" s="15" t="str">
        <f>IFERROR(__xludf.DUMMYFUNCTION("IF(E165&gt;AVERAGE(INDEX(GOOGLEFINANCE(B165,""volume"",WORKDAY(TODAY(),-$F$1),TODAY()),,2)),""Breakout"","""")"),"")</f>
        <v/>
      </c>
      <c r="H165" s="16">
        <f>IFERROR(__xludf.DUMMYFUNCTION("GOOGLEFINANCE(B165,""price"")"),5096.0)</f>
        <v>5096</v>
      </c>
      <c r="I165" s="17">
        <f>IFERROR(__xludf.DUMMYFUNCTION("AVERAGE(QUERY(SORT(GOOGLEFINANCE(B165,""price"",TODAY()-365,TODAY()),1,0),""select Col2 limit 10""))"),5198.35)</f>
        <v>5198.35</v>
      </c>
      <c r="J165" s="17">
        <f>IFERROR(__xludf.DUMMYFUNCTION("AVERAGE(QUERY(SORT(GOOGLEFINANCE(B165,""price"",TODAY()-365,TODAY()),1,0),""select Col2 limit 30""))"),5301.633333333333)</f>
        <v>5301.633333</v>
      </c>
      <c r="K165" s="18">
        <f>IFERROR(__xludf.DUMMYFUNCTION("AVERAGE(QUERY(SORT(GOOGLEFINANCE(B165,""price"",TODAY()-365,TODAY()),1,0),""select Col2 limit 60""))"),5169.508333333333)</f>
        <v>5169.508333</v>
      </c>
      <c r="L165" s="17">
        <f>IFERROR(__xludf.DUMMYFUNCTION("AVERAGE(QUERY(SORT(GOOGLEFINANCE(B165,""price"",TODAY()-365,TODAY()),1,0),""select Col2 limit 90""))"),4916.511111111112)</f>
        <v>4916.511111</v>
      </c>
      <c r="M165" s="17">
        <f>IFERROR(__xludf.DUMMYFUNCTION("AVERAGE(QUERY(SORT(GOOGLEFINANCE(B165,""price"",TODAY()-365,TODAY()),1,0),""select Col2 limit 120""))"),5009.416249999999)</f>
        <v>5009.41625</v>
      </c>
      <c r="N165" s="19">
        <f>IFERROR(__xludf.DUMMYFUNCTION("AVERAGE(QUERY(SORT(GOOGLEFINANCE(B165,""price"",TODAY()-365,TODAY()),1,0),""select Col2 limit 200""))"),5423.071000000002)</f>
        <v>5423.071</v>
      </c>
      <c r="O165" s="20" t="str">
        <f t="shared" si="2"/>
        <v>Avoid</v>
      </c>
      <c r="P165" s="21" t="str">
        <f t="shared" si="3"/>
        <v/>
      </c>
      <c r="Q165" s="21" t="str">
        <f t="shared" si="4"/>
        <v/>
      </c>
      <c r="R165" s="22">
        <f>IFERROR(__xludf.DUMMYFUNCTION("GOOGLEFINANCE(B165, ""pe"")
"),34.69)</f>
        <v>34.69</v>
      </c>
    </row>
    <row r="166">
      <c r="A166" s="9" t="s">
        <v>179</v>
      </c>
      <c r="B166" s="11" t="str">
        <f t="shared" si="1"/>
        <v>NSE:SBILIFE</v>
      </c>
      <c r="C166" s="12">
        <f>IFERROR(__xludf.DUMMYFUNCTION("GOOGLEFINANCE(B166,""marketcap"")/10000000"),185237.6274)</f>
        <v>185237.6274</v>
      </c>
      <c r="D166" s="13">
        <f>IFERROR(__xludf.DUMMYFUNCTION("GOOGLEFINANCE(B166,""price"")"),1849.9)</f>
        <v>1849.9</v>
      </c>
      <c r="E166" s="14">
        <f>IFERROR(__xludf.DUMMYFUNCTION("GOOGLEFINANCE(B166,""Volume"")"),411288.0)</f>
        <v>411288</v>
      </c>
      <c r="F166" s="14">
        <f t="array" ref="F166">F165</f>
        <v>14</v>
      </c>
      <c r="G166" s="15" t="str">
        <f>IFERROR(__xludf.DUMMYFUNCTION("IF(E166&gt;AVERAGE(INDEX(GOOGLEFINANCE(B166,""volume"",WORKDAY(TODAY(),-$F$1),TODAY()),,2)),""Breakout"","""")"),"")</f>
        <v/>
      </c>
      <c r="H166" s="16">
        <f>IFERROR(__xludf.DUMMYFUNCTION("GOOGLEFINANCE(B166,""price"")"),1849.9)</f>
        <v>1849.9</v>
      </c>
      <c r="I166" s="17">
        <f>IFERROR(__xludf.DUMMYFUNCTION("AVERAGE(QUERY(SORT(GOOGLEFINANCE(B166,""price"",TODAY()-365,TODAY()),1,0),""select Col2 limit 10""))"),1814.53)</f>
        <v>1814.53</v>
      </c>
      <c r="J166" s="17">
        <f>IFERROR(__xludf.DUMMYFUNCTION("AVERAGE(QUERY(SORT(GOOGLEFINANCE(B166,""price"",TODAY()-365,TODAY()),1,0),""select Col2 limit 30""))"),1820.3166666666666)</f>
        <v>1820.316667</v>
      </c>
      <c r="K166" s="18">
        <f>IFERROR(__xludf.DUMMYFUNCTION("AVERAGE(QUERY(SORT(GOOGLEFINANCE(B166,""price"",TODAY()-365,TODAY()),1,0),""select Col2 limit 60""))"),1796.5166666666664)</f>
        <v>1796.516667</v>
      </c>
      <c r="L166" s="17">
        <f>IFERROR(__xludf.DUMMYFUNCTION("AVERAGE(QUERY(SORT(GOOGLEFINANCE(B166,""price"",TODAY()-365,TODAY()),1,0),""select Col2 limit 90""))"),1722.1133333333332)</f>
        <v>1722.113333</v>
      </c>
      <c r="M166" s="17">
        <f>IFERROR(__xludf.DUMMYFUNCTION("AVERAGE(QUERY(SORT(GOOGLEFINANCE(B166,""price"",TODAY()-365,TODAY()),1,0),""select Col2 limit 120""))"),1653.9737500000003)</f>
        <v>1653.97375</v>
      </c>
      <c r="N166" s="19">
        <f>IFERROR(__xludf.DUMMYFUNCTION("AVERAGE(QUERY(SORT(GOOGLEFINANCE(B166,""price"",TODAY()-365,TODAY()),1,0),""select Col2 limit 200""))"),1603.7385000000002)</f>
        <v>1603.7385</v>
      </c>
      <c r="O166" s="20" t="str">
        <f t="shared" si="2"/>
        <v>Avoid</v>
      </c>
      <c r="P166" s="21" t="str">
        <f t="shared" si="3"/>
        <v/>
      </c>
      <c r="Q166" s="21" t="str">
        <f t="shared" si="4"/>
        <v/>
      </c>
      <c r="R166" s="22">
        <f>IFERROR(__xludf.DUMMYFUNCTION("GOOGLEFINANCE(B166, ""pe"")
"),74.57)</f>
        <v>74.57</v>
      </c>
    </row>
    <row r="167">
      <c r="A167" s="9" t="s">
        <v>180</v>
      </c>
      <c r="B167" s="11" t="str">
        <f t="shared" si="1"/>
        <v>NSE:INDIGO</v>
      </c>
      <c r="C167" s="12">
        <f>IFERROR(__xludf.DUMMYFUNCTION("GOOGLEFINANCE(B167,""marketcap"")/10000000"),224588.549995)</f>
        <v>224588.55</v>
      </c>
      <c r="D167" s="13">
        <f>IFERROR(__xludf.DUMMYFUNCTION("GOOGLEFINANCE(B167,""price"")"),5810.5)</f>
        <v>5810.5</v>
      </c>
      <c r="E167" s="14">
        <f>IFERROR(__xludf.DUMMYFUNCTION("GOOGLEFINANCE(B167,""Volume"")"),242127.0)</f>
        <v>242127</v>
      </c>
      <c r="F167" s="14">
        <f t="array" ref="F167">F166</f>
        <v>14</v>
      </c>
      <c r="G167" s="15" t="str">
        <f>IFERROR(__xludf.DUMMYFUNCTION("IF(E167&gt;AVERAGE(INDEX(GOOGLEFINANCE(B167,""volume"",WORKDAY(TODAY(),-$F$1),TODAY()),,2)),""Breakout"","""")"),"")</f>
        <v/>
      </c>
      <c r="H167" s="16">
        <f>IFERROR(__xludf.DUMMYFUNCTION("GOOGLEFINANCE(B167,""price"")"),5810.5)</f>
        <v>5810.5</v>
      </c>
      <c r="I167" s="17">
        <f>IFERROR(__xludf.DUMMYFUNCTION("AVERAGE(QUERY(SORT(GOOGLEFINANCE(B167,""price"",TODAY()-365,TODAY()),1,0),""select Col2 limit 10""))"),5884.85)</f>
        <v>5884.85</v>
      </c>
      <c r="J167" s="17">
        <f>IFERROR(__xludf.DUMMYFUNCTION("AVERAGE(QUERY(SORT(GOOGLEFINANCE(B167,""price"",TODAY()-365,TODAY()),1,0),""select Col2 limit 30""))"),5742.383333333333)</f>
        <v>5742.383333</v>
      </c>
      <c r="K167" s="18">
        <f>IFERROR(__xludf.DUMMYFUNCTION("AVERAGE(QUERY(SORT(GOOGLEFINANCE(B167,""price"",TODAY()-365,TODAY()),1,0),""select Col2 limit 60""))"),5587.425)</f>
        <v>5587.425</v>
      </c>
      <c r="L167" s="17">
        <f>IFERROR(__xludf.DUMMYFUNCTION("AVERAGE(QUERY(SORT(GOOGLEFINANCE(B167,""price"",TODAY()-365,TODAY()),1,0),""select Col2 limit 90""))"),5447.634999999999)</f>
        <v>5447.635</v>
      </c>
      <c r="M167" s="17">
        <f>IFERROR(__xludf.DUMMYFUNCTION("AVERAGE(QUERY(SORT(GOOGLEFINANCE(B167,""price"",TODAY()-365,TODAY()),1,0),""select Col2 limit 120""))"),5197.907916666666)</f>
        <v>5197.907917</v>
      </c>
      <c r="N167" s="19">
        <f>IFERROR(__xludf.DUMMYFUNCTION("AVERAGE(QUERY(SORT(GOOGLEFINANCE(B167,""price"",TODAY()-365,TODAY()),1,0),""select Col2 limit 200""))"),4848.710749999999)</f>
        <v>4848.71075</v>
      </c>
      <c r="O167" s="20" t="str">
        <f t="shared" si="2"/>
        <v>Avoid</v>
      </c>
      <c r="P167" s="21" t="str">
        <f t="shared" si="3"/>
        <v/>
      </c>
      <c r="Q167" s="21" t="str">
        <f t="shared" si="4"/>
        <v/>
      </c>
      <c r="R167" s="22">
        <f>IFERROR(__xludf.DUMMYFUNCTION("GOOGLEFINANCE(B167, ""pe"")
"),31.0)</f>
        <v>31</v>
      </c>
    </row>
    <row r="168">
      <c r="A168" s="9" t="s">
        <v>181</v>
      </c>
      <c r="B168" s="11" t="str">
        <f t="shared" si="1"/>
        <v>NSE:VEDL</v>
      </c>
      <c r="C168" s="12">
        <f>IFERROR(__xludf.DUMMYFUNCTION("GOOGLEFINANCE(B168,""marketcap"")/10000000"),171430.8737874)</f>
        <v>171430.8738</v>
      </c>
      <c r="D168" s="13">
        <f>IFERROR(__xludf.DUMMYFUNCTION("GOOGLEFINANCE(B168,""price"")"),439.15)</f>
        <v>439.15</v>
      </c>
      <c r="E168" s="14">
        <f>IFERROR(__xludf.DUMMYFUNCTION("GOOGLEFINANCE(B168,""Volume"")"),1506090.0)</f>
        <v>1506090</v>
      </c>
      <c r="F168" s="14">
        <f t="array" ref="F168">F167</f>
        <v>14</v>
      </c>
      <c r="G168" s="15" t="str">
        <f>IFERROR(__xludf.DUMMYFUNCTION("IF(E168&gt;AVERAGE(INDEX(GOOGLEFINANCE(B168,""volume"",WORKDAY(TODAY(),-$F$1),TODAY()),,2)),""Breakout"","""")"),"")</f>
        <v/>
      </c>
      <c r="H168" s="16">
        <f>IFERROR(__xludf.DUMMYFUNCTION("GOOGLEFINANCE(B168,""price"")"),439.15)</f>
        <v>439.15</v>
      </c>
      <c r="I168" s="17">
        <f>IFERROR(__xludf.DUMMYFUNCTION("AVERAGE(QUERY(SORT(GOOGLEFINANCE(B168,""price"",TODAY()-365,TODAY()),1,0),""select Col2 limit 10""))"),449.08000000000004)</f>
        <v>449.08</v>
      </c>
      <c r="J168" s="17">
        <f>IFERROR(__xludf.DUMMYFUNCTION("AVERAGE(QUERY(SORT(GOOGLEFINANCE(B168,""price"",TODAY()-365,TODAY()),1,0),""select Col2 limit 30""))"),452.0116666666667)</f>
        <v>452.0116667</v>
      </c>
      <c r="K168" s="18">
        <f>IFERROR(__xludf.DUMMYFUNCTION("AVERAGE(QUERY(SORT(GOOGLEFINANCE(B168,""price"",TODAY()-365,TODAY()),1,0),""select Col2 limit 60""))"),445.6108333333333)</f>
        <v>445.6108333</v>
      </c>
      <c r="L168" s="17">
        <f>IFERROR(__xludf.DUMMYFUNCTION("AVERAGE(QUERY(SORT(GOOGLEFINANCE(B168,""price"",TODAY()-365,TODAY()),1,0),""select Col2 limit 90""))"),439.63333333333344)</f>
        <v>439.6333333</v>
      </c>
      <c r="M168" s="17">
        <f>IFERROR(__xludf.DUMMYFUNCTION("AVERAGE(QUERY(SORT(GOOGLEFINANCE(B168,""price"",TODAY()-365,TODAY()),1,0),""select Col2 limit 120""))"),436.7416666666666)</f>
        <v>436.7416667</v>
      </c>
      <c r="N168" s="19">
        <f>IFERROR(__xludf.DUMMYFUNCTION("AVERAGE(QUERY(SORT(GOOGLEFINANCE(B168,""price"",TODAY()-365,TODAY()),1,0),""select Col2 limit 200""))"),448.1782499999999)</f>
        <v>448.17825</v>
      </c>
      <c r="O168" s="20" t="str">
        <f t="shared" si="2"/>
        <v>Avoid</v>
      </c>
      <c r="P168" s="21" t="str">
        <f t="shared" si="3"/>
        <v>90 DMA</v>
      </c>
      <c r="Q168" s="21" t="str">
        <f t="shared" si="4"/>
        <v/>
      </c>
      <c r="R168" s="22">
        <f>IFERROR(__xludf.DUMMYFUNCTION("GOOGLEFINANCE(B168, ""pe"")
"),10.85)</f>
        <v>10.85</v>
      </c>
    </row>
    <row r="169">
      <c r="A169" s="9" t="s">
        <v>182</v>
      </c>
      <c r="B169" s="11" t="str">
        <f t="shared" si="1"/>
        <v>NSE:ABB</v>
      </c>
      <c r="C169" s="12">
        <f>IFERROR(__xludf.DUMMYFUNCTION("GOOGLEFINANCE(B169,""marketcap"")/10000000"),117873.991875)</f>
        <v>117873.9919</v>
      </c>
      <c r="D169" s="13">
        <f>IFERROR(__xludf.DUMMYFUNCTION("GOOGLEFINANCE(B169,""price"")"),5562.5)</f>
        <v>5562.5</v>
      </c>
      <c r="E169" s="14">
        <f>IFERROR(__xludf.DUMMYFUNCTION("GOOGLEFINANCE(B169,""Volume"")"),140545.0)</f>
        <v>140545</v>
      </c>
      <c r="F169" s="14">
        <f t="array" ref="F169">F168</f>
        <v>14</v>
      </c>
      <c r="G169" s="15" t="str">
        <f>IFERROR(__xludf.DUMMYFUNCTION("IF(E169&gt;AVERAGE(INDEX(GOOGLEFINANCE(B169,""volume"",WORKDAY(TODAY(),-$F$1),TODAY()),,2)),""Breakout"","""")"),"")</f>
        <v/>
      </c>
      <c r="H169" s="16">
        <f>IFERROR(__xludf.DUMMYFUNCTION("GOOGLEFINANCE(B169,""price"")"),5562.5)</f>
        <v>5562.5</v>
      </c>
      <c r="I169" s="17">
        <f>IFERROR(__xludf.DUMMYFUNCTION("AVERAGE(QUERY(SORT(GOOGLEFINANCE(B169,""price"",TODAY()-365,TODAY()),1,0),""select Col2 limit 10""))"),5673.45)</f>
        <v>5673.45</v>
      </c>
      <c r="J169" s="17">
        <f>IFERROR(__xludf.DUMMYFUNCTION("AVERAGE(QUERY(SORT(GOOGLEFINANCE(B169,""price"",TODAY()-365,TODAY()),1,0),""select Col2 limit 30""))"),5851.383333333333)</f>
        <v>5851.383333</v>
      </c>
      <c r="K169" s="18">
        <f>IFERROR(__xludf.DUMMYFUNCTION("AVERAGE(QUERY(SORT(GOOGLEFINANCE(B169,""price"",TODAY()-365,TODAY()),1,0),""select Col2 limit 60""))"),5847.741666666667)</f>
        <v>5847.741667</v>
      </c>
      <c r="L169" s="17">
        <f>IFERROR(__xludf.DUMMYFUNCTION("AVERAGE(QUERY(SORT(GOOGLEFINANCE(B169,""price"",TODAY()-365,TODAY()),1,0),""select Col2 limit 90""))"),5702.109444444445)</f>
        <v>5702.109444</v>
      </c>
      <c r="M169" s="17">
        <f>IFERROR(__xludf.DUMMYFUNCTION("AVERAGE(QUERY(SORT(GOOGLEFINANCE(B169,""price"",TODAY()-365,TODAY()),1,0),""select Col2 limit 120""))"),5622.00541666667)</f>
        <v>5622.005417</v>
      </c>
      <c r="N169" s="19">
        <f>IFERROR(__xludf.DUMMYFUNCTION("AVERAGE(QUERY(SORT(GOOGLEFINANCE(B169,""price"",TODAY()-365,TODAY()),1,0),""select Col2 limit 200""))"),6276.553750000001)</f>
        <v>6276.55375</v>
      </c>
      <c r="O169" s="20" t="str">
        <f t="shared" si="2"/>
        <v>Avoid</v>
      </c>
      <c r="P169" s="21" t="str">
        <f t="shared" si="3"/>
        <v/>
      </c>
      <c r="Q169" s="21" t="str">
        <f t="shared" si="4"/>
        <v/>
      </c>
      <c r="R169" s="22">
        <f>IFERROR(__xludf.DUMMYFUNCTION("GOOGLEFINANCE(B169, ""pe"")
"),62.44)</f>
        <v>62.44</v>
      </c>
    </row>
    <row r="170">
      <c r="A170" s="9" t="s">
        <v>183</v>
      </c>
      <c r="B170" s="11" t="str">
        <f t="shared" si="1"/>
        <v>NSE:PIDILITIND</v>
      </c>
      <c r="C170" s="12">
        <f>IFERROR(__xludf.DUMMYFUNCTION("GOOGLEFINANCE(B170,""marketcap"")/10000000"),147265.3732125)</f>
        <v>147265.3732</v>
      </c>
      <c r="D170" s="13">
        <f>IFERROR(__xludf.DUMMYFUNCTION("GOOGLEFINANCE(B170,""price"")"),2892.6)</f>
        <v>2892.6</v>
      </c>
      <c r="E170" s="14">
        <f>IFERROR(__xludf.DUMMYFUNCTION("GOOGLEFINANCE(B170,""Volume"")"),116944.0)</f>
        <v>116944</v>
      </c>
      <c r="F170" s="14">
        <f t="array" ref="F170">F169</f>
        <v>14</v>
      </c>
      <c r="G170" s="15" t="str">
        <f>IFERROR(__xludf.DUMMYFUNCTION("IF(E170&gt;AVERAGE(INDEX(GOOGLEFINANCE(B170,""volume"",WORKDAY(TODAY(),-$F$1),TODAY()),,2)),""Breakout"","""")"),"")</f>
        <v/>
      </c>
      <c r="H170" s="16">
        <f>IFERROR(__xludf.DUMMYFUNCTION("GOOGLEFINANCE(B170,""price"")"),2892.6)</f>
        <v>2892.6</v>
      </c>
      <c r="I170" s="17">
        <f>IFERROR(__xludf.DUMMYFUNCTION("AVERAGE(QUERY(SORT(GOOGLEFINANCE(B170,""price"",TODAY()-365,TODAY()),1,0),""select Col2 limit 10""))"),2951.6800000000003)</f>
        <v>2951.68</v>
      </c>
      <c r="J170" s="17">
        <f>IFERROR(__xludf.DUMMYFUNCTION("AVERAGE(QUERY(SORT(GOOGLEFINANCE(B170,""price"",TODAY()-365,TODAY()),1,0),""select Col2 limit 30""))"),3002.7600000000007)</f>
        <v>3002.76</v>
      </c>
      <c r="K170" s="18">
        <f>IFERROR(__xludf.DUMMYFUNCTION("AVERAGE(QUERY(SORT(GOOGLEFINANCE(B170,""price"",TODAY()-365,TODAY()),1,0),""select Col2 limit 60""))"),3024.1050000000014)</f>
        <v>3024.105</v>
      </c>
      <c r="L170" s="17">
        <f>IFERROR(__xludf.DUMMYFUNCTION("AVERAGE(QUERY(SORT(GOOGLEFINANCE(B170,""price"",TODAY()-365,TODAY()),1,0),""select Col2 limit 90""))"),2987.7722222222224)</f>
        <v>2987.772222</v>
      </c>
      <c r="M170" s="17">
        <f>IFERROR(__xludf.DUMMYFUNCTION("AVERAGE(QUERY(SORT(GOOGLEFINANCE(B170,""price"",TODAY()-365,TODAY()),1,0),""select Col2 limit 120""))"),2938.335833333333)</f>
        <v>2938.335833</v>
      </c>
      <c r="N170" s="19">
        <f>IFERROR(__xludf.DUMMYFUNCTION("AVERAGE(QUERY(SORT(GOOGLEFINANCE(B170,""price"",TODAY()-365,TODAY()),1,0),""select Col2 limit 200""))"),2975.9835)</f>
        <v>2975.9835</v>
      </c>
      <c r="O170" s="20" t="str">
        <f t="shared" si="2"/>
        <v>Avoid</v>
      </c>
      <c r="P170" s="21" t="str">
        <f t="shared" si="3"/>
        <v/>
      </c>
      <c r="Q170" s="21" t="str">
        <f t="shared" si="4"/>
        <v/>
      </c>
      <c r="R170" s="22">
        <f>IFERROR(__xludf.DUMMYFUNCTION("GOOGLEFINANCE(B170, ""pe"")
"),71.02)</f>
        <v>71.02</v>
      </c>
    </row>
    <row r="171">
      <c r="A171" s="9" t="s">
        <v>184</v>
      </c>
      <c r="B171" s="11" t="str">
        <f t="shared" si="1"/>
        <v>NSE:RECLTD</v>
      </c>
      <c r="C171" s="12">
        <f>IFERROR(__xludf.DUMMYFUNCTION("GOOGLEFINANCE(B171,""marketcap"")/10000000"),105250.0064643)</f>
        <v>105250.0065</v>
      </c>
      <c r="D171" s="13">
        <f>IFERROR(__xludf.DUMMYFUNCTION("GOOGLEFINANCE(B171,""price"")"),399.75)</f>
        <v>399.75</v>
      </c>
      <c r="E171" s="14">
        <f>IFERROR(__xludf.DUMMYFUNCTION("GOOGLEFINANCE(B171,""Volume"")"),3093442.0)</f>
        <v>3093442</v>
      </c>
      <c r="F171" s="14">
        <f t="array" ref="F171">F170</f>
        <v>14</v>
      </c>
      <c r="G171" s="15" t="str">
        <f>IFERROR(__xludf.DUMMYFUNCTION("IF(E171&gt;AVERAGE(INDEX(GOOGLEFINANCE(B171,""volume"",WORKDAY(TODAY(),-$F$1),TODAY()),,2)),""Breakout"","""")"),"")</f>
        <v/>
      </c>
      <c r="H171" s="16">
        <f>IFERROR(__xludf.DUMMYFUNCTION("GOOGLEFINANCE(B171,""price"")"),399.75)</f>
        <v>399.75</v>
      </c>
      <c r="I171" s="17">
        <f>IFERROR(__xludf.DUMMYFUNCTION("AVERAGE(QUERY(SORT(GOOGLEFINANCE(B171,""price"",TODAY()-365,TODAY()),1,0),""select Col2 limit 10""))"),400.03)</f>
        <v>400.03</v>
      </c>
      <c r="J171" s="17">
        <f>IFERROR(__xludf.DUMMYFUNCTION("AVERAGE(QUERY(SORT(GOOGLEFINANCE(B171,""price"",TODAY()-365,TODAY()),1,0),""select Col2 limit 30""))"),397.8133333333333)</f>
        <v>397.8133333</v>
      </c>
      <c r="K171" s="18">
        <f>IFERROR(__xludf.DUMMYFUNCTION("AVERAGE(QUERY(SORT(GOOGLEFINANCE(B171,""price"",TODAY()-365,TODAY()),1,0),""select Col2 limit 60""))"),401.42)</f>
        <v>401.42</v>
      </c>
      <c r="L171" s="17">
        <f>IFERROR(__xludf.DUMMYFUNCTION("AVERAGE(QUERY(SORT(GOOGLEFINANCE(B171,""price"",TODAY()-365,TODAY()),1,0),""select Col2 limit 90""))"),408.7883333333333)</f>
        <v>408.7883333</v>
      </c>
      <c r="M171" s="17">
        <f>IFERROR(__xludf.DUMMYFUNCTION("AVERAGE(QUERY(SORT(GOOGLEFINANCE(B171,""price"",TODAY()-365,TODAY()),1,0),""select Col2 limit 120""))"),408.01166666666654)</f>
        <v>408.0116667</v>
      </c>
      <c r="N171" s="19">
        <f>IFERROR(__xludf.DUMMYFUNCTION("AVERAGE(QUERY(SORT(GOOGLEFINANCE(B171,""price"",TODAY()-365,TODAY()),1,0),""select Col2 limit 200""))"),450.90074999999996)</f>
        <v>450.90075</v>
      </c>
      <c r="O171" s="20" t="str">
        <f t="shared" si="2"/>
        <v>Avoid</v>
      </c>
      <c r="P171" s="21" t="str">
        <f t="shared" si="3"/>
        <v>10 DMA</v>
      </c>
      <c r="Q171" s="21" t="str">
        <f t="shared" si="4"/>
        <v/>
      </c>
      <c r="R171" s="22">
        <f>IFERROR(__xludf.DUMMYFUNCTION("GOOGLEFINANCE(B171, ""pe"")
"),6.24)</f>
        <v>6.24</v>
      </c>
    </row>
    <row r="172">
      <c r="A172" s="9" t="s">
        <v>185</v>
      </c>
      <c r="B172" s="11" t="str">
        <f t="shared" si="1"/>
        <v>NSE:GODREJCP</v>
      </c>
      <c r="C172" s="12">
        <f>IFERROR(__xludf.DUMMYFUNCTION("GOOGLEFINANCE(B172,""marketcap"")/10000000"),125081.0247422)</f>
        <v>125081.0247</v>
      </c>
      <c r="D172" s="13">
        <f>IFERROR(__xludf.DUMMYFUNCTION("GOOGLEFINANCE(B172,""price"")"),1221.6)</f>
        <v>1221.6</v>
      </c>
      <c r="E172" s="14">
        <f>IFERROR(__xludf.DUMMYFUNCTION("GOOGLEFINANCE(B172,""Volume"")"),972071.0)</f>
        <v>972071</v>
      </c>
      <c r="F172" s="14">
        <f t="array" ref="F172">F171</f>
        <v>14</v>
      </c>
      <c r="G172" s="15" t="str">
        <f>IFERROR(__xludf.DUMMYFUNCTION("IF(E172&gt;AVERAGE(INDEX(GOOGLEFINANCE(B172,""volume"",WORKDAY(TODAY(),-$F$1),TODAY()),,2)),""Breakout"","""")"),"Breakout")</f>
        <v>Breakout</v>
      </c>
      <c r="H172" s="16">
        <f>IFERROR(__xludf.DUMMYFUNCTION("GOOGLEFINANCE(B172,""price"")"),1221.6)</f>
        <v>1221.6</v>
      </c>
      <c r="I172" s="17">
        <f>IFERROR(__xludf.DUMMYFUNCTION("AVERAGE(QUERY(SORT(GOOGLEFINANCE(B172,""price"",TODAY()-365,TODAY()),1,0),""select Col2 limit 10""))"),1248.6100000000001)</f>
        <v>1248.61</v>
      </c>
      <c r="J172" s="17">
        <f>IFERROR(__xludf.DUMMYFUNCTION("AVERAGE(QUERY(SORT(GOOGLEFINANCE(B172,""price"",TODAY()-365,TODAY()),1,0),""select Col2 limit 30""))"),1221.25)</f>
        <v>1221.25</v>
      </c>
      <c r="K172" s="18">
        <f>IFERROR(__xludf.DUMMYFUNCTION("AVERAGE(QUERY(SORT(GOOGLEFINANCE(B172,""price"",TODAY()-365,TODAY()),1,0),""select Col2 limit 60""))"),1236.2800000000002)</f>
        <v>1236.28</v>
      </c>
      <c r="L172" s="17">
        <f>IFERROR(__xludf.DUMMYFUNCTION("AVERAGE(QUERY(SORT(GOOGLEFINANCE(B172,""price"",TODAY()-365,TODAY()),1,0),""select Col2 limit 90""))"),1219.070555555556)</f>
        <v>1219.070556</v>
      </c>
      <c r="M172" s="17">
        <f>IFERROR(__xludf.DUMMYFUNCTION("AVERAGE(QUERY(SORT(GOOGLEFINANCE(B172,""price"",TODAY()-365,TODAY()),1,0),""select Col2 limit 120""))"),1179.2600000000004)</f>
        <v>1179.26</v>
      </c>
      <c r="N172" s="19">
        <f>IFERROR(__xludf.DUMMYFUNCTION("AVERAGE(QUERY(SORT(GOOGLEFINANCE(B172,""price"",TODAY()-365,TODAY()),1,0),""select Col2 limit 200""))"),1187.2390000000003)</f>
        <v>1187.239</v>
      </c>
      <c r="O172" s="20" t="str">
        <f t="shared" si="2"/>
        <v>Avoid</v>
      </c>
      <c r="P172" s="21" t="str">
        <f t="shared" si="3"/>
        <v/>
      </c>
      <c r="Q172" s="21" t="str">
        <f t="shared" si="4"/>
        <v/>
      </c>
      <c r="R172" s="22">
        <f>IFERROR(__xludf.DUMMYFUNCTION("GOOGLEFINANCE(B172, ""pe"")
"),67.52)</f>
        <v>67.52</v>
      </c>
    </row>
    <row r="173">
      <c r="A173" s="9" t="s">
        <v>186</v>
      </c>
      <c r="B173" s="11" t="str">
        <f t="shared" si="1"/>
        <v>NSE:AMBUJACEM</v>
      </c>
      <c r="C173" s="12">
        <f>IFERROR(__xludf.DUMMYFUNCTION("GOOGLEFINANCE(B173,""marketcap"")/10000000"),151383.5335665)</f>
        <v>151383.5336</v>
      </c>
      <c r="D173" s="13">
        <f>IFERROR(__xludf.DUMMYFUNCTION("GOOGLEFINANCE(B173,""price"")"),615.0)</f>
        <v>615</v>
      </c>
      <c r="E173" s="14">
        <f>IFERROR(__xludf.DUMMYFUNCTION("GOOGLEFINANCE(B173,""Volume"")"),666414.0)</f>
        <v>666414</v>
      </c>
      <c r="F173" s="14">
        <f t="array" ref="F173">F172</f>
        <v>14</v>
      </c>
      <c r="G173" s="15" t="str">
        <f>IFERROR(__xludf.DUMMYFUNCTION("IF(E173&gt;AVERAGE(INDEX(GOOGLEFINANCE(B173,""volume"",WORKDAY(TODAY(),-$F$1),TODAY()),,2)),""Breakout"","""")"),"#N/A")</f>
        <v>#N/A</v>
      </c>
      <c r="H173" s="16">
        <f>IFERROR(__xludf.DUMMYFUNCTION("GOOGLEFINANCE(B173,""price"")"),615.0)</f>
        <v>615</v>
      </c>
      <c r="I173" s="17">
        <f>IFERROR(__xludf.DUMMYFUNCTION("AVERAGE(QUERY(SORT(GOOGLEFINANCE(B173,""price"",TODAY()-365,TODAY()),1,0),""select Col2 limit 10""))"),605.775)</f>
        <v>605.775</v>
      </c>
      <c r="J173" s="17">
        <f>IFERROR(__xludf.DUMMYFUNCTION("AVERAGE(QUERY(SORT(GOOGLEFINANCE(B173,""price"",TODAY()-365,TODAY()),1,0),""select Col2 limit 30""))"),581.4600000000002)</f>
        <v>581.46</v>
      </c>
      <c r="K173" s="18">
        <f>IFERROR(__xludf.DUMMYFUNCTION("AVERAGE(QUERY(SORT(GOOGLEFINANCE(B173,""price"",TODAY()-365,TODAY()),1,0),""select Col2 limit 60""))"),567.0000000000002)</f>
        <v>567</v>
      </c>
      <c r="L173" s="17">
        <f>IFERROR(__xludf.DUMMYFUNCTION("AVERAGE(QUERY(SORT(GOOGLEFINANCE(B173,""price"",TODAY()-365,TODAY()),1,0),""select Col2 limit 90""))"),557.5100000000002)</f>
        <v>557.51</v>
      </c>
      <c r="M173" s="17">
        <f>IFERROR(__xludf.DUMMYFUNCTION("AVERAGE(QUERY(SORT(GOOGLEFINANCE(B173,""price"",TODAY()-365,TODAY()),1,0),""select Col2 limit 120""))"),541.2170833333336)</f>
        <v>541.2170833</v>
      </c>
      <c r="N173" s="19">
        <f>IFERROR(__xludf.DUMMYFUNCTION("AVERAGE(QUERY(SORT(GOOGLEFINANCE(B173,""price"",TODAY()-365,TODAY()),1,0),""select Col2 limit 200""))"),546.0727500000002)</f>
        <v>546.07275</v>
      </c>
      <c r="O173" s="20" t="str">
        <f t="shared" si="2"/>
        <v>Avoid</v>
      </c>
      <c r="P173" s="21" t="str">
        <f t="shared" si="3"/>
        <v/>
      </c>
      <c r="Q173" s="21" t="str">
        <f t="shared" si="4"/>
        <v/>
      </c>
      <c r="R173" s="22">
        <f>IFERROR(__xludf.DUMMYFUNCTION("GOOGLEFINANCE(B173, ""pe"")
"),36.27)</f>
        <v>36.27</v>
      </c>
    </row>
    <row r="174">
      <c r="A174" s="9" t="s">
        <v>187</v>
      </c>
      <c r="B174" s="11" t="str">
        <f t="shared" si="1"/>
        <v>NSE:HINDALCO</v>
      </c>
      <c r="C174" s="12">
        <f>IFERROR(__xludf.DUMMYFUNCTION("GOOGLEFINANCE(B174,""marketcap"")/10000000"),154323.4406684)</f>
        <v>154323.4407</v>
      </c>
      <c r="D174" s="13">
        <f>IFERROR(__xludf.DUMMYFUNCTION("GOOGLEFINANCE(B174,""price"")"),688.85)</f>
        <v>688.85</v>
      </c>
      <c r="E174" s="14">
        <f>IFERROR(__xludf.DUMMYFUNCTION("GOOGLEFINANCE(B174,""Volume"")"),3060473.0)</f>
        <v>3060473</v>
      </c>
      <c r="F174" s="14">
        <f t="array" ref="F174">F173</f>
        <v>14</v>
      </c>
      <c r="G174" s="15" t="str">
        <f>IFERROR(__xludf.DUMMYFUNCTION("IF(E174&gt;AVERAGE(INDEX(GOOGLEFINANCE(B174,""volume"",WORKDAY(TODAY(),-$F$1),TODAY()),,2)),""Breakout"","""")"),"")</f>
        <v/>
      </c>
      <c r="H174" s="16">
        <f>IFERROR(__xludf.DUMMYFUNCTION("GOOGLEFINANCE(B174,""price"")"),688.85)</f>
        <v>688.85</v>
      </c>
      <c r="I174" s="17">
        <f>IFERROR(__xludf.DUMMYFUNCTION("AVERAGE(QUERY(SORT(GOOGLEFINANCE(B174,""price"",TODAY()-365,TODAY()),1,0),""select Col2 limit 10""))"),681.175)</f>
        <v>681.175</v>
      </c>
      <c r="J174" s="17">
        <f>IFERROR(__xludf.DUMMYFUNCTION("AVERAGE(QUERY(SORT(GOOGLEFINANCE(B174,""price"",TODAY()-365,TODAY()),1,0),""select Col2 limit 30""))"),676.8583333333335)</f>
        <v>676.8583333</v>
      </c>
      <c r="K174" s="18">
        <f>IFERROR(__xludf.DUMMYFUNCTION("AVERAGE(QUERY(SORT(GOOGLEFINANCE(B174,""price"",TODAY()-365,TODAY()),1,0),""select Col2 limit 60""))"),661.5108333333335)</f>
        <v>661.5108333</v>
      </c>
      <c r="L174" s="17">
        <f>IFERROR(__xludf.DUMMYFUNCTION("AVERAGE(QUERY(SORT(GOOGLEFINANCE(B174,""price"",TODAY()-365,TODAY()),1,0),""select Col2 limit 90""))"),655.1816666666666)</f>
        <v>655.1816667</v>
      </c>
      <c r="M174" s="17">
        <f>IFERROR(__xludf.DUMMYFUNCTION("AVERAGE(QUERY(SORT(GOOGLEFINANCE(B174,""price"",TODAY()-365,TODAY()),1,0),""select Col2 limit 120""))"),647.8787500000001)</f>
        <v>647.87875</v>
      </c>
      <c r="N174" s="19">
        <f>IFERROR(__xludf.DUMMYFUNCTION("AVERAGE(QUERY(SORT(GOOGLEFINANCE(B174,""price"",TODAY()-365,TODAY()),1,0),""select Col2 limit 200""))"),650.8320000000002)</f>
        <v>650.832</v>
      </c>
      <c r="O174" s="20" t="str">
        <f t="shared" si="2"/>
        <v>Avoid</v>
      </c>
      <c r="P174" s="21" t="str">
        <f t="shared" si="3"/>
        <v/>
      </c>
      <c r="Q174" s="21" t="str">
        <f t="shared" si="4"/>
        <v/>
      </c>
      <c r="R174" s="22">
        <f>IFERROR(__xludf.DUMMYFUNCTION("GOOGLEFINANCE(B174, ""pe"")
"),9.59)</f>
        <v>9.59</v>
      </c>
    </row>
    <row r="175">
      <c r="A175" s="9" t="s">
        <v>188</v>
      </c>
      <c r="B175" s="11" t="str">
        <f t="shared" si="1"/>
        <v>NSE:TECHM</v>
      </c>
      <c r="C175" s="12">
        <f>IFERROR(__xludf.DUMMYFUNCTION("GOOGLEFINANCE(B175,""marketcap"")/10000000"),142578.04288)</f>
        <v>142578.0429</v>
      </c>
      <c r="D175" s="13">
        <f>IFERROR(__xludf.DUMMYFUNCTION("GOOGLEFINANCE(B175,""price"")"),1457.2)</f>
        <v>1457.2</v>
      </c>
      <c r="E175" s="14">
        <f>IFERROR(__xludf.DUMMYFUNCTION("GOOGLEFINANCE(B175,""Volume"")"),525010.0)</f>
        <v>525010</v>
      </c>
      <c r="F175" s="14">
        <f t="array" ref="F175">F174</f>
        <v>14</v>
      </c>
      <c r="G175" s="15" t="str">
        <f>IFERROR(__xludf.DUMMYFUNCTION("IF(E175&gt;AVERAGE(INDEX(GOOGLEFINANCE(B175,""volume"",WORKDAY(TODAY(),-$F$1),TODAY()),,2)),""Breakout"","""")"),"")</f>
        <v/>
      </c>
      <c r="H175" s="16">
        <f>IFERROR(__xludf.DUMMYFUNCTION("GOOGLEFINANCE(B175,""price"")"),1457.2)</f>
        <v>1457.2</v>
      </c>
      <c r="I175" s="17">
        <f>IFERROR(__xludf.DUMMYFUNCTION("AVERAGE(QUERY(SORT(GOOGLEFINANCE(B175,""price"",TODAY()-365,TODAY()),1,0),""select Col2 limit 10""))"),1547.43)</f>
        <v>1547.43</v>
      </c>
      <c r="J175" s="17">
        <f>IFERROR(__xludf.DUMMYFUNCTION("AVERAGE(QUERY(SORT(GOOGLEFINANCE(B175,""price"",TODAY()-365,TODAY()),1,0),""select Col2 limit 30""))"),1628.1733333333332)</f>
        <v>1628.173333</v>
      </c>
      <c r="K175" s="18">
        <f>IFERROR(__xludf.DUMMYFUNCTION("AVERAGE(QUERY(SORT(GOOGLEFINANCE(B175,""price"",TODAY()-365,TODAY()),1,0),""select Col2 limit 60""))"),1601.7150000000001)</f>
        <v>1601.715</v>
      </c>
      <c r="L175" s="17">
        <f>IFERROR(__xludf.DUMMYFUNCTION("AVERAGE(QUERY(SORT(GOOGLEFINANCE(B175,""price"",TODAY()-365,TODAY()),1,0),""select Col2 limit 90""))"),1533.3194444444441)</f>
        <v>1533.319444</v>
      </c>
      <c r="M175" s="17">
        <f>IFERROR(__xludf.DUMMYFUNCTION("AVERAGE(QUERY(SORT(GOOGLEFINANCE(B175,""price"",TODAY()-365,TODAY()),1,0),""select Col2 limit 120""))"),1552.5837500000005)</f>
        <v>1552.58375</v>
      </c>
      <c r="N175" s="19">
        <f>IFERROR(__xludf.DUMMYFUNCTION("AVERAGE(QUERY(SORT(GOOGLEFINANCE(B175,""price"",TODAY()-365,TODAY()),1,0),""select Col2 limit 200""))"),1611.1755000000003)</f>
        <v>1611.1755</v>
      </c>
      <c r="O175" s="20" t="str">
        <f t="shared" si="2"/>
        <v>Avoid</v>
      </c>
      <c r="P175" s="21" t="str">
        <f t="shared" si="3"/>
        <v/>
      </c>
      <c r="Q175" s="21" t="str">
        <f t="shared" si="4"/>
        <v/>
      </c>
      <c r="R175" s="22">
        <f>IFERROR(__xludf.DUMMYFUNCTION("GOOGLEFINANCE(B175, ""pe"")
"),28.43)</f>
        <v>28.43</v>
      </c>
    </row>
    <row r="176">
      <c r="A176" s="9" t="s">
        <v>189</v>
      </c>
      <c r="B176" s="11" t="str">
        <f t="shared" si="1"/>
        <v>NSE:GAIL</v>
      </c>
      <c r="C176" s="12">
        <f>IFERROR(__xludf.DUMMYFUNCTION("GOOGLEFINANCE(B176,""marketcap"")/10000000"),119119.0723146)</f>
        <v>119119.0723</v>
      </c>
      <c r="D176" s="13">
        <f>IFERROR(__xludf.DUMMYFUNCTION("GOOGLEFINANCE(B176,""price"")"),181.69)</f>
        <v>181.69</v>
      </c>
      <c r="E176" s="14">
        <f>IFERROR(__xludf.DUMMYFUNCTION("GOOGLEFINANCE(B176,""Volume"")"),6281760.0)</f>
        <v>6281760</v>
      </c>
      <c r="F176" s="14">
        <f t="array" ref="F176">F175</f>
        <v>14</v>
      </c>
      <c r="G176" s="15" t="str">
        <f>IFERROR(__xludf.DUMMYFUNCTION("IF(E176&gt;AVERAGE(INDEX(GOOGLEFINANCE(B176,""volume"",WORKDAY(TODAY(),-$F$1),TODAY()),,2)),""Breakout"","""")"),"")</f>
        <v/>
      </c>
      <c r="H176" s="16">
        <f>IFERROR(__xludf.DUMMYFUNCTION("GOOGLEFINANCE(B176,""price"")"),181.69)</f>
        <v>181.69</v>
      </c>
      <c r="I176" s="17">
        <f>IFERROR(__xludf.DUMMYFUNCTION("AVERAGE(QUERY(SORT(GOOGLEFINANCE(B176,""price"",TODAY()-365,TODAY()),1,0),""select Col2 limit 10""))"),185.664)</f>
        <v>185.664</v>
      </c>
      <c r="J176" s="17">
        <f>IFERROR(__xludf.DUMMYFUNCTION("AVERAGE(QUERY(SORT(GOOGLEFINANCE(B176,""price"",TODAY()-365,TODAY()),1,0),""select Col2 limit 30""))"),188.38133333333337)</f>
        <v>188.3813333</v>
      </c>
      <c r="K176" s="18">
        <f>IFERROR(__xludf.DUMMYFUNCTION("AVERAGE(QUERY(SORT(GOOGLEFINANCE(B176,""price"",TODAY()-365,TODAY()),1,0),""select Col2 limit 60""))"),188.83883333333335)</f>
        <v>188.8388333</v>
      </c>
      <c r="L176" s="17">
        <f>IFERROR(__xludf.DUMMYFUNCTION("AVERAGE(QUERY(SORT(GOOGLEFINANCE(B176,""price"",TODAY()-365,TODAY()),1,0),""select Col2 limit 90""))"),184.25933333333333)</f>
        <v>184.2593333</v>
      </c>
      <c r="M176" s="17">
        <f>IFERROR(__xludf.DUMMYFUNCTION("AVERAGE(QUERY(SORT(GOOGLEFINANCE(B176,""price"",TODAY()-365,TODAY()),1,0),""select Col2 limit 120""))"),179.7085)</f>
        <v>179.7085</v>
      </c>
      <c r="N176" s="19">
        <f>IFERROR(__xludf.DUMMYFUNCTION("AVERAGE(QUERY(SORT(GOOGLEFINANCE(B176,""price"",TODAY()-365,TODAY()),1,0),""select Col2 limit 200""))"),188.87770000000012)</f>
        <v>188.8777</v>
      </c>
      <c r="O176" s="20" t="str">
        <f t="shared" si="2"/>
        <v>Avoid</v>
      </c>
      <c r="P176" s="21" t="str">
        <f t="shared" si="3"/>
        <v/>
      </c>
      <c r="Q176" s="21" t="str">
        <f t="shared" si="4"/>
        <v/>
      </c>
      <c r="R176" s="22">
        <f>IFERROR(__xludf.DUMMYFUNCTION("GOOGLEFINANCE(B176, ""pe"")
"),9.55)</f>
        <v>9.55</v>
      </c>
    </row>
    <row r="177">
      <c r="A177" s="9" t="s">
        <v>190</v>
      </c>
      <c r="B177" s="11" t="str">
        <f t="shared" si="1"/>
        <v>NSE:LODHA</v>
      </c>
      <c r="C177" s="12">
        <f>IFERROR(__xludf.DUMMYFUNCTION("GOOGLEFINANCE(B177,""marketcap"")/10000000"),123772.2368)</f>
        <v>123772.2368</v>
      </c>
      <c r="D177" s="13">
        <f>IFERROR(__xludf.DUMMYFUNCTION("GOOGLEFINANCE(B177,""price"")"),1236.1)</f>
        <v>1236.1</v>
      </c>
      <c r="E177" s="14">
        <f>IFERROR(__xludf.DUMMYFUNCTION("GOOGLEFINANCE(B177,""Volume"")"),4837805.0)</f>
        <v>4837805</v>
      </c>
      <c r="F177" s="14">
        <f t="array" ref="F177">F176</f>
        <v>14</v>
      </c>
      <c r="G177" s="15" t="str">
        <f>IFERROR(__xludf.DUMMYFUNCTION("IF(E177&gt;AVERAGE(INDEX(GOOGLEFINANCE(B177,""volume"",WORKDAY(TODAY(),-$F$1),TODAY()),,2)),""Breakout"","""")"),"Breakout")</f>
        <v>Breakout</v>
      </c>
      <c r="H177" s="16">
        <f>IFERROR(__xludf.DUMMYFUNCTION("GOOGLEFINANCE(B177,""price"")"),1236.1)</f>
        <v>1236.1</v>
      </c>
      <c r="I177" s="17">
        <f>IFERROR(__xludf.DUMMYFUNCTION("AVERAGE(QUERY(SORT(GOOGLEFINANCE(B177,""price"",TODAY()-365,TODAY()),1,0),""select Col2 limit 10""))"),1400.97)</f>
        <v>1400.97</v>
      </c>
      <c r="J177" s="17">
        <f>IFERROR(__xludf.DUMMYFUNCTION("AVERAGE(QUERY(SORT(GOOGLEFINANCE(B177,""price"",TODAY()-365,TODAY()),1,0),""select Col2 limit 30""))"),1413.5933333333335)</f>
        <v>1413.593333</v>
      </c>
      <c r="K177" s="18">
        <f>IFERROR(__xludf.DUMMYFUNCTION("AVERAGE(QUERY(SORT(GOOGLEFINANCE(B177,""price"",TODAY()-365,TODAY()),1,0),""select Col2 limit 60""))"),1407.6516666666669)</f>
        <v>1407.651667</v>
      </c>
      <c r="L177" s="17">
        <f>IFERROR(__xludf.DUMMYFUNCTION("AVERAGE(QUERY(SORT(GOOGLEFINANCE(B177,""price"",TODAY()-365,TODAY()),1,0),""select Col2 limit 90""))"),1345.0494444444448)</f>
        <v>1345.049444</v>
      </c>
      <c r="M177" s="17">
        <f>IFERROR(__xludf.DUMMYFUNCTION("AVERAGE(QUERY(SORT(GOOGLEFINANCE(B177,""price"",TODAY()-365,TODAY()),1,0),""select Col2 limit 120""))"),1301.5079166666667)</f>
        <v>1301.507917</v>
      </c>
      <c r="N177" s="19">
        <f>IFERROR(__xludf.DUMMYFUNCTION("AVERAGE(QUERY(SORT(GOOGLEFINANCE(B177,""price"",TODAY()-365,TODAY()),1,0),""select Col2 limit 200""))"),1282.59775)</f>
        <v>1282.59775</v>
      </c>
      <c r="O177" s="20" t="str">
        <f t="shared" si="2"/>
        <v>Avoid</v>
      </c>
      <c r="P177" s="21" t="str">
        <f t="shared" si="3"/>
        <v/>
      </c>
      <c r="Q177" s="21" t="str">
        <f t="shared" si="4"/>
        <v/>
      </c>
      <c r="R177" s="22">
        <f>IFERROR(__xludf.DUMMYFUNCTION("GOOGLEFINANCE(B177, ""pe"")
"),44.57)</f>
        <v>44.57</v>
      </c>
    </row>
    <row r="178">
      <c r="A178" s="9" t="s">
        <v>191</v>
      </c>
      <c r="B178" s="11" t="str">
        <f t="shared" si="1"/>
        <v>NSE:BRITANNIA</v>
      </c>
      <c r="C178" s="12">
        <f>IFERROR(__xludf.DUMMYFUNCTION("GOOGLEFINANCE(B178,""marketcap"")/10000000"),135861.70821)</f>
        <v>135861.7082</v>
      </c>
      <c r="D178" s="13">
        <f>IFERROR(__xludf.DUMMYFUNCTION("GOOGLEFINANCE(B178,""price"")"),5643.5)</f>
        <v>5643.5</v>
      </c>
      <c r="E178" s="14">
        <f>IFERROR(__xludf.DUMMYFUNCTION("GOOGLEFINANCE(B178,""Volume"")"),96391.0)</f>
        <v>96391</v>
      </c>
      <c r="F178" s="14">
        <f t="array" ref="F178">F177</f>
        <v>14</v>
      </c>
      <c r="G178" s="15" t="str">
        <f>IFERROR(__xludf.DUMMYFUNCTION("IF(E178&gt;AVERAGE(INDEX(GOOGLEFINANCE(B178,""volume"",WORKDAY(TODAY(),-$F$1),TODAY()),,2)),""Breakout"","""")"),"")</f>
        <v/>
      </c>
      <c r="H178" s="16">
        <f>IFERROR(__xludf.DUMMYFUNCTION("GOOGLEFINANCE(B178,""price"")"),5643.5)</f>
        <v>5643.5</v>
      </c>
      <c r="I178" s="17">
        <f>IFERROR(__xludf.DUMMYFUNCTION("AVERAGE(QUERY(SORT(GOOGLEFINANCE(B178,""price"",TODAY()-365,TODAY()),1,0),""select Col2 limit 10""))"),5726.95)</f>
        <v>5726.95</v>
      </c>
      <c r="J178" s="17">
        <f>IFERROR(__xludf.DUMMYFUNCTION("AVERAGE(QUERY(SORT(GOOGLEFINANCE(B178,""price"",TODAY()-365,TODAY()),1,0),""select Col2 limit 30""))"),5727.5)</f>
        <v>5727.5</v>
      </c>
      <c r="K178" s="18">
        <f>IFERROR(__xludf.DUMMYFUNCTION("AVERAGE(QUERY(SORT(GOOGLEFINANCE(B178,""price"",TODAY()-365,TODAY()),1,0),""select Col2 limit 60""))"),5620.808333333333)</f>
        <v>5620.808333</v>
      </c>
      <c r="L178" s="17">
        <f>IFERROR(__xludf.DUMMYFUNCTION("AVERAGE(QUERY(SORT(GOOGLEFINANCE(B178,""price"",TODAY()-365,TODAY()),1,0),""select Col2 limit 90""))"),5460.977777777778)</f>
        <v>5460.977778</v>
      </c>
      <c r="M178" s="17">
        <f>IFERROR(__xludf.DUMMYFUNCTION("AVERAGE(QUERY(SORT(GOOGLEFINANCE(B178,""price"",TODAY()-365,TODAY()),1,0),""select Col2 limit 120""))"),5309.6445833333355)</f>
        <v>5309.644583</v>
      </c>
      <c r="N178" s="19">
        <f>IFERROR(__xludf.DUMMYFUNCTION("AVERAGE(QUERY(SORT(GOOGLEFINANCE(B178,""price"",TODAY()-365,TODAY()),1,0),""select Col2 limit 200""))"),5268.8602500000015)</f>
        <v>5268.86025</v>
      </c>
      <c r="O178" s="20" t="str">
        <f t="shared" si="2"/>
        <v>Avoid</v>
      </c>
      <c r="P178" s="21" t="str">
        <f t="shared" si="3"/>
        <v/>
      </c>
      <c r="Q178" s="21" t="str">
        <f t="shared" si="4"/>
        <v/>
      </c>
      <c r="R178" s="22">
        <f>IFERROR(__xludf.DUMMYFUNCTION("GOOGLEFINANCE(B178, ""pe"")
"),62.41)</f>
        <v>62.41</v>
      </c>
    </row>
    <row r="179">
      <c r="A179" s="9" t="s">
        <v>192</v>
      </c>
      <c r="B179" s="11" t="str">
        <f t="shared" si="1"/>
        <v>NSE:HDFCLIFE</v>
      </c>
      <c r="C179" s="12">
        <f>IFERROR(__xludf.DUMMYFUNCTION("GOOGLEFINANCE(B179,""marketcap"")/10000000"),164684.99685)</f>
        <v>164684.9969</v>
      </c>
      <c r="D179" s="13">
        <f>IFERROR(__xludf.DUMMYFUNCTION("GOOGLEFINANCE(B179,""price"")"),764.7)</f>
        <v>764.7</v>
      </c>
      <c r="E179" s="14">
        <f>IFERROR(__xludf.DUMMYFUNCTION("GOOGLEFINANCE(B179,""Volume"")"),649007.0)</f>
        <v>649007</v>
      </c>
      <c r="F179" s="14">
        <f t="array" ref="F179">F178</f>
        <v>14</v>
      </c>
      <c r="G179" s="15" t="str">
        <f>IFERROR(__xludf.DUMMYFUNCTION("IF(E179&gt;AVERAGE(INDEX(GOOGLEFINANCE(B179,""volume"",WORKDAY(TODAY(),-$F$1),TODAY()),,2)),""Breakout"","""")"),"")</f>
        <v/>
      </c>
      <c r="H179" s="16">
        <f>IFERROR(__xludf.DUMMYFUNCTION("GOOGLEFINANCE(B179,""price"")"),764.7)</f>
        <v>764.7</v>
      </c>
      <c r="I179" s="17">
        <f>IFERROR(__xludf.DUMMYFUNCTION("AVERAGE(QUERY(SORT(GOOGLEFINANCE(B179,""price"",TODAY()-365,TODAY()),1,0),""select Col2 limit 10""))"),756.6600000000001)</f>
        <v>756.66</v>
      </c>
      <c r="J179" s="17">
        <f>IFERROR(__xludf.DUMMYFUNCTION("AVERAGE(QUERY(SORT(GOOGLEFINANCE(B179,""price"",TODAY()-365,TODAY()),1,0),""select Col2 limit 30""))"),774.9483333333334)</f>
        <v>774.9483333</v>
      </c>
      <c r="K179" s="18">
        <f>IFERROR(__xludf.DUMMYFUNCTION("AVERAGE(QUERY(SORT(GOOGLEFINANCE(B179,""price"",TODAY()-365,TODAY()),1,0),""select Col2 limit 60""))"),764.5825)</f>
        <v>764.5825</v>
      </c>
      <c r="L179" s="17">
        <f>IFERROR(__xludf.DUMMYFUNCTION("AVERAGE(QUERY(SORT(GOOGLEFINANCE(B179,""price"",TODAY()-365,TODAY()),1,0),""select Col2 limit 90""))"),740.2600000000001)</f>
        <v>740.26</v>
      </c>
      <c r="M179" s="17">
        <f>IFERROR(__xludf.DUMMYFUNCTION("AVERAGE(QUERY(SORT(GOOGLEFINANCE(B179,""price"",TODAY()-365,TODAY()),1,0),""select Col2 limit 120""))"),711.4495833333332)</f>
        <v>711.4495833</v>
      </c>
      <c r="N179" s="19">
        <f>IFERROR(__xludf.DUMMYFUNCTION("AVERAGE(QUERY(SORT(GOOGLEFINANCE(B179,""price"",TODAY()-365,TODAY()),1,0),""select Col2 limit 200""))"),692.8072499999996)</f>
        <v>692.80725</v>
      </c>
      <c r="O179" s="20" t="str">
        <f t="shared" si="2"/>
        <v>Avoid</v>
      </c>
      <c r="P179" s="21" t="str">
        <f t="shared" si="3"/>
        <v/>
      </c>
      <c r="Q179" s="21" t="str">
        <f t="shared" si="4"/>
        <v/>
      </c>
      <c r="R179" s="22">
        <f>IFERROR(__xludf.DUMMYFUNCTION("GOOGLEFINANCE(B179, ""pe"")
"),87.64)</f>
        <v>87.64</v>
      </c>
    </row>
    <row r="180">
      <c r="A180" s="9" t="s">
        <v>193</v>
      </c>
      <c r="B180" s="11" t="str">
        <f t="shared" si="1"/>
        <v>NSE:EICHERMOT</v>
      </c>
      <c r="C180" s="12">
        <f>IFERROR(__xludf.DUMMYFUNCTION("GOOGLEFINANCE(B180,""marketcap"")/10000000"),148726.91383)</f>
        <v>148726.9138</v>
      </c>
      <c r="D180" s="13">
        <f>IFERROR(__xludf.DUMMYFUNCTION("GOOGLEFINANCE(B180,""price"")"),5426.5)</f>
        <v>5426.5</v>
      </c>
      <c r="E180" s="14">
        <f>IFERROR(__xludf.DUMMYFUNCTION("GOOGLEFINANCE(B180,""Volume"")"),136116.0)</f>
        <v>136116</v>
      </c>
      <c r="F180" s="14">
        <f t="array" ref="F180">F179</f>
        <v>14</v>
      </c>
      <c r="G180" s="15" t="str">
        <f>IFERROR(__xludf.DUMMYFUNCTION("IF(E180&gt;AVERAGE(INDEX(GOOGLEFINANCE(B180,""volume"",WORKDAY(TODAY(),-$F$1),TODAY()),,2)),""Breakout"","""")"),"")</f>
        <v/>
      </c>
      <c r="H180" s="16">
        <f>IFERROR(__xludf.DUMMYFUNCTION("GOOGLEFINANCE(B180,""price"")"),5426.5)</f>
        <v>5426.5</v>
      </c>
      <c r="I180" s="17" t="str">
        <f>IFERROR(__xludf.DUMMYFUNCTION("AVERAGE(QUERY(SORT(GOOGLEFINANCE(B180,""price"",TODAY()-365,TODAY()),1,0),""select Col2 limit 10""))"),"#N/A")</f>
        <v>#N/A</v>
      </c>
      <c r="J180" s="17" t="str">
        <f>IFERROR(__xludf.DUMMYFUNCTION("AVERAGE(QUERY(SORT(GOOGLEFINANCE(B180,""price"",TODAY()-365,TODAY()),1,0),""select Col2 limit 30""))"),"#N/A")</f>
        <v>#N/A</v>
      </c>
      <c r="K180" s="18" t="str">
        <f>IFERROR(__xludf.DUMMYFUNCTION("AVERAGE(QUERY(SORT(GOOGLEFINANCE(B180,""price"",TODAY()-365,TODAY()),1,0),""select Col2 limit 60""))"),"#N/A")</f>
        <v>#N/A</v>
      </c>
      <c r="L180" s="17" t="str">
        <f>IFERROR(__xludf.DUMMYFUNCTION("AVERAGE(QUERY(SORT(GOOGLEFINANCE(B180,""price"",TODAY()-365,TODAY()),1,0),""select Col2 limit 90""))"),"#N/A")</f>
        <v>#N/A</v>
      </c>
      <c r="M180" s="17" t="str">
        <f>IFERROR(__xludf.DUMMYFUNCTION("AVERAGE(QUERY(SORT(GOOGLEFINANCE(B180,""price"",TODAY()-365,TODAY()),1,0),""select Col2 limit 120""))"),"#N/A")</f>
        <v>#N/A</v>
      </c>
      <c r="N180" s="19" t="str">
        <f>IFERROR(__xludf.DUMMYFUNCTION("AVERAGE(QUERY(SORT(GOOGLEFINANCE(B180,""price"",TODAY()-365,TODAY()),1,0),""select Col2 limit 200""))"),"#N/A")</f>
        <v>#N/A</v>
      </c>
      <c r="O180" s="20" t="str">
        <f t="shared" si="2"/>
        <v>#N/A</v>
      </c>
      <c r="P180" s="21" t="str">
        <f t="shared" si="3"/>
        <v>#N/A</v>
      </c>
      <c r="Q180" s="21" t="str">
        <f t="shared" si="4"/>
        <v>#N/A</v>
      </c>
      <c r="R180" s="22">
        <f>IFERROR(__xludf.DUMMYFUNCTION("GOOGLEFINANCE(B180, ""pe"")
"),31.46)</f>
        <v>31.46</v>
      </c>
    </row>
    <row r="181">
      <c r="A181" s="9" t="s">
        <v>194</v>
      </c>
      <c r="B181" s="11" t="str">
        <f t="shared" si="1"/>
        <v>NSE:TATAPOWER</v>
      </c>
      <c r="C181" s="12">
        <f>IFERROR(__xludf.DUMMYFUNCTION("GOOGLEFINANCE(B181,""marketcap"")/10000000"),128324.8563502)</f>
        <v>128324.8564</v>
      </c>
      <c r="D181" s="13">
        <f>IFERROR(__xludf.DUMMYFUNCTION("GOOGLEFINANCE(B181,""price"")"),401.45)</f>
        <v>401.45</v>
      </c>
      <c r="E181" s="14">
        <f>IFERROR(__xludf.DUMMYFUNCTION("GOOGLEFINANCE(B181,""Volume"")"),2389614.0)</f>
        <v>2389614</v>
      </c>
      <c r="F181" s="14">
        <f t="array" ref="F181">F180</f>
        <v>14</v>
      </c>
      <c r="G181" s="15" t="str">
        <f>IFERROR(__xludf.DUMMYFUNCTION("IF(E181&gt;AVERAGE(INDEX(GOOGLEFINANCE(B181,""volume"",WORKDAY(TODAY(),-$F$1),TODAY()),,2)),""Breakout"","""")"),"")</f>
        <v/>
      </c>
      <c r="H181" s="16">
        <f>IFERROR(__xludf.DUMMYFUNCTION("GOOGLEFINANCE(B181,""price"")"),401.45)</f>
        <v>401.45</v>
      </c>
      <c r="I181" s="17">
        <f>IFERROR(__xludf.DUMMYFUNCTION("AVERAGE(QUERY(SORT(GOOGLEFINANCE(B181,""price"",TODAY()-365,TODAY()),1,0),""select Col2 limit 10""))"),404.07000000000005)</f>
        <v>404.07</v>
      </c>
      <c r="J181" s="17">
        <f>IFERROR(__xludf.DUMMYFUNCTION("AVERAGE(QUERY(SORT(GOOGLEFINANCE(B181,""price"",TODAY()-365,TODAY()),1,0),""select Col2 limit 30""))"),401.0483333333333)</f>
        <v>401.0483333</v>
      </c>
      <c r="K181" s="18">
        <f>IFERROR(__xludf.DUMMYFUNCTION("AVERAGE(QUERY(SORT(GOOGLEFINANCE(B181,""price"",TODAY()-365,TODAY()),1,0),""select Col2 limit 60""))"),398.30916666666656)</f>
        <v>398.3091667</v>
      </c>
      <c r="L181" s="17">
        <f>IFERROR(__xludf.DUMMYFUNCTION("AVERAGE(QUERY(SORT(GOOGLEFINANCE(B181,""price"",TODAY()-365,TODAY()),1,0),""select Col2 limit 90""))"),391.4083333333332)</f>
        <v>391.4083333</v>
      </c>
      <c r="M181" s="17">
        <f>IFERROR(__xludf.DUMMYFUNCTION("AVERAGE(QUERY(SORT(GOOGLEFINANCE(B181,""price"",TODAY()-365,TODAY()),1,0),""select Col2 limit 120""))"),381.5449999999997)</f>
        <v>381.545</v>
      </c>
      <c r="N181" s="19">
        <f>IFERROR(__xludf.DUMMYFUNCTION("AVERAGE(QUERY(SORT(GOOGLEFINANCE(B181,""price"",TODAY()-365,TODAY()),1,0),""select Col2 limit 200""))"),394.45174999999983)</f>
        <v>394.45175</v>
      </c>
      <c r="O181" s="20" t="str">
        <f t="shared" si="2"/>
        <v>Avoid</v>
      </c>
      <c r="P181" s="21" t="str">
        <f t="shared" si="3"/>
        <v>10 DMA</v>
      </c>
      <c r="Q181" s="21" t="str">
        <f t="shared" si="4"/>
        <v/>
      </c>
      <c r="R181" s="22">
        <f>IFERROR(__xludf.DUMMYFUNCTION("GOOGLEFINANCE(B181, ""pe"")
"),32.35)</f>
        <v>32.35</v>
      </c>
    </row>
    <row r="182">
      <c r="A182" s="9" t="s">
        <v>195</v>
      </c>
      <c r="B182" s="11" t="str">
        <f t="shared" si="1"/>
        <v>NSE:MOTHERSON</v>
      </c>
      <c r="C182" s="12">
        <f>IFERROR(__xludf.DUMMYFUNCTION("GOOGLEFINANCE(B182,""marketcap"")/10000000"),107465.3077579)</f>
        <v>107465.3078</v>
      </c>
      <c r="D182" s="13">
        <f>IFERROR(__xludf.DUMMYFUNCTION("GOOGLEFINANCE(B182,""price"")"),101.86)</f>
        <v>101.86</v>
      </c>
      <c r="E182" s="14">
        <f>IFERROR(__xludf.DUMMYFUNCTION("GOOGLEFINANCE(B182,""Volume"")"),8992296.0)</f>
        <v>8992296</v>
      </c>
      <c r="F182" s="14">
        <f t="array" ref="F182">F181</f>
        <v>14</v>
      </c>
      <c r="G182" s="15" t="str">
        <f>IFERROR(__xludf.DUMMYFUNCTION("IF(E182&gt;AVERAGE(INDEX(GOOGLEFINANCE(B182,""volume"",WORKDAY(TODAY(),-$F$1),TODAY()),,2)),""Breakout"","""")"),"")</f>
        <v/>
      </c>
      <c r="H182" s="16">
        <f>IFERROR(__xludf.DUMMYFUNCTION("GOOGLEFINANCE(B182,""price"")"),101.86)</f>
        <v>101.86</v>
      </c>
      <c r="I182" s="17">
        <f>IFERROR(__xludf.DUMMYFUNCTION("AVERAGE(QUERY(SORT(GOOGLEFINANCE(B182,""price"",TODAY()-365,TODAY()),1,0),""select Col2 limit 10""))"),101.211)</f>
        <v>101.211</v>
      </c>
      <c r="J182" s="17">
        <f>IFERROR(__xludf.DUMMYFUNCTION("AVERAGE(QUERY(SORT(GOOGLEFINANCE(B182,""price"",TODAY()-365,TODAY()),1,0),""select Col2 limit 30""))"),101.50666666666665)</f>
        <v>101.5066667</v>
      </c>
      <c r="K182" s="18">
        <f>IFERROR(__xludf.DUMMYFUNCTION("AVERAGE(QUERY(SORT(GOOGLEFINANCE(B182,""price"",TODAY()-365,TODAY()),1,0),""select Col2 limit 60""))"),100.32850000000002)</f>
        <v>100.3285</v>
      </c>
      <c r="L182" s="17">
        <f>IFERROR(__xludf.DUMMYFUNCTION("AVERAGE(QUERY(SORT(GOOGLEFINANCE(B182,""price"",TODAY()-365,TODAY()),1,0),""select Col2 limit 90""))"),95.51244444444445)</f>
        <v>95.51244444</v>
      </c>
      <c r="M182" s="17">
        <f>IFERROR(__xludf.DUMMYFUNCTION("AVERAGE(QUERY(SORT(GOOGLEFINANCE(B182,""price"",TODAY()-365,TODAY()),1,0),""select Col2 limit 120""))"),93.07608333333336)</f>
        <v>93.07608333</v>
      </c>
      <c r="N182" s="19">
        <f>IFERROR(__xludf.DUMMYFUNCTION("AVERAGE(QUERY(SORT(GOOGLEFINANCE(B182,""price"",TODAY()-365,TODAY()),1,0),""select Col2 limit 200""))"),101.05485000000003)</f>
        <v>101.05485</v>
      </c>
      <c r="O182" s="20" t="str">
        <f t="shared" si="2"/>
        <v>Avoid</v>
      </c>
      <c r="P182" s="21" t="str">
        <f t="shared" si="3"/>
        <v/>
      </c>
      <c r="Q182" s="21" t="str">
        <f t="shared" si="4"/>
        <v/>
      </c>
      <c r="R182" s="22">
        <f>IFERROR(__xludf.DUMMYFUNCTION("GOOGLEFINANCE(B182, ""pe"")
"),27.79)</f>
        <v>27.79</v>
      </c>
    </row>
    <row r="183">
      <c r="A183" s="9" t="s">
        <v>196</v>
      </c>
      <c r="B183" s="11" t="str">
        <f t="shared" si="1"/>
        <v>NSE:RVNL</v>
      </c>
      <c r="C183" s="12">
        <f>IFERROR(__xludf.DUMMYFUNCTION("GOOGLEFINANCE(B183,""marketcap"")/10000000"),75456.8725274)</f>
        <v>75456.87253</v>
      </c>
      <c r="D183" s="13">
        <f>IFERROR(__xludf.DUMMYFUNCTION("GOOGLEFINANCE(B183,""price"")"),361.9)</f>
        <v>361.9</v>
      </c>
      <c r="E183" s="14">
        <f>IFERROR(__xludf.DUMMYFUNCTION("GOOGLEFINANCE(B183,""Volume"")"),1725992.0)</f>
        <v>1725992</v>
      </c>
      <c r="F183" s="14">
        <f t="array" ref="F183">F182</f>
        <v>14</v>
      </c>
      <c r="G183" s="15" t="str">
        <f>IFERROR(__xludf.DUMMYFUNCTION("IF(E183&gt;AVERAGE(INDEX(GOOGLEFINANCE(B183,""volume"",WORKDAY(TODAY(),-$F$1),TODAY()),,2)),""Breakout"","""")"),"")</f>
        <v/>
      </c>
      <c r="H183" s="16">
        <f>IFERROR(__xludf.DUMMYFUNCTION("GOOGLEFINANCE(B183,""price"")"),361.9)</f>
        <v>361.9</v>
      </c>
      <c r="I183" s="17" t="str">
        <f>IFERROR(__xludf.DUMMYFUNCTION("AVERAGE(QUERY(SORT(GOOGLEFINANCE(B183,""price"",TODAY()-365,TODAY()),1,0),""select Col2 limit 10""))"),"#N/A")</f>
        <v>#N/A</v>
      </c>
      <c r="J183" s="17" t="str">
        <f>IFERROR(__xludf.DUMMYFUNCTION("AVERAGE(QUERY(SORT(GOOGLEFINANCE(B183,""price"",TODAY()-365,TODAY()),1,0),""select Col2 limit 30""))"),"#N/A")</f>
        <v>#N/A</v>
      </c>
      <c r="K183" s="18" t="str">
        <f>IFERROR(__xludf.DUMMYFUNCTION("AVERAGE(QUERY(SORT(GOOGLEFINANCE(B183,""price"",TODAY()-365,TODAY()),1,0),""select Col2 limit 60""))"),"#N/A")</f>
        <v>#N/A</v>
      </c>
      <c r="L183" s="17" t="str">
        <f>IFERROR(__xludf.DUMMYFUNCTION("AVERAGE(QUERY(SORT(GOOGLEFINANCE(B183,""price"",TODAY()-365,TODAY()),1,0),""select Col2 limit 90""))"),"#N/A")</f>
        <v>#N/A</v>
      </c>
      <c r="M183" s="17" t="str">
        <f>IFERROR(__xludf.DUMMYFUNCTION("AVERAGE(QUERY(SORT(GOOGLEFINANCE(B183,""price"",TODAY()-365,TODAY()),1,0),""select Col2 limit 120""))"),"#N/A")</f>
        <v>#N/A</v>
      </c>
      <c r="N183" s="19" t="str">
        <f>IFERROR(__xludf.DUMMYFUNCTION("AVERAGE(QUERY(SORT(GOOGLEFINANCE(B183,""price"",TODAY()-365,TODAY()),1,0),""select Col2 limit 200""))"),"#N/A")</f>
        <v>#N/A</v>
      </c>
      <c r="O183" s="20" t="str">
        <f t="shared" si="2"/>
        <v>#N/A</v>
      </c>
      <c r="P183" s="21" t="str">
        <f t="shared" si="3"/>
        <v>#N/A</v>
      </c>
      <c r="Q183" s="21" t="str">
        <f t="shared" si="4"/>
        <v>#N/A</v>
      </c>
      <c r="R183" s="22">
        <f>IFERROR(__xludf.DUMMYFUNCTION("GOOGLEFINANCE(B183, ""pe"")
"),58.83)</f>
        <v>58.83</v>
      </c>
    </row>
    <row r="184">
      <c r="A184" s="9" t="s">
        <v>197</v>
      </c>
      <c r="B184" s="11" t="str">
        <f t="shared" si="1"/>
        <v>NSE:JSWENERGY</v>
      </c>
      <c r="C184" s="12">
        <f>IFERROR(__xludf.DUMMYFUNCTION("GOOGLEFINANCE(B184,""marketcap"")/10000000"),91112.4968845)</f>
        <v>91112.49688</v>
      </c>
      <c r="D184" s="13">
        <f>IFERROR(__xludf.DUMMYFUNCTION("GOOGLEFINANCE(B184,""price"")"),524.45)</f>
        <v>524.45</v>
      </c>
      <c r="E184" s="14">
        <f>IFERROR(__xludf.DUMMYFUNCTION("GOOGLEFINANCE(B184,""Volume"")"),1322746.0)</f>
        <v>1322746</v>
      </c>
      <c r="F184" s="14">
        <f t="array" ref="F184">F183</f>
        <v>14</v>
      </c>
      <c r="G184" s="15" t="str">
        <f>IFERROR(__xludf.DUMMYFUNCTION("IF(E184&gt;AVERAGE(INDEX(GOOGLEFINANCE(B184,""volume"",WORKDAY(TODAY(),-$F$1),TODAY()),,2)),""Breakout"","""")"),"")</f>
        <v/>
      </c>
      <c r="H184" s="16">
        <f>IFERROR(__xludf.DUMMYFUNCTION("GOOGLEFINANCE(B184,""price"")"),524.45)</f>
        <v>524.45</v>
      </c>
      <c r="I184" s="17">
        <f>IFERROR(__xludf.DUMMYFUNCTION("AVERAGE(QUERY(SORT(GOOGLEFINANCE(B184,""price"",TODAY()-365,TODAY()),1,0),""select Col2 limit 10""))"),530.095)</f>
        <v>530.095</v>
      </c>
      <c r="J184" s="17">
        <f>IFERROR(__xludf.DUMMYFUNCTION("AVERAGE(QUERY(SORT(GOOGLEFINANCE(B184,""price"",TODAY()-365,TODAY()),1,0),""select Col2 limit 30""))"),517.8549999999999)</f>
        <v>517.855</v>
      </c>
      <c r="K184" s="18">
        <f>IFERROR(__xludf.DUMMYFUNCTION("AVERAGE(QUERY(SORT(GOOGLEFINANCE(B184,""price"",TODAY()-365,TODAY()),1,0),""select Col2 limit 60""))"),507.8158333333332)</f>
        <v>507.8158333</v>
      </c>
      <c r="L184" s="17">
        <f>IFERROR(__xludf.DUMMYFUNCTION("AVERAGE(QUERY(SORT(GOOGLEFINANCE(B184,""price"",TODAY()-365,TODAY()),1,0),""select Col2 limit 90""))"),510.86166666666657)</f>
        <v>510.8616667</v>
      </c>
      <c r="M184" s="17">
        <f>IFERROR(__xludf.DUMMYFUNCTION("AVERAGE(QUERY(SORT(GOOGLEFINANCE(B184,""price"",TODAY()-365,TODAY()),1,0),""select Col2 limit 120""))"),502.5037499999998)</f>
        <v>502.50375</v>
      </c>
      <c r="N184" s="19">
        <f>IFERROR(__xludf.DUMMYFUNCTION("AVERAGE(QUERY(SORT(GOOGLEFINANCE(B184,""price"",TODAY()-365,TODAY()),1,0),""select Col2 limit 200""))"),562.9524999999999)</f>
        <v>562.9525</v>
      </c>
      <c r="O184" s="20" t="str">
        <f t="shared" si="2"/>
        <v>Avoid</v>
      </c>
      <c r="P184" s="21" t="str">
        <f t="shared" si="3"/>
        <v/>
      </c>
      <c r="Q184" s="21" t="str">
        <f t="shared" si="4"/>
        <v/>
      </c>
      <c r="R184" s="22">
        <f>IFERROR(__xludf.DUMMYFUNCTION("GOOGLEFINANCE(B184, ""pe"")
"),46.93)</f>
        <v>46.93</v>
      </c>
    </row>
    <row r="185">
      <c r="A185" s="9" t="s">
        <v>198</v>
      </c>
      <c r="B185" s="11" t="str">
        <f t="shared" si="1"/>
        <v>NSE:IOB</v>
      </c>
      <c r="C185" s="12">
        <f>IFERROR(__xludf.DUMMYFUNCTION("GOOGLEFINANCE(B185,""marketcap"")/10000000"),73329.0982459)</f>
        <v>73329.09825</v>
      </c>
      <c r="D185" s="13">
        <f>IFERROR(__xludf.DUMMYFUNCTION("GOOGLEFINANCE(B185,""price"")"),38.08)</f>
        <v>38.08</v>
      </c>
      <c r="E185" s="14">
        <f>IFERROR(__xludf.DUMMYFUNCTION("GOOGLEFINANCE(B185,""Volume"")"),2184990.0)</f>
        <v>2184990</v>
      </c>
      <c r="F185" s="14">
        <f t="array" ref="F185">F184</f>
        <v>14</v>
      </c>
      <c r="G185" s="15" t="str">
        <f>IFERROR(__xludf.DUMMYFUNCTION("IF(E185&gt;AVERAGE(INDEX(GOOGLEFINANCE(B185,""volume"",WORKDAY(TODAY(),-$F$1),TODAY()),,2)),""Breakout"","""")"),"")</f>
        <v/>
      </c>
      <c r="H185" s="16">
        <f>IFERROR(__xludf.DUMMYFUNCTION("GOOGLEFINANCE(B185,""price"")"),38.08)</f>
        <v>38.08</v>
      </c>
      <c r="I185" s="17">
        <f>IFERROR(__xludf.DUMMYFUNCTION("AVERAGE(QUERY(SORT(GOOGLEFINANCE(B185,""price"",TODAY()-365,TODAY()),1,0),""select Col2 limit 10""))"),39.253)</f>
        <v>39.253</v>
      </c>
      <c r="J185" s="17">
        <f>IFERROR(__xludf.DUMMYFUNCTION("AVERAGE(QUERY(SORT(GOOGLEFINANCE(B185,""price"",TODAY()-365,TODAY()),1,0),""select Col2 limit 30""))"),38.781333333333336)</f>
        <v>38.78133333</v>
      </c>
      <c r="K185" s="18">
        <f>IFERROR(__xludf.DUMMYFUNCTION("AVERAGE(QUERY(SORT(GOOGLEFINANCE(B185,""price"",TODAY()-365,TODAY()),1,0),""select Col2 limit 60""))"),38.54566666666666)</f>
        <v>38.54566667</v>
      </c>
      <c r="L185" s="17">
        <f>IFERROR(__xludf.DUMMYFUNCTION("AVERAGE(QUERY(SORT(GOOGLEFINANCE(B185,""price"",TODAY()-365,TODAY()),1,0),""select Col2 limit 90""))"),38.66822222222221)</f>
        <v>38.66822222</v>
      </c>
      <c r="M185" s="17">
        <f>IFERROR(__xludf.DUMMYFUNCTION("AVERAGE(QUERY(SORT(GOOGLEFINANCE(B185,""price"",TODAY()-365,TODAY()),1,0),""select Col2 limit 120""))"),40.60924999999999)</f>
        <v>40.60925</v>
      </c>
      <c r="N185" s="19">
        <f>IFERROR(__xludf.DUMMYFUNCTION("AVERAGE(QUERY(SORT(GOOGLEFINANCE(B185,""price"",TODAY()-365,TODAY()),1,0),""select Col2 limit 200""))"),45.46794999999998)</f>
        <v>45.46795</v>
      </c>
      <c r="O185" s="20" t="str">
        <f t="shared" si="2"/>
        <v>Avoid</v>
      </c>
      <c r="P185" s="21" t="str">
        <f t="shared" si="3"/>
        <v/>
      </c>
      <c r="Q185" s="21" t="str">
        <f t="shared" si="4"/>
        <v/>
      </c>
      <c r="R185" s="22">
        <f>IFERROR(__xludf.DUMMYFUNCTION("GOOGLEFINANCE(B185, ""pe"")
"),18.55)</f>
        <v>18.55</v>
      </c>
    </row>
    <row r="186">
      <c r="A186" s="9" t="s">
        <v>199</v>
      </c>
      <c r="B186" s="11" t="str">
        <f t="shared" si="1"/>
        <v>NSE:CHOLAFIN</v>
      </c>
      <c r="C186" s="12">
        <f>IFERROR(__xludf.DUMMYFUNCTION("GOOGLEFINANCE(B186,""marketcap"")/10000000"),126189.6400282)</f>
        <v>126189.64</v>
      </c>
      <c r="D186" s="13">
        <f>IFERROR(__xludf.DUMMYFUNCTION("GOOGLEFINANCE(B186,""price"")"),1500.0)</f>
        <v>1500</v>
      </c>
      <c r="E186" s="14">
        <f>IFERROR(__xludf.DUMMYFUNCTION("GOOGLEFINANCE(B186,""Volume"")"),730515.0)</f>
        <v>730515</v>
      </c>
      <c r="F186" s="14">
        <f t="array" ref="F186">F185</f>
        <v>14</v>
      </c>
      <c r="G186" s="15" t="str">
        <f>IFERROR(__xludf.DUMMYFUNCTION("IF(E186&gt;AVERAGE(INDEX(GOOGLEFINANCE(B186,""volume"",WORKDAY(TODAY(),-$F$1),TODAY()),,2)),""Breakout"","""")"),"")</f>
        <v/>
      </c>
      <c r="H186" s="16">
        <f>IFERROR(__xludf.DUMMYFUNCTION("GOOGLEFINANCE(B186,""price"")"),1500.0)</f>
        <v>1500</v>
      </c>
      <c r="I186" s="17">
        <f>IFERROR(__xludf.DUMMYFUNCTION("AVERAGE(QUERY(SORT(GOOGLEFINANCE(B186,""price"",TODAY()-365,TODAY()),1,0),""select Col2 limit 10""))"),1551.3799999999997)</f>
        <v>1551.38</v>
      </c>
      <c r="J186" s="17">
        <f>IFERROR(__xludf.DUMMYFUNCTION("AVERAGE(QUERY(SORT(GOOGLEFINANCE(B186,""price"",TODAY()-365,TODAY()),1,0),""select Col2 limit 30""))"),1563.6966666666663)</f>
        <v>1563.696667</v>
      </c>
      <c r="K186" s="18">
        <f>IFERROR(__xludf.DUMMYFUNCTION("AVERAGE(QUERY(SORT(GOOGLEFINANCE(B186,""price"",TODAY()-365,TODAY()),1,0),""select Col2 limit 60""))"),1578.448333333333)</f>
        <v>1578.448333</v>
      </c>
      <c r="L186" s="17">
        <f>IFERROR(__xludf.DUMMYFUNCTION("AVERAGE(QUERY(SORT(GOOGLEFINANCE(B186,""price"",TODAY()-365,TODAY()),1,0),""select Col2 limit 90""))"),1556.3916666666667)</f>
        <v>1556.391667</v>
      </c>
      <c r="M186" s="17">
        <f>IFERROR(__xludf.DUMMYFUNCTION("AVERAGE(QUERY(SORT(GOOGLEFINANCE(B186,""price"",TODAY()-365,TODAY()),1,0),""select Col2 limit 120""))"),1514.525833333333)</f>
        <v>1514.525833</v>
      </c>
      <c r="N186" s="19">
        <f>IFERROR(__xludf.DUMMYFUNCTION("AVERAGE(QUERY(SORT(GOOGLEFINANCE(B186,""price"",TODAY()-365,TODAY()),1,0),""select Col2 limit 200""))"),1427.6465000000003)</f>
        <v>1427.6465</v>
      </c>
      <c r="O186" s="20" t="str">
        <f t="shared" si="2"/>
        <v>Sell Below 200 DMA</v>
      </c>
      <c r="P186" s="21" t="str">
        <f t="shared" si="3"/>
        <v>120 DMA</v>
      </c>
      <c r="Q186" s="21" t="str">
        <f t="shared" si="4"/>
        <v/>
      </c>
      <c r="R186" s="22">
        <f>IFERROR(__xludf.DUMMYFUNCTION("GOOGLEFINANCE(B186, ""pe"")
"),29.67)</f>
        <v>29.67</v>
      </c>
    </row>
    <row r="187">
      <c r="A187" s="9" t="s">
        <v>200</v>
      </c>
      <c r="B187" s="11" t="str">
        <f t="shared" si="1"/>
        <v>NSE:CIPLA</v>
      </c>
      <c r="C187" s="12">
        <f>IFERROR(__xludf.DUMMYFUNCTION("GOOGLEFINANCE(B187,""marketcap"")/10000000"),126088.6298681)</f>
        <v>126088.6299</v>
      </c>
      <c r="D187" s="13">
        <f>IFERROR(__xludf.DUMMYFUNCTION("GOOGLEFINANCE(B187,""price"")"),1560.0)</f>
        <v>1560</v>
      </c>
      <c r="E187" s="14">
        <f>IFERROR(__xludf.DUMMYFUNCTION("GOOGLEFINANCE(B187,""Volume"")"),2760577.0)</f>
        <v>2760577</v>
      </c>
      <c r="F187" s="14">
        <f t="array" ref="F187">F186</f>
        <v>14</v>
      </c>
      <c r="G187" s="15" t="str">
        <f>IFERROR(__xludf.DUMMYFUNCTION("IF(E187&gt;AVERAGE(INDEX(GOOGLEFINANCE(B187,""volume"",WORKDAY(TODAY(),-$F$1),TODAY()),,2)),""Breakout"","""")"),"Breakout")</f>
        <v>Breakout</v>
      </c>
      <c r="H187" s="16">
        <f>IFERROR(__xludf.DUMMYFUNCTION("GOOGLEFINANCE(B187,""price"")"),1560.0)</f>
        <v>1560</v>
      </c>
      <c r="I187" s="17">
        <f>IFERROR(__xludf.DUMMYFUNCTION("AVERAGE(QUERY(SORT(GOOGLEFINANCE(B187,""price"",TODAY()-365,TODAY()),1,0),""select Col2 limit 10""))"),1484.2199999999998)</f>
        <v>1484.22</v>
      </c>
      <c r="J187" s="17">
        <f>IFERROR(__xludf.DUMMYFUNCTION("AVERAGE(QUERY(SORT(GOOGLEFINANCE(B187,""price"",TODAY()-365,TODAY()),1,0),""select Col2 limit 30""))"),1495.8933333333334)</f>
        <v>1495.893333</v>
      </c>
      <c r="K187" s="18">
        <f>IFERROR(__xludf.DUMMYFUNCTION("AVERAGE(QUERY(SORT(GOOGLEFINANCE(B187,""price"",TODAY()-365,TODAY()),1,0),""select Col2 limit 60""))"),1494.143333333333)</f>
        <v>1494.143333</v>
      </c>
      <c r="L187" s="17">
        <f>IFERROR(__xludf.DUMMYFUNCTION("AVERAGE(QUERY(SORT(GOOGLEFINANCE(B187,""price"",TODAY()-365,TODAY()),1,0),""select Col2 limit 90""))"),1493.4499999999996)</f>
        <v>1493.45</v>
      </c>
      <c r="M187" s="17">
        <f>IFERROR(__xludf.DUMMYFUNCTION("AVERAGE(QUERY(SORT(GOOGLEFINANCE(B187,""price"",TODAY()-365,TODAY()),1,0),""select Col2 limit 120""))"),1483.2620833333328)</f>
        <v>1483.262083</v>
      </c>
      <c r="N187" s="19">
        <f>IFERROR(__xludf.DUMMYFUNCTION("AVERAGE(QUERY(SORT(GOOGLEFINANCE(B187,""price"",TODAY()-365,TODAY()),1,0),""select Col2 limit 200""))"),1492.6524999999997)</f>
        <v>1492.6525</v>
      </c>
      <c r="O187" s="20" t="str">
        <f t="shared" si="2"/>
        <v>Avoid</v>
      </c>
      <c r="P187" s="21" t="str">
        <f t="shared" si="3"/>
        <v/>
      </c>
      <c r="Q187" s="21" t="str">
        <f t="shared" si="4"/>
        <v/>
      </c>
      <c r="R187" s="22">
        <f>IFERROR(__xludf.DUMMYFUNCTION("GOOGLEFINANCE(B187, ""pe"")
"),23.39)</f>
        <v>23.39</v>
      </c>
    </row>
    <row r="188">
      <c r="A188" s="9" t="s">
        <v>201</v>
      </c>
      <c r="B188" s="11" t="str">
        <f t="shared" si="1"/>
        <v>NSE:DIVISLAB</v>
      </c>
      <c r="C188" s="12">
        <f>IFERROR(__xludf.DUMMYFUNCTION("GOOGLEFINANCE(B188,""marketcap"")/10000000"),175607.4789)</f>
        <v>175607.4789</v>
      </c>
      <c r="D188" s="13">
        <f>IFERROR(__xludf.DUMMYFUNCTION("GOOGLEFINANCE(B188,""price"")"),6615.0)</f>
        <v>6615</v>
      </c>
      <c r="E188" s="14">
        <f>IFERROR(__xludf.DUMMYFUNCTION("GOOGLEFINANCE(B188,""Volume"")"),77279.0)</f>
        <v>77279</v>
      </c>
      <c r="F188" s="14">
        <f t="array" ref="F188">F187</f>
        <v>14</v>
      </c>
      <c r="G188" s="15" t="str">
        <f>IFERROR(__xludf.DUMMYFUNCTION("IF(E188&gt;AVERAGE(INDEX(GOOGLEFINANCE(B188,""volume"",WORKDAY(TODAY(),-$F$1),TODAY()),,2)),""Breakout"","""")"),"")</f>
        <v/>
      </c>
      <c r="H188" s="16">
        <f>IFERROR(__xludf.DUMMYFUNCTION("GOOGLEFINANCE(B188,""price"")"),6615.0)</f>
        <v>6615</v>
      </c>
      <c r="I188" s="17">
        <f>IFERROR(__xludf.DUMMYFUNCTION("AVERAGE(QUERY(SORT(GOOGLEFINANCE(B188,""price"",TODAY()-365,TODAY()),1,0),""select Col2 limit 10""))"),6726.45)</f>
        <v>6726.45</v>
      </c>
      <c r="J188" s="17">
        <f>IFERROR(__xludf.DUMMYFUNCTION("AVERAGE(QUERY(SORT(GOOGLEFINANCE(B188,""price"",TODAY()-365,TODAY()),1,0),""select Col2 limit 30""))"),6722.616666666667)</f>
        <v>6722.616667</v>
      </c>
      <c r="K188" s="18">
        <f>IFERROR(__xludf.DUMMYFUNCTION("AVERAGE(QUERY(SORT(GOOGLEFINANCE(B188,""price"",TODAY()-365,TODAY()),1,0),""select Col2 limit 60""))"),6563.716666666666)</f>
        <v>6563.716667</v>
      </c>
      <c r="L188" s="17">
        <f>IFERROR(__xludf.DUMMYFUNCTION("AVERAGE(QUERY(SORT(GOOGLEFINANCE(B188,""price"",TODAY()-365,TODAY()),1,0),""select Col2 limit 90""))"),6293.419444444443)</f>
        <v>6293.419444</v>
      </c>
      <c r="M188" s="17">
        <f>IFERROR(__xludf.DUMMYFUNCTION("AVERAGE(QUERY(SORT(GOOGLEFINANCE(B188,""price"",TODAY()-365,TODAY()),1,0),""select Col2 limit 120""))"),6163.309166666667)</f>
        <v>6163.309167</v>
      </c>
      <c r="N188" s="19">
        <f>IFERROR(__xludf.DUMMYFUNCTION("AVERAGE(QUERY(SORT(GOOGLEFINANCE(B188,""price"",TODAY()-365,TODAY()),1,0),""select Col2 limit 200""))"),6058.137749999998)</f>
        <v>6058.13775</v>
      </c>
      <c r="O188" s="20" t="str">
        <f t="shared" si="2"/>
        <v>Avoid</v>
      </c>
      <c r="P188" s="21" t="str">
        <f t="shared" si="3"/>
        <v/>
      </c>
      <c r="Q188" s="21" t="str">
        <f t="shared" si="4"/>
        <v/>
      </c>
      <c r="R188" s="22">
        <f>IFERROR(__xludf.DUMMYFUNCTION("GOOGLEFINANCE(B188, ""pe"")
"),80.15)</f>
        <v>80.15</v>
      </c>
    </row>
    <row r="189">
      <c r="A189" s="9" t="s">
        <v>202</v>
      </c>
      <c r="B189" s="11" t="str">
        <f t="shared" si="1"/>
        <v>NSE:HAVELLS</v>
      </c>
      <c r="C189" s="12">
        <f>IFERROR(__xludf.DUMMYFUNCTION("GOOGLEFINANCE(B189,""marketcap"")/10000000"),95608.60925)</f>
        <v>95608.60925</v>
      </c>
      <c r="D189" s="13">
        <f>IFERROR(__xludf.DUMMYFUNCTION("GOOGLEFINANCE(B189,""price"")"),1525.0)</f>
        <v>1525</v>
      </c>
      <c r="E189" s="14">
        <f>IFERROR(__xludf.DUMMYFUNCTION("GOOGLEFINANCE(B189,""Volume"")"),354472.0)</f>
        <v>354472</v>
      </c>
      <c r="F189" s="14">
        <f t="array" ref="F189">F188</f>
        <v>14</v>
      </c>
      <c r="G189" s="15" t="str">
        <f>IFERROR(__xludf.DUMMYFUNCTION("IF(E189&gt;AVERAGE(INDEX(GOOGLEFINANCE(B189,""volume"",WORKDAY(TODAY(),-$F$1),TODAY()),,2)),""Breakout"","""")"),"")</f>
        <v/>
      </c>
      <c r="H189" s="16">
        <f>IFERROR(__xludf.DUMMYFUNCTION("GOOGLEFINANCE(B189,""price"")"),1525.0)</f>
        <v>1525</v>
      </c>
      <c r="I189" s="17">
        <f>IFERROR(__xludf.DUMMYFUNCTION("AVERAGE(QUERY(SORT(GOOGLEFINANCE(B189,""price"",TODAY()-365,TODAY()),1,0),""select Col2 limit 10""))"),1539.92)</f>
        <v>1539.92</v>
      </c>
      <c r="J189" s="17">
        <f>IFERROR(__xludf.DUMMYFUNCTION("AVERAGE(QUERY(SORT(GOOGLEFINANCE(B189,""price"",TODAY()-365,TODAY()),1,0),""select Col2 limit 30""))"),1545.5166666666664)</f>
        <v>1545.516667</v>
      </c>
      <c r="K189" s="18">
        <f>IFERROR(__xludf.DUMMYFUNCTION("AVERAGE(QUERY(SORT(GOOGLEFINANCE(B189,""price"",TODAY()-365,TODAY()),1,0),""select Col2 limit 60""))"),1551.4333333333332)</f>
        <v>1551.433333</v>
      </c>
      <c r="L189" s="17">
        <f>IFERROR(__xludf.DUMMYFUNCTION("AVERAGE(QUERY(SORT(GOOGLEFINANCE(B189,""price"",TODAY()-365,TODAY()),1,0),""select Col2 limit 90""))"),1548.6094444444445)</f>
        <v>1548.609444</v>
      </c>
      <c r="M189" s="17">
        <f>IFERROR(__xludf.DUMMYFUNCTION("AVERAGE(QUERY(SORT(GOOGLEFINANCE(B189,""price"",TODAY()-365,TODAY()),1,0),""select Col2 limit 120""))"),1541.5212499999996)</f>
        <v>1541.52125</v>
      </c>
      <c r="N189" s="19">
        <f>IFERROR(__xludf.DUMMYFUNCTION("AVERAGE(QUERY(SORT(GOOGLEFINANCE(B189,""price"",TODAY()-365,TODAY()),1,0),""select Col2 limit 200""))"),1605.1765)</f>
        <v>1605.1765</v>
      </c>
      <c r="O189" s="20" t="str">
        <f t="shared" si="2"/>
        <v>Avoid</v>
      </c>
      <c r="P189" s="21" t="str">
        <f t="shared" si="3"/>
        <v>10 DMA</v>
      </c>
      <c r="Q189" s="21" t="str">
        <f t="shared" si="4"/>
        <v>10 DMA cross best</v>
      </c>
      <c r="R189" s="22">
        <f>IFERROR(__xludf.DUMMYFUNCTION("GOOGLEFINANCE(B189, ""pe"")
"),67.81)</f>
        <v>67.81</v>
      </c>
    </row>
    <row r="190">
      <c r="A190" s="9" t="s">
        <v>203</v>
      </c>
      <c r="B190" s="11" t="str">
        <f t="shared" si="1"/>
        <v>NSE:ZYDUSLIFE</v>
      </c>
      <c r="C190" s="12">
        <f>IFERROR(__xludf.DUMMYFUNCTION("GOOGLEFINANCE(B190,""marketcap"")/10000000"),98862.4905)</f>
        <v>98862.4905</v>
      </c>
      <c r="D190" s="13">
        <f>IFERROR(__xludf.DUMMYFUNCTION("GOOGLEFINANCE(B190,""price"")"),984.55)</f>
        <v>984.55</v>
      </c>
      <c r="E190" s="14">
        <f>IFERROR(__xludf.DUMMYFUNCTION("GOOGLEFINANCE(B190,""Volume"")"),496062.0)</f>
        <v>496062</v>
      </c>
      <c r="F190" s="14">
        <f t="array" ref="F190">F189</f>
        <v>14</v>
      </c>
      <c r="G190" s="15" t="str">
        <f>IFERROR(__xludf.DUMMYFUNCTION("IF(E190&gt;AVERAGE(INDEX(GOOGLEFINANCE(B190,""volume"",WORKDAY(TODAY(),-$F$1),TODAY()),,2)),""Breakout"","""")"),"")</f>
        <v/>
      </c>
      <c r="H190" s="16">
        <f>IFERROR(__xludf.DUMMYFUNCTION("GOOGLEFINANCE(B190,""price"")"),984.55)</f>
        <v>984.55</v>
      </c>
      <c r="I190" s="17">
        <f>IFERROR(__xludf.DUMMYFUNCTION("AVERAGE(QUERY(SORT(GOOGLEFINANCE(B190,""price"",TODAY()-365,TODAY()),1,0),""select Col2 limit 10""))"),969.9050000000001)</f>
        <v>969.905</v>
      </c>
      <c r="J190" s="17">
        <f>IFERROR(__xludf.DUMMYFUNCTION("AVERAGE(QUERY(SORT(GOOGLEFINANCE(B190,""price"",TODAY()-365,TODAY()),1,0),""select Col2 limit 30""))"),975.0983333333335)</f>
        <v>975.0983333</v>
      </c>
      <c r="K190" s="18">
        <f>IFERROR(__xludf.DUMMYFUNCTION("AVERAGE(QUERY(SORT(GOOGLEFINANCE(B190,""price"",TODAY()-365,TODAY()),1,0),""select Col2 limit 60""))"),947.6583333333332)</f>
        <v>947.6583333</v>
      </c>
      <c r="L190" s="17">
        <f>IFERROR(__xludf.DUMMYFUNCTION("AVERAGE(QUERY(SORT(GOOGLEFINANCE(B190,""price"",TODAY()-365,TODAY()),1,0),""select Col2 limit 90""))"),924.9077777777776)</f>
        <v>924.9077778</v>
      </c>
      <c r="M190" s="17">
        <f>IFERROR(__xludf.DUMMYFUNCTION("AVERAGE(QUERY(SORT(GOOGLEFINANCE(B190,""price"",TODAY()-365,TODAY()),1,0),""select Col2 limit 120""))"),923.5116666666664)</f>
        <v>923.5116667</v>
      </c>
      <c r="N190" s="19">
        <f>IFERROR(__xludf.DUMMYFUNCTION("AVERAGE(QUERY(SORT(GOOGLEFINANCE(B190,""price"",TODAY()-365,TODAY()),1,0),""select Col2 limit 200""))"),948.4227500000005)</f>
        <v>948.42275</v>
      </c>
      <c r="O190" s="20" t="str">
        <f t="shared" si="2"/>
        <v>Avoid</v>
      </c>
      <c r="P190" s="21" t="str">
        <f t="shared" si="3"/>
        <v/>
      </c>
      <c r="Q190" s="21" t="str">
        <f t="shared" si="4"/>
        <v/>
      </c>
      <c r="R190" s="22">
        <f>IFERROR(__xludf.DUMMYFUNCTION("GOOGLEFINANCE(B190, ""pe"")
"),21.9)</f>
        <v>21.9</v>
      </c>
    </row>
    <row r="191">
      <c r="A191" s="9" t="s">
        <v>204</v>
      </c>
      <c r="B191" s="11" t="str">
        <f t="shared" si="1"/>
        <v>NSE:TVSMOTOR</v>
      </c>
      <c r="C191" s="12">
        <f>IFERROR(__xludf.DUMMYFUNCTION("GOOGLEFINANCE(B191,""marketcap"")/10000000"),133042.2409299)</f>
        <v>133042.2409</v>
      </c>
      <c r="D191" s="13">
        <f>IFERROR(__xludf.DUMMYFUNCTION("GOOGLEFINANCE(B191,""price"")"),2802.5)</f>
        <v>2802.5</v>
      </c>
      <c r="E191" s="14">
        <f>IFERROR(__xludf.DUMMYFUNCTION("GOOGLEFINANCE(B191,""Volume"")"),267361.0)</f>
        <v>267361</v>
      </c>
      <c r="F191" s="14">
        <f t="array" ref="F191">F190</f>
        <v>14</v>
      </c>
      <c r="G191" s="15" t="str">
        <f>IFERROR(__xludf.DUMMYFUNCTION("IF(E191&gt;AVERAGE(INDEX(GOOGLEFINANCE(B191,""volume"",WORKDAY(TODAY(),-$F$1),TODAY()),,2)),""Breakout"","""")"),"")</f>
        <v/>
      </c>
      <c r="H191" s="16">
        <f>IFERROR(__xludf.DUMMYFUNCTION("GOOGLEFINANCE(B191,""price"")"),2802.5)</f>
        <v>2802.5</v>
      </c>
      <c r="I191" s="17">
        <f>IFERROR(__xludf.DUMMYFUNCTION("AVERAGE(QUERY(SORT(GOOGLEFINANCE(B191,""price"",TODAY()-365,TODAY()),1,0),""select Col2 limit 10""))"),2831.82)</f>
        <v>2831.82</v>
      </c>
      <c r="J191" s="17">
        <f>IFERROR(__xludf.DUMMYFUNCTION("AVERAGE(QUERY(SORT(GOOGLEFINANCE(B191,""price"",TODAY()-365,TODAY()),1,0),""select Col2 limit 30""))"),2842.733333333333)</f>
        <v>2842.733333</v>
      </c>
      <c r="K191" s="18">
        <f>IFERROR(__xludf.DUMMYFUNCTION("AVERAGE(QUERY(SORT(GOOGLEFINANCE(B191,""price"",TODAY()-365,TODAY()),1,0),""select Col2 limit 60""))"),2803.1549999999997)</f>
        <v>2803.155</v>
      </c>
      <c r="L191" s="17">
        <f>IFERROR(__xludf.DUMMYFUNCTION("AVERAGE(QUERY(SORT(GOOGLEFINANCE(B191,""price"",TODAY()-365,TODAY()),1,0),""select Col2 limit 90""))"),2713.8305555555557)</f>
        <v>2713.830556</v>
      </c>
      <c r="M191" s="17">
        <f>IFERROR(__xludf.DUMMYFUNCTION("AVERAGE(QUERY(SORT(GOOGLEFINANCE(B191,""price"",TODAY()-365,TODAY()),1,0),""select Col2 limit 120""))"),2637.2800000000016)</f>
        <v>2637.28</v>
      </c>
      <c r="N191" s="19">
        <f>IFERROR(__xludf.DUMMYFUNCTION("AVERAGE(QUERY(SORT(GOOGLEFINANCE(B191,""price"",TODAY()-365,TODAY()),1,0),""select Col2 limit 200""))"),2570.339750000002)</f>
        <v>2570.33975</v>
      </c>
      <c r="O191" s="20" t="str">
        <f t="shared" si="2"/>
        <v>Avoid</v>
      </c>
      <c r="P191" s="21" t="str">
        <f t="shared" si="3"/>
        <v>60 DMA</v>
      </c>
      <c r="Q191" s="21" t="str">
        <f t="shared" si="4"/>
        <v/>
      </c>
      <c r="R191" s="22">
        <f>IFERROR(__xludf.DUMMYFUNCTION("GOOGLEFINANCE(B191, ""pe"")
"),60.38)</f>
        <v>60.38</v>
      </c>
    </row>
    <row r="192">
      <c r="A192" s="9" t="s">
        <v>205</v>
      </c>
      <c r="B192" s="11" t="str">
        <f t="shared" si="1"/>
        <v>NSE:INDUSINDBK</v>
      </c>
      <c r="C192" s="12">
        <f>IFERROR(__xludf.DUMMYFUNCTION("GOOGLEFINANCE(B192,""marketcap"")/10000000"),63602.1174139)</f>
        <v>63602.11741</v>
      </c>
      <c r="D192" s="13">
        <f>IFERROR(__xludf.DUMMYFUNCTION("GOOGLEFINANCE(B192,""price"")"),815.6)</f>
        <v>815.6</v>
      </c>
      <c r="E192" s="14">
        <f>IFERROR(__xludf.DUMMYFUNCTION("GOOGLEFINANCE(B192,""Volume"")"),3371382.0)</f>
        <v>3371382</v>
      </c>
      <c r="F192" s="14">
        <f t="array" ref="F192">F191</f>
        <v>14</v>
      </c>
      <c r="G192" s="15" t="str">
        <f>IFERROR(__xludf.DUMMYFUNCTION("IF(E192&gt;AVERAGE(INDEX(GOOGLEFINANCE(B192,""volume"",WORKDAY(TODAY(),-$F$1),TODAY()),,2)),""Breakout"","""")"),"#N/A")</f>
        <v>#N/A</v>
      </c>
      <c r="H192" s="16">
        <f>IFERROR(__xludf.DUMMYFUNCTION("GOOGLEFINANCE(B192,""price"")"),815.6)</f>
        <v>815.6</v>
      </c>
      <c r="I192" s="17">
        <f>IFERROR(__xludf.DUMMYFUNCTION("AVERAGE(QUERY(SORT(GOOGLEFINANCE(B192,""price"",TODAY()-365,TODAY()),1,0),""select Col2 limit 10""))"),857.9399999999999)</f>
        <v>857.94</v>
      </c>
      <c r="J192" s="17">
        <f>IFERROR(__xludf.DUMMYFUNCTION("AVERAGE(QUERY(SORT(GOOGLEFINANCE(B192,""price"",TODAY()-365,TODAY()),1,0),""select Col2 limit 30""))"),850.8183333333334)</f>
        <v>850.8183333</v>
      </c>
      <c r="K192" s="18">
        <f>IFERROR(__xludf.DUMMYFUNCTION("AVERAGE(QUERY(SORT(GOOGLEFINANCE(B192,""price"",TODAY()-365,TODAY()),1,0),""select Col2 limit 60""))"),829.7158333333333)</f>
        <v>829.7158333</v>
      </c>
      <c r="L192" s="17">
        <f>IFERROR(__xludf.DUMMYFUNCTION("AVERAGE(QUERY(SORT(GOOGLEFINANCE(B192,""price"",TODAY()-365,TODAY()),1,0),""select Col2 limit 90""))"),796.8427777777777)</f>
        <v>796.8427778</v>
      </c>
      <c r="M192" s="17">
        <f>IFERROR(__xludf.DUMMYFUNCTION("AVERAGE(QUERY(SORT(GOOGLEFINANCE(B192,""price"",TODAY()-365,TODAY()),1,0),""select Col2 limit 120""))"),843.5699999999998)</f>
        <v>843.57</v>
      </c>
      <c r="N192" s="19">
        <f>IFERROR(__xludf.DUMMYFUNCTION("AVERAGE(QUERY(SORT(GOOGLEFINANCE(B192,""price"",TODAY()-365,TODAY()),1,0),""select Col2 limit 200""))"),928.6124999999998)</f>
        <v>928.6125</v>
      </c>
      <c r="O192" s="20" t="str">
        <f t="shared" si="2"/>
        <v>Avoid</v>
      </c>
      <c r="P192" s="21" t="str">
        <f t="shared" si="3"/>
        <v/>
      </c>
      <c r="Q192" s="21" t="str">
        <f t="shared" si="4"/>
        <v/>
      </c>
      <c r="R192" s="22">
        <f>IFERROR(__xludf.DUMMYFUNCTION("GOOGLEFINANCE(B192, ""pe"")
"),24.68)</f>
        <v>24.68</v>
      </c>
    </row>
    <row r="193">
      <c r="A193" s="9" t="s">
        <v>206</v>
      </c>
      <c r="B193" s="11" t="str">
        <f t="shared" si="1"/>
        <v>NSE:TATACONSUM</v>
      </c>
      <c r="C193" s="12">
        <f>IFERROR(__xludf.DUMMYFUNCTION("GOOGLEFINANCE(B193,""marketcap"")/10000000"),105424.8801978)</f>
        <v>105424.8802</v>
      </c>
      <c r="D193" s="13">
        <f>IFERROR(__xludf.DUMMYFUNCTION("GOOGLEFINANCE(B193,""price"")"),1066.5)</f>
        <v>1066.5</v>
      </c>
      <c r="E193" s="14">
        <f>IFERROR(__xludf.DUMMYFUNCTION("GOOGLEFINANCE(B193,""Volume"")"),586228.0)</f>
        <v>586228</v>
      </c>
      <c r="F193" s="14">
        <f t="array" ref="F193">F192</f>
        <v>14</v>
      </c>
      <c r="G193" s="15" t="str">
        <f>IFERROR(__xludf.DUMMYFUNCTION("IF(E193&gt;AVERAGE(INDEX(GOOGLEFINANCE(B193,""volume"",WORKDAY(TODAY(),-$F$1),TODAY()),,2)),""Breakout"","""")"),"")</f>
        <v/>
      </c>
      <c r="H193" s="16">
        <f>IFERROR(__xludf.DUMMYFUNCTION("GOOGLEFINANCE(B193,""price"")"),1066.5)</f>
        <v>1066.5</v>
      </c>
      <c r="I193" s="17">
        <f>IFERROR(__xludf.DUMMYFUNCTION("AVERAGE(QUERY(SORT(GOOGLEFINANCE(B193,""price"",TODAY()-365,TODAY()),1,0),""select Col2 limit 10""))"),1080.1699999999996)</f>
        <v>1080.17</v>
      </c>
      <c r="J193" s="17">
        <f>IFERROR(__xludf.DUMMYFUNCTION("AVERAGE(QUERY(SORT(GOOGLEFINANCE(B193,""price"",TODAY()-365,TODAY()),1,0),""select Col2 limit 30""))"),1091.95)</f>
        <v>1091.95</v>
      </c>
      <c r="K193" s="18">
        <f>IFERROR(__xludf.DUMMYFUNCTION("AVERAGE(QUERY(SORT(GOOGLEFINANCE(B193,""price"",TODAY()-365,TODAY()),1,0),""select Col2 limit 60""))"),1109.135)</f>
        <v>1109.135</v>
      </c>
      <c r="L193" s="17">
        <f>IFERROR(__xludf.DUMMYFUNCTION("AVERAGE(QUERY(SORT(GOOGLEFINANCE(B193,""price"",TODAY()-365,TODAY()),1,0),""select Col2 limit 90""))"),1093.4338888888888)</f>
        <v>1093.433889</v>
      </c>
      <c r="M193" s="17">
        <f>IFERROR(__xludf.DUMMYFUNCTION("AVERAGE(QUERY(SORT(GOOGLEFINANCE(B193,""price"",TODAY()-365,TODAY()),1,0),""select Col2 limit 120""))"),1069.23875)</f>
        <v>1069.23875</v>
      </c>
      <c r="N193" s="19">
        <f>IFERROR(__xludf.DUMMYFUNCTION("AVERAGE(QUERY(SORT(GOOGLEFINANCE(B193,""price"",TODAY()-365,TODAY()),1,0),""select Col2 limit 200""))"),1031.9165)</f>
        <v>1031.9165</v>
      </c>
      <c r="O193" s="20" t="str">
        <f t="shared" si="2"/>
        <v>Sell Below 200 DMA</v>
      </c>
      <c r="P193" s="21" t="str">
        <f t="shared" si="3"/>
        <v>120 DMA</v>
      </c>
      <c r="Q193" s="21" t="str">
        <f t="shared" si="4"/>
        <v/>
      </c>
      <c r="R193" s="22">
        <f>IFERROR(__xludf.DUMMYFUNCTION("GOOGLEFINANCE(B193, ""pe"")
"),79.89)</f>
        <v>79.89</v>
      </c>
    </row>
    <row r="194">
      <c r="A194" s="9" t="s">
        <v>207</v>
      </c>
      <c r="B194" s="11" t="str">
        <f t="shared" si="1"/>
        <v>NSE:ADANIENSOL</v>
      </c>
      <c r="C194" s="12">
        <f>IFERROR(__xludf.DUMMYFUNCTION("GOOGLEFINANCE(B194,""marketcap"")/10000000"),98865.5086)</f>
        <v>98865.5086</v>
      </c>
      <c r="D194" s="13">
        <f>IFERROR(__xludf.DUMMYFUNCTION("GOOGLEFINANCE(B194,""price"")"),823.8)</f>
        <v>823.8</v>
      </c>
      <c r="E194" s="14">
        <f>IFERROR(__xludf.DUMMYFUNCTION("GOOGLEFINANCE(B194,""Volume"")"),428960.0)</f>
        <v>428960</v>
      </c>
      <c r="F194" s="14">
        <f t="array" ref="F194">F193</f>
        <v>14</v>
      </c>
      <c r="G194" s="15" t="str">
        <f>IFERROR(__xludf.DUMMYFUNCTION("IF(E194&gt;AVERAGE(INDEX(GOOGLEFINANCE(B194,""volume"",WORKDAY(TODAY(),-$F$1),TODAY()),,2)),""Breakout"","""")"),"")</f>
        <v/>
      </c>
      <c r="H194" s="16">
        <f>IFERROR(__xludf.DUMMYFUNCTION("GOOGLEFINANCE(B194,""price"")"),823.8)</f>
        <v>823.8</v>
      </c>
      <c r="I194" s="17">
        <f>IFERROR(__xludf.DUMMYFUNCTION("AVERAGE(QUERY(SORT(GOOGLEFINANCE(B194,""price"",TODAY()-365,TODAY()),1,0),""select Col2 limit 10""))"),864.7700000000001)</f>
        <v>864.77</v>
      </c>
      <c r="J194" s="17">
        <f>IFERROR(__xludf.DUMMYFUNCTION("AVERAGE(QUERY(SORT(GOOGLEFINANCE(B194,""price"",TODAY()-365,TODAY()),1,0),""select Col2 limit 30""))"),865.1116666666666)</f>
        <v>865.1116667</v>
      </c>
      <c r="K194" s="18">
        <f>IFERROR(__xludf.DUMMYFUNCTION("AVERAGE(QUERY(SORT(GOOGLEFINANCE(B194,""price"",TODAY()-365,TODAY()),1,0),""select Col2 limit 60""))"),873.7533333333334)</f>
        <v>873.7533333</v>
      </c>
      <c r="L194" s="17">
        <f>IFERROR(__xludf.DUMMYFUNCTION("AVERAGE(QUERY(SORT(GOOGLEFINANCE(B194,""price"",TODAY()-365,TODAY()),1,0),""select Col2 limit 90""))"),872.3277777777781)</f>
        <v>872.3277778</v>
      </c>
      <c r="M194" s="17">
        <f>IFERROR(__xludf.DUMMYFUNCTION("AVERAGE(QUERY(SORT(GOOGLEFINANCE(B194,""price"",TODAY()-365,TODAY()),1,0),""select Col2 limit 120""))"),834.2483333333333)</f>
        <v>834.2483333</v>
      </c>
      <c r="N194" s="19">
        <f>IFERROR(__xludf.DUMMYFUNCTION("AVERAGE(QUERY(SORT(GOOGLEFINANCE(B194,""price"",TODAY()-365,TODAY()),1,0),""select Col2 limit 200""))"),840.1584999999999)</f>
        <v>840.1585</v>
      </c>
      <c r="O194" s="20" t="str">
        <f t="shared" si="2"/>
        <v>Avoid</v>
      </c>
      <c r="P194" s="21" t="str">
        <f t="shared" si="3"/>
        <v/>
      </c>
      <c r="Q194" s="21" t="str">
        <f t="shared" si="4"/>
        <v/>
      </c>
      <c r="R194" s="22">
        <f>IFERROR(__xludf.DUMMYFUNCTION("GOOGLEFINANCE(B194, ""pe"")
"),39.38)</f>
        <v>39.38</v>
      </c>
    </row>
    <row r="195">
      <c r="A195" s="9" t="s">
        <v>208</v>
      </c>
      <c r="B195" s="11" t="str">
        <f t="shared" si="1"/>
        <v>NSE:DABUR</v>
      </c>
      <c r="C195" s="12">
        <f>IFERROR(__xludf.DUMMYFUNCTION("GOOGLEFINANCE(B195,""marketcap"")/10000000"),92320.5645)</f>
        <v>92320.5645</v>
      </c>
      <c r="D195" s="13">
        <f>IFERROR(__xludf.DUMMYFUNCTION("GOOGLEFINANCE(B195,""price"")"),520.3)</f>
        <v>520.3</v>
      </c>
      <c r="E195" s="14">
        <f>IFERROR(__xludf.DUMMYFUNCTION("GOOGLEFINANCE(B195,""Volume"")"),1393029.0)</f>
        <v>1393029</v>
      </c>
      <c r="F195" s="14">
        <f t="array" ref="F195">F194</f>
        <v>14</v>
      </c>
      <c r="G195" s="15" t="str">
        <f>IFERROR(__xludf.DUMMYFUNCTION("IF(E195&gt;AVERAGE(INDEX(GOOGLEFINANCE(B195,""volume"",WORKDAY(TODAY(),-$F$1),TODAY()),,2)),""Breakout"","""")"),"")</f>
        <v/>
      </c>
      <c r="H195" s="16">
        <f>IFERROR(__xludf.DUMMYFUNCTION("GOOGLEFINANCE(B195,""price"")"),520.3)</f>
        <v>520.3</v>
      </c>
      <c r="I195" s="17">
        <f>IFERROR(__xludf.DUMMYFUNCTION("AVERAGE(QUERY(SORT(GOOGLEFINANCE(B195,""price"",TODAY()-365,TODAY()),1,0),""select Col2 limit 10""))"),519.98)</f>
        <v>519.98</v>
      </c>
      <c r="J195" s="17">
        <f>IFERROR(__xludf.DUMMYFUNCTION("AVERAGE(QUERY(SORT(GOOGLEFINANCE(B195,""price"",TODAY()-365,TODAY()),1,0),""select Col2 limit 30""))"),499.32166666666666)</f>
        <v>499.3216667</v>
      </c>
      <c r="K195" s="18">
        <f>IFERROR(__xludf.DUMMYFUNCTION("AVERAGE(QUERY(SORT(GOOGLEFINANCE(B195,""price"",TODAY()-365,TODAY()),1,0),""select Col2 limit 60""))"),489.4341666666666)</f>
        <v>489.4341667</v>
      </c>
      <c r="L195" s="17">
        <f>IFERROR(__xludf.DUMMYFUNCTION("AVERAGE(QUERY(SORT(GOOGLEFINANCE(B195,""price"",TODAY()-365,TODAY()),1,0),""select Col2 limit 90""))"),488.3811111111111)</f>
        <v>488.3811111</v>
      </c>
      <c r="M195" s="17">
        <f>IFERROR(__xludf.DUMMYFUNCTION("AVERAGE(QUERY(SORT(GOOGLEFINANCE(B195,""price"",TODAY()-365,TODAY()),1,0),""select Col2 limit 120""))"),494.23041666666654)</f>
        <v>494.2304167</v>
      </c>
      <c r="N195" s="19">
        <f>IFERROR(__xludf.DUMMYFUNCTION("AVERAGE(QUERY(SORT(GOOGLEFINANCE(B195,""price"",TODAY()-365,TODAY()),1,0),""select Col2 limit 200""))"),507.6337499999999)</f>
        <v>507.63375</v>
      </c>
      <c r="O195" s="20" t="str">
        <f t="shared" si="2"/>
        <v>Avoid</v>
      </c>
      <c r="P195" s="21" t="str">
        <f t="shared" si="3"/>
        <v/>
      </c>
      <c r="Q195" s="21" t="str">
        <f t="shared" si="4"/>
        <v/>
      </c>
      <c r="R195" s="22">
        <f>IFERROR(__xludf.DUMMYFUNCTION("GOOGLEFINANCE(B195, ""pe"")
"),52.29)</f>
        <v>52.29</v>
      </c>
    </row>
    <row r="196">
      <c r="A196" s="9" t="s">
        <v>209</v>
      </c>
      <c r="B196" s="11" t="str">
        <f t="shared" si="1"/>
        <v>NSE:INDUSTOWER</v>
      </c>
      <c r="C196" s="12">
        <f>IFERROR(__xludf.DUMMYFUNCTION("GOOGLEFINANCE(B196,""marketcap"")/10000000"),102351.5964896)</f>
        <v>102351.5965</v>
      </c>
      <c r="D196" s="13">
        <f>IFERROR(__xludf.DUMMYFUNCTION("GOOGLEFINANCE(B196,""price"")"),388.1)</f>
        <v>388.1</v>
      </c>
      <c r="E196" s="14">
        <f>IFERROR(__xludf.DUMMYFUNCTION("GOOGLEFINANCE(B196,""Volume"")"),1486172.0)</f>
        <v>1486172</v>
      </c>
      <c r="F196" s="14">
        <f t="array" ref="F196">F195</f>
        <v>14</v>
      </c>
      <c r="G196" s="15" t="str">
        <f>IFERROR(__xludf.DUMMYFUNCTION("IF(E196&gt;AVERAGE(INDEX(GOOGLEFINANCE(B196,""volume"",WORKDAY(TODAY(),-$F$1),TODAY()),,2)),""Breakout"","""")"),"")</f>
        <v/>
      </c>
      <c r="H196" s="16">
        <f>IFERROR(__xludf.DUMMYFUNCTION("GOOGLEFINANCE(B196,""price"")"),388.1)</f>
        <v>388.1</v>
      </c>
      <c r="I196" s="17">
        <f>IFERROR(__xludf.DUMMYFUNCTION("AVERAGE(QUERY(SORT(GOOGLEFINANCE(B196,""price"",TODAY()-365,TODAY()),1,0),""select Col2 limit 10""))"),402.755)</f>
        <v>402.755</v>
      </c>
      <c r="J196" s="17">
        <f>IFERROR(__xludf.DUMMYFUNCTION("AVERAGE(QUERY(SORT(GOOGLEFINANCE(B196,""price"",TODAY()-365,TODAY()),1,0),""select Col2 limit 30""))"),406.61166666666657)</f>
        <v>406.6116667</v>
      </c>
      <c r="K196" s="18">
        <f>IFERROR(__xludf.DUMMYFUNCTION("AVERAGE(QUERY(SORT(GOOGLEFINANCE(B196,""price"",TODAY()-365,TODAY()),1,0),""select Col2 limit 60""))"),397.1333333333333)</f>
        <v>397.1333333</v>
      </c>
      <c r="L196" s="17">
        <f>IFERROR(__xludf.DUMMYFUNCTION("AVERAGE(QUERY(SORT(GOOGLEFINANCE(B196,""price"",TODAY()-365,TODAY()),1,0),""select Col2 limit 90""))"),387.77111111111105)</f>
        <v>387.7711111</v>
      </c>
      <c r="M196" s="17">
        <f>IFERROR(__xludf.DUMMYFUNCTION("AVERAGE(QUERY(SORT(GOOGLEFINANCE(B196,""price"",TODAY()-365,TODAY()),1,0),""select Col2 limit 120""))"),375.8233333333333)</f>
        <v>375.8233333</v>
      </c>
      <c r="N196" s="19">
        <f>IFERROR(__xludf.DUMMYFUNCTION("AVERAGE(QUERY(SORT(GOOGLEFINANCE(B196,""price"",TODAY()-365,TODAY()),1,0),""select Col2 limit 200""))"),365.04549999999995)</f>
        <v>365.0455</v>
      </c>
      <c r="O196" s="20" t="str">
        <f t="shared" si="2"/>
        <v>Avoid</v>
      </c>
      <c r="P196" s="21" t="str">
        <f t="shared" si="3"/>
        <v/>
      </c>
      <c r="Q196" s="21" t="str">
        <f t="shared" si="4"/>
        <v/>
      </c>
      <c r="R196" s="22">
        <f>IFERROR(__xludf.DUMMYFUNCTION("GOOGLEFINANCE(B196, ""pe"")
"),15.51)</f>
        <v>15.51</v>
      </c>
    </row>
    <row r="197">
      <c r="A197" s="9" t="s">
        <v>210</v>
      </c>
      <c r="B197" s="11" t="str">
        <f t="shared" si="1"/>
        <v>NSE:HEROMOTOCO</v>
      </c>
      <c r="C197" s="12">
        <f>IFERROR(__xludf.DUMMYFUNCTION("GOOGLEFINANCE(B197,""marketcap"")/10000000"),85750.6919385)</f>
        <v>85750.69194</v>
      </c>
      <c r="D197" s="13">
        <f>IFERROR(__xludf.DUMMYFUNCTION("GOOGLEFINANCE(B197,""price"")"),4292.9)</f>
        <v>4292.9</v>
      </c>
      <c r="E197" s="14">
        <f>IFERROR(__xludf.DUMMYFUNCTION("GOOGLEFINANCE(B197,""Volume"")"),178450.0)</f>
        <v>178450</v>
      </c>
      <c r="F197" s="14">
        <f t="array" ref="F197">F196</f>
        <v>14</v>
      </c>
      <c r="G197" s="15" t="str">
        <f>IFERROR(__xludf.DUMMYFUNCTION("IF(E197&gt;AVERAGE(INDEX(GOOGLEFINANCE(B197,""volume"",WORKDAY(TODAY(),-$F$1),TODAY()),,2)),""Breakout"","""")"),"")</f>
        <v/>
      </c>
      <c r="H197" s="16">
        <f>IFERROR(__xludf.DUMMYFUNCTION("GOOGLEFINANCE(B197,""price"")"),4292.9)</f>
        <v>4292.9</v>
      </c>
      <c r="I197" s="17">
        <f>IFERROR(__xludf.DUMMYFUNCTION("AVERAGE(QUERY(SORT(GOOGLEFINANCE(B197,""price"",TODAY()-365,TODAY()),1,0),""select Col2 limit 10""))"),4361.74)</f>
        <v>4361.74</v>
      </c>
      <c r="J197" s="17">
        <f>IFERROR(__xludf.DUMMYFUNCTION("AVERAGE(QUERY(SORT(GOOGLEFINANCE(B197,""price"",TODAY()-365,TODAY()),1,0),""select Col2 limit 30""))"),4324.04)</f>
        <v>4324.04</v>
      </c>
      <c r="K197" s="18">
        <f>IFERROR(__xludf.DUMMYFUNCTION("AVERAGE(QUERY(SORT(GOOGLEFINANCE(B197,""price"",TODAY()-365,TODAY()),1,0),""select Col2 limit 60""))"),4263.289999999999)</f>
        <v>4263.29</v>
      </c>
      <c r="L197" s="17">
        <f>IFERROR(__xludf.DUMMYFUNCTION("AVERAGE(QUERY(SORT(GOOGLEFINANCE(B197,""price"",TODAY()-365,TODAY()),1,0),""select Col2 limit 90""))"),4084.199444444446)</f>
        <v>4084.199444</v>
      </c>
      <c r="M197" s="17">
        <f>IFERROR(__xludf.DUMMYFUNCTION("AVERAGE(QUERY(SORT(GOOGLEFINANCE(B197,""price"",TODAY()-365,TODAY()),1,0),""select Col2 limit 120""))"),4036.9208333333345)</f>
        <v>4036.920833</v>
      </c>
      <c r="N197" s="19">
        <f>IFERROR(__xludf.DUMMYFUNCTION("AVERAGE(QUERY(SORT(GOOGLEFINANCE(B197,""price"",TODAY()-365,TODAY()),1,0),""select Col2 limit 200""))"),4278.5099999999975)</f>
        <v>4278.51</v>
      </c>
      <c r="O197" s="20" t="str">
        <f t="shared" si="2"/>
        <v>Avoid</v>
      </c>
      <c r="P197" s="21" t="str">
        <f t="shared" si="3"/>
        <v>30 DMA</v>
      </c>
      <c r="Q197" s="21" t="str">
        <f t="shared" si="4"/>
        <v/>
      </c>
      <c r="R197" s="22">
        <f>IFERROR(__xludf.DUMMYFUNCTION("GOOGLEFINANCE(B197, ""pe"")
"),19.62)</f>
        <v>19.62</v>
      </c>
    </row>
    <row r="198">
      <c r="A198" s="9" t="s">
        <v>211</v>
      </c>
      <c r="B198" s="11" t="str">
        <f t="shared" si="1"/>
        <v>NSE:BAJAJHLDNG</v>
      </c>
      <c r="C198" s="12">
        <f>IFERROR(__xludf.DUMMYFUNCTION("GOOGLEFINANCE(B198,""marketcap"")/10000000"),156890.44695)</f>
        <v>156890.447</v>
      </c>
      <c r="D198" s="13">
        <f>IFERROR(__xludf.DUMMYFUNCTION("GOOGLEFINANCE(B198,""price"")"),14010.0)</f>
        <v>14010</v>
      </c>
      <c r="E198" s="14">
        <f>IFERROR(__xludf.DUMMYFUNCTION("GOOGLEFINANCE(B198,""Volume"")"),18847.0)</f>
        <v>18847</v>
      </c>
      <c r="F198" s="14">
        <f t="array" ref="F198">F197</f>
        <v>14</v>
      </c>
      <c r="G198" s="15" t="str">
        <f>IFERROR(__xludf.DUMMYFUNCTION("IF(E198&gt;AVERAGE(INDEX(GOOGLEFINANCE(B198,""volume"",WORKDAY(TODAY(),-$F$1),TODAY()),,2)),""Breakout"","""")"),"")</f>
        <v/>
      </c>
      <c r="H198" s="16">
        <f>IFERROR(__xludf.DUMMYFUNCTION("GOOGLEFINANCE(B198,""price"")"),14010.0)</f>
        <v>14010</v>
      </c>
      <c r="I198" s="17">
        <f>IFERROR(__xludf.DUMMYFUNCTION("AVERAGE(QUERY(SORT(GOOGLEFINANCE(B198,""price"",TODAY()-365,TODAY()),1,0),""select Col2 limit 10""))"),13981.3)</f>
        <v>13981.3</v>
      </c>
      <c r="J198" s="17">
        <f>IFERROR(__xludf.DUMMYFUNCTION("AVERAGE(QUERY(SORT(GOOGLEFINANCE(B198,""price"",TODAY()-365,TODAY()),1,0),""select Col2 limit 30""))"),14010.7)</f>
        <v>14010.7</v>
      </c>
      <c r="K198" s="18">
        <f>IFERROR(__xludf.DUMMYFUNCTION("AVERAGE(QUERY(SORT(GOOGLEFINANCE(B198,""price"",TODAY()-365,TODAY()),1,0),""select Col2 limit 60""))"),13404.333333333334)</f>
        <v>13404.33333</v>
      </c>
      <c r="L198" s="17">
        <f>IFERROR(__xludf.DUMMYFUNCTION("AVERAGE(QUERY(SORT(GOOGLEFINANCE(B198,""price"",TODAY()-365,TODAY()),1,0),""select Col2 limit 90""))"),12875.929444444444)</f>
        <v>12875.92944</v>
      </c>
      <c r="M198" s="17">
        <f>IFERROR(__xludf.DUMMYFUNCTION("AVERAGE(QUERY(SORT(GOOGLEFINANCE(B198,""price"",TODAY()-365,TODAY()),1,0),""select Col2 limit 120""))"),12567.116666666667)</f>
        <v>12567.11667</v>
      </c>
      <c r="N198" s="19">
        <f>IFERROR(__xludf.DUMMYFUNCTION("AVERAGE(QUERY(SORT(GOOGLEFINANCE(B198,""price"",TODAY()-365,TODAY()),1,0),""select Col2 limit 200""))"),11849.2615)</f>
        <v>11849.2615</v>
      </c>
      <c r="O198" s="20" t="str">
        <f t="shared" si="2"/>
        <v>Avoid</v>
      </c>
      <c r="P198" s="21" t="str">
        <f t="shared" si="3"/>
        <v>30 DMA</v>
      </c>
      <c r="Q198" s="21" t="str">
        <f t="shared" si="4"/>
        <v/>
      </c>
      <c r="R198" s="22">
        <f>IFERROR(__xludf.DUMMYFUNCTION("GOOGLEFINANCE(B198, ""pe"")
"),24.03)</f>
        <v>24.03</v>
      </c>
    </row>
    <row r="199">
      <c r="A199" s="9" t="s">
        <v>212</v>
      </c>
      <c r="B199" s="11" t="str">
        <f t="shared" si="1"/>
        <v>NSE:IDEA</v>
      </c>
      <c r="C199" s="12">
        <f>IFERROR(__xludf.DUMMYFUNCTION("GOOGLEFINANCE(B199,""marketcap"")/10000000"),78547.9026763)</f>
        <v>78547.90268</v>
      </c>
      <c r="D199" s="13">
        <f>IFERROR(__xludf.DUMMYFUNCTION("GOOGLEFINANCE(B199,""price"")"),7.27)</f>
        <v>7.27</v>
      </c>
      <c r="E199" s="14">
        <f>IFERROR(__xludf.DUMMYFUNCTION("GOOGLEFINANCE(B199,""Volume"")"),2.27747784E8)</f>
        <v>227747784</v>
      </c>
      <c r="F199" s="14">
        <f t="array" ref="F199">F198</f>
        <v>14</v>
      </c>
      <c r="G199" s="15" t="str">
        <f>IFERROR(__xludf.DUMMYFUNCTION("IF(E199&gt;AVERAGE(INDEX(GOOGLEFINANCE(B199,""volume"",WORKDAY(TODAY(),-$F$1),TODAY()),,2)),""Breakout"","""")"),"")</f>
        <v/>
      </c>
      <c r="H199" s="16">
        <f>IFERROR(__xludf.DUMMYFUNCTION("GOOGLEFINANCE(B199,""price"")"),7.27)</f>
        <v>7.27</v>
      </c>
      <c r="I199" s="17">
        <f>IFERROR(__xludf.DUMMYFUNCTION("AVERAGE(QUERY(SORT(GOOGLEFINANCE(B199,""price"",TODAY()-365,TODAY()),1,0),""select Col2 limit 10""))"),7.572999999999999)</f>
        <v>7.573</v>
      </c>
      <c r="J199" s="17">
        <f>IFERROR(__xludf.DUMMYFUNCTION("AVERAGE(QUERY(SORT(GOOGLEFINANCE(B199,""price"",TODAY()-365,TODAY()),1,0),""select Col2 limit 30""))"),7.240666666666668)</f>
        <v>7.240666667</v>
      </c>
      <c r="K199" s="18">
        <f>IFERROR(__xludf.DUMMYFUNCTION("AVERAGE(QUERY(SORT(GOOGLEFINANCE(B199,""price"",TODAY()-365,TODAY()),1,0),""select Col2 limit 60""))"),7.077)</f>
        <v>7.077</v>
      </c>
      <c r="L199" s="17">
        <f>IFERROR(__xludf.DUMMYFUNCTION("AVERAGE(QUERY(SORT(GOOGLEFINANCE(B199,""price"",TODAY()-365,TODAY()),1,0),""select Col2 limit 90""))"),7.1961111111111125)</f>
        <v>7.196111111</v>
      </c>
      <c r="M199" s="17">
        <f>IFERROR(__xludf.DUMMYFUNCTION("AVERAGE(QUERY(SORT(GOOGLEFINANCE(B199,""price"",TODAY()-365,TODAY()),1,0),""select Col2 limit 120""))"),7.45325)</f>
        <v>7.45325</v>
      </c>
      <c r="N199" s="19">
        <f>IFERROR(__xludf.DUMMYFUNCTION("AVERAGE(QUERY(SORT(GOOGLEFINANCE(B199,""price"",TODAY()-365,TODAY()),1,0),""select Col2 limit 200""))"),7.76885)</f>
        <v>7.76885</v>
      </c>
      <c r="O199" s="20" t="str">
        <f t="shared" si="2"/>
        <v>Avoid</v>
      </c>
      <c r="P199" s="21" t="str">
        <f t="shared" si="3"/>
        <v/>
      </c>
      <c r="Q199" s="21" t="str">
        <f t="shared" si="4"/>
        <v/>
      </c>
      <c r="R199" s="22" t="str">
        <f>IFERROR(__xludf.DUMMYFUNCTION("GOOGLEFINANCE(B199, ""pe"")
"),"#N/A")</f>
        <v>#N/A</v>
      </c>
    </row>
    <row r="200">
      <c r="A200" s="9" t="s">
        <v>213</v>
      </c>
      <c r="B200" s="11" t="str">
        <f t="shared" si="1"/>
        <v>NSE:NHPC</v>
      </c>
      <c r="C200" s="12">
        <f>IFERROR(__xludf.DUMMYFUNCTION("GOOGLEFINANCE(B200,""marketcap"")/10000000"),84569.1100223)</f>
        <v>84569.11002</v>
      </c>
      <c r="D200" s="13">
        <f>IFERROR(__xludf.DUMMYFUNCTION("GOOGLEFINANCE(B200,""price"")"),84.41)</f>
        <v>84.41</v>
      </c>
      <c r="E200" s="14">
        <f>IFERROR(__xludf.DUMMYFUNCTION("GOOGLEFINANCE(B200,""Volume"")"),4581291.0)</f>
        <v>4581291</v>
      </c>
      <c r="F200" s="14">
        <f t="array" ref="F200">F199</f>
        <v>14</v>
      </c>
      <c r="G200" s="15" t="str">
        <f>IFERROR(__xludf.DUMMYFUNCTION("IF(E200&gt;AVERAGE(INDEX(GOOGLEFINANCE(B200,""volume"",WORKDAY(TODAY(),-$F$1),TODAY()),,2)),""Breakout"","""")"),"")</f>
        <v/>
      </c>
      <c r="H200" s="16">
        <f>IFERROR(__xludf.DUMMYFUNCTION("GOOGLEFINANCE(B200,""price"")"),84.41)</f>
        <v>84.41</v>
      </c>
      <c r="I200" s="17">
        <f>IFERROR(__xludf.DUMMYFUNCTION("AVERAGE(QUERY(SORT(GOOGLEFINANCE(B200,""price"",TODAY()-365,TODAY()),1,0),""select Col2 limit 10""))"),86.999)</f>
        <v>86.999</v>
      </c>
      <c r="J200" s="17">
        <f>IFERROR(__xludf.DUMMYFUNCTION("AVERAGE(QUERY(SORT(GOOGLEFINANCE(B200,""price"",TODAY()-365,TODAY()),1,0),""select Col2 limit 30""))"),85.86966666666667)</f>
        <v>85.86966667</v>
      </c>
      <c r="K200" s="18">
        <f>IFERROR(__xludf.DUMMYFUNCTION("AVERAGE(QUERY(SORT(GOOGLEFINANCE(B200,""price"",TODAY()-365,TODAY()),1,0),""select Col2 limit 60""))"),86.112)</f>
        <v>86.112</v>
      </c>
      <c r="L200" s="17">
        <f>IFERROR(__xludf.DUMMYFUNCTION("AVERAGE(QUERY(SORT(GOOGLEFINANCE(B200,""price"",TODAY()-365,TODAY()),1,0),""select Col2 limit 90""))"),85.41355555555553)</f>
        <v>85.41355556</v>
      </c>
      <c r="M200" s="17">
        <f>IFERROR(__xludf.DUMMYFUNCTION("AVERAGE(QUERY(SORT(GOOGLEFINANCE(B200,""price"",TODAY()-365,TODAY()),1,0),""select Col2 limit 120""))"),83.11524999999996)</f>
        <v>83.11525</v>
      </c>
      <c r="N200" s="19">
        <f>IFERROR(__xludf.DUMMYFUNCTION("AVERAGE(QUERY(SORT(GOOGLEFINANCE(B200,""price"",TODAY()-365,TODAY()),1,0),""select Col2 limit 200""))"),82.65259999999996)</f>
        <v>82.6526</v>
      </c>
      <c r="O200" s="20" t="str">
        <f t="shared" si="2"/>
        <v>Avoid</v>
      </c>
      <c r="P200" s="21" t="str">
        <f t="shared" si="3"/>
        <v/>
      </c>
      <c r="Q200" s="21" t="str">
        <f t="shared" si="4"/>
        <v/>
      </c>
      <c r="R200" s="22">
        <f>IFERROR(__xludf.DUMMYFUNCTION("GOOGLEFINANCE(B200, ""pe"")
"),28.21)</f>
        <v>28.21</v>
      </c>
    </row>
    <row r="201">
      <c r="A201" s="9" t="s">
        <v>214</v>
      </c>
      <c r="B201" s="11" t="str">
        <f t="shared" si="1"/>
        <v>NSE:SHRIRAMFIN</v>
      </c>
      <c r="C201" s="12">
        <f>IFERROR(__xludf.DUMMYFUNCTION("GOOGLEFINANCE(B201,""marketcap"")/10000000"),119071.1009382)</f>
        <v>119071.1009</v>
      </c>
      <c r="D201" s="13">
        <f>IFERROR(__xludf.DUMMYFUNCTION("GOOGLEFINANCE(B201,""price"")"),631.7)</f>
        <v>631.7</v>
      </c>
      <c r="E201" s="14">
        <f>IFERROR(__xludf.DUMMYFUNCTION("GOOGLEFINANCE(B201,""Volume"")"),7804467.0)</f>
        <v>7804467</v>
      </c>
      <c r="F201" s="14">
        <f t="array" ref="F201">F200</f>
        <v>14</v>
      </c>
      <c r="G201" s="15" t="str">
        <f>IFERROR(__xludf.DUMMYFUNCTION("IF(E201&gt;AVERAGE(INDEX(GOOGLEFINANCE(B201,""volume"",WORKDAY(TODAY(),-$F$1),TODAY()),,2)),""Breakout"","""")"),"Breakout")</f>
        <v>Breakout</v>
      </c>
      <c r="H201" s="16">
        <f>IFERROR(__xludf.DUMMYFUNCTION("GOOGLEFINANCE(B201,""price"")"),631.7)</f>
        <v>631.7</v>
      </c>
      <c r="I201" s="17">
        <f>IFERROR(__xludf.DUMMYFUNCTION("AVERAGE(QUERY(SORT(GOOGLEFINANCE(B201,""price"",TODAY()-365,TODAY()),1,0),""select Col2 limit 10""))"),665.17)</f>
        <v>665.17</v>
      </c>
      <c r="J201" s="17">
        <f>IFERROR(__xludf.DUMMYFUNCTION("AVERAGE(QUERY(SORT(GOOGLEFINANCE(B201,""price"",TODAY()-365,TODAY()),1,0),""select Col2 limit 30""))"),674.9166666666667)</f>
        <v>674.9166667</v>
      </c>
      <c r="K201" s="18">
        <f>IFERROR(__xludf.DUMMYFUNCTION("AVERAGE(QUERY(SORT(GOOGLEFINANCE(B201,""price"",TODAY()-365,TODAY()),1,0),""select Col2 limit 60""))"),660.7216666666665)</f>
        <v>660.7216667</v>
      </c>
      <c r="L201" s="17">
        <f>IFERROR(__xludf.DUMMYFUNCTION("AVERAGE(QUERY(SORT(GOOGLEFINANCE(B201,""price"",TODAY()-365,TODAY()),1,0),""select Col2 limit 90""))"),658.6061111111111)</f>
        <v>658.6061111</v>
      </c>
      <c r="M201" s="17">
        <f>IFERROR(__xludf.DUMMYFUNCTION("AVERAGE(QUERY(SORT(GOOGLEFINANCE(B201,""price"",TODAY()-365,TODAY()),1,0),""select Col2 limit 120""))"),632.8620833333333)</f>
        <v>632.8620833</v>
      </c>
      <c r="N201" s="19">
        <f>IFERROR(__xludf.DUMMYFUNCTION("AVERAGE(QUERY(SORT(GOOGLEFINANCE(B201,""price"",TODAY()-365,TODAY()),1,0),""select Col2 limit 200""))"),628.0277)</f>
        <v>628.0277</v>
      </c>
      <c r="O201" s="20" t="str">
        <f t="shared" si="2"/>
        <v>Sell Below 200 DMA</v>
      </c>
      <c r="P201" s="21" t="str">
        <f t="shared" si="3"/>
        <v>120 DMA</v>
      </c>
      <c r="Q201" s="21" t="str">
        <f t="shared" si="4"/>
        <v/>
      </c>
      <c r="R201" s="22">
        <f>IFERROR(__xludf.DUMMYFUNCTION("GOOGLEFINANCE(B201, ""pe"")
"),12.66)</f>
        <v>12.66</v>
      </c>
    </row>
    <row r="202">
      <c r="A202" s="9" t="s">
        <v>215</v>
      </c>
      <c r="B202" s="11" t="str">
        <f t="shared" si="1"/>
        <v>NSE:MAZDOCK</v>
      </c>
      <c r="C202" s="12">
        <f>IFERROR(__xludf.DUMMYFUNCTION("GOOGLEFINANCE(B202,""marketcap"")/10000000"),114269.5166976)</f>
        <v>114269.5167</v>
      </c>
      <c r="D202" s="13">
        <f>IFERROR(__xludf.DUMMYFUNCTION("GOOGLEFINANCE(B202,""price"")"),2825.8)</f>
        <v>2825.8</v>
      </c>
      <c r="E202" s="14">
        <f>IFERROR(__xludf.DUMMYFUNCTION("GOOGLEFINANCE(B202,""Volume"")"),899439.0)</f>
        <v>899439</v>
      </c>
      <c r="F202" s="14">
        <f t="array" ref="F202">F201</f>
        <v>14</v>
      </c>
      <c r="G202" s="15" t="str">
        <f>IFERROR(__xludf.DUMMYFUNCTION("IF(E202&gt;AVERAGE(INDEX(GOOGLEFINANCE(B202,""volume"",WORKDAY(TODAY(),-$F$1),TODAY()),,2)),""Breakout"","""")"),"")</f>
        <v/>
      </c>
      <c r="H202" s="16">
        <f>IFERROR(__xludf.DUMMYFUNCTION("GOOGLEFINANCE(B202,""price"")"),2825.8)</f>
        <v>2825.8</v>
      </c>
      <c r="I202" s="17">
        <f>IFERROR(__xludf.DUMMYFUNCTION("AVERAGE(QUERY(SORT(GOOGLEFINANCE(B202,""price"",TODAY()-365,TODAY()),1,0),""select Col2 limit 10""))"),3000.58)</f>
        <v>3000.58</v>
      </c>
      <c r="J202" s="17">
        <f>IFERROR(__xludf.DUMMYFUNCTION("AVERAGE(QUERY(SORT(GOOGLEFINANCE(B202,""price"",TODAY()-365,TODAY()),1,0),""select Col2 limit 30""))"),3168.043333333333)</f>
        <v>3168.043333</v>
      </c>
      <c r="K202" s="18">
        <f>IFERROR(__xludf.DUMMYFUNCTION("AVERAGE(QUERY(SORT(GOOGLEFINANCE(B202,""price"",TODAY()-365,TODAY()),1,0),""select Col2 limit 60""))"),3235.75)</f>
        <v>3235.75</v>
      </c>
      <c r="L202" s="17">
        <f>IFERROR(__xludf.DUMMYFUNCTION("AVERAGE(QUERY(SORT(GOOGLEFINANCE(B202,""price"",TODAY()-365,TODAY()),1,0),""select Col2 limit 90""))"),3039.1749999999993)</f>
        <v>3039.175</v>
      </c>
      <c r="M202" s="17">
        <f>IFERROR(__xludf.DUMMYFUNCTION("AVERAGE(QUERY(SORT(GOOGLEFINANCE(B202,""price"",TODAY()-365,TODAY()),1,0),""select Col2 limit 120""))"),2830.5945833333335)</f>
        <v>2830.594583</v>
      </c>
      <c r="N202" s="19">
        <f>IFERROR(__xludf.DUMMYFUNCTION("AVERAGE(QUERY(SORT(GOOGLEFINANCE(B202,""price"",TODAY()-365,TODAY()),1,0),""select Col2 limit 200""))"),2585.8731500000004)</f>
        <v>2585.87315</v>
      </c>
      <c r="O202" s="20" t="str">
        <f t="shared" si="2"/>
        <v>Sell Below 200 DMA</v>
      </c>
      <c r="P202" s="21" t="str">
        <f t="shared" si="3"/>
        <v>120 DMA</v>
      </c>
      <c r="Q202" s="21" t="str">
        <f t="shared" si="4"/>
        <v/>
      </c>
      <c r="R202" s="22">
        <f>IFERROR(__xludf.DUMMYFUNCTION("GOOGLEFINANCE(B202, ""pe"")
"),47.23)</f>
        <v>47.23</v>
      </c>
    </row>
    <row r="203">
      <c r="A203" s="9" t="s">
        <v>216</v>
      </c>
      <c r="B203" s="11" t="str">
        <f t="shared" si="1"/>
        <v>NSE:CGPOWER</v>
      </c>
      <c r="C203" s="12">
        <f>IFERROR(__xludf.DUMMYFUNCTION("GOOGLEFINANCE(B203,""marketcap"")/10000000"),103848.3220929)</f>
        <v>103848.3221</v>
      </c>
      <c r="D203" s="13">
        <f>IFERROR(__xludf.DUMMYFUNCTION("GOOGLEFINANCE(B203,""price"")"),660.8)</f>
        <v>660.8</v>
      </c>
      <c r="E203" s="14">
        <f>IFERROR(__xludf.DUMMYFUNCTION("GOOGLEFINANCE(B203,""Volume"")"),1242562.0)</f>
        <v>1242562</v>
      </c>
      <c r="F203" s="14">
        <f t="array" ref="F203">F202</f>
        <v>14</v>
      </c>
      <c r="G203" s="15" t="str">
        <f>IFERROR(__xludf.DUMMYFUNCTION("IF(E203&gt;AVERAGE(INDEX(GOOGLEFINANCE(B203,""volume"",WORKDAY(TODAY(),-$F$1),TODAY()),,2)),""Breakout"","""")"),"")</f>
        <v/>
      </c>
      <c r="H203" s="16">
        <f>IFERROR(__xludf.DUMMYFUNCTION("GOOGLEFINANCE(B203,""price"")"),660.8)</f>
        <v>660.8</v>
      </c>
      <c r="I203" s="17">
        <f>IFERROR(__xludf.DUMMYFUNCTION("AVERAGE(QUERY(SORT(GOOGLEFINANCE(B203,""price"",TODAY()-365,TODAY()),1,0),""select Col2 limit 10""))"),677.485)</f>
        <v>677.485</v>
      </c>
      <c r="J203" s="17">
        <f>IFERROR(__xludf.DUMMYFUNCTION("AVERAGE(QUERY(SORT(GOOGLEFINANCE(B203,""price"",TODAY()-365,TODAY()),1,0),""select Col2 limit 30""))"),677.6016666666668)</f>
        <v>677.6016667</v>
      </c>
      <c r="K203" s="18">
        <f>IFERROR(__xludf.DUMMYFUNCTION("AVERAGE(QUERY(SORT(GOOGLEFINANCE(B203,""price"",TODAY()-365,TODAY()),1,0),""select Col2 limit 60""))"),675.4916666666667)</f>
        <v>675.4916667</v>
      </c>
      <c r="L203" s="17">
        <f>IFERROR(__xludf.DUMMYFUNCTION("AVERAGE(QUERY(SORT(GOOGLEFINANCE(B203,""price"",TODAY()-365,TODAY()),1,0),""select Col2 limit 90""))"),656.8405555555556)</f>
        <v>656.8405556</v>
      </c>
      <c r="M203" s="17">
        <f>IFERROR(__xludf.DUMMYFUNCTION("AVERAGE(QUERY(SORT(GOOGLEFINANCE(B203,""price"",TODAY()-365,TODAY()),1,0),""select Col2 limit 120""))"),642.249166666667)</f>
        <v>642.2491667</v>
      </c>
      <c r="N203" s="19">
        <f>IFERROR(__xludf.DUMMYFUNCTION("AVERAGE(QUERY(SORT(GOOGLEFINANCE(B203,""price"",TODAY()-365,TODAY()),1,0),""select Col2 limit 200""))"),676.9912500000003)</f>
        <v>676.99125</v>
      </c>
      <c r="O203" s="20" t="str">
        <f t="shared" si="2"/>
        <v>Avoid</v>
      </c>
      <c r="P203" s="21" t="str">
        <f t="shared" si="3"/>
        <v/>
      </c>
      <c r="Q203" s="21" t="str">
        <f t="shared" si="4"/>
        <v/>
      </c>
      <c r="R203" s="22">
        <f>IFERROR(__xludf.DUMMYFUNCTION("GOOGLEFINANCE(B203, ""pe"")
"),101.0)</f>
        <v>101</v>
      </c>
    </row>
    <row r="204">
      <c r="A204" s="9" t="s">
        <v>217</v>
      </c>
      <c r="B204" s="11" t="str">
        <f t="shared" si="1"/>
        <v>NSE:BHEL</v>
      </c>
      <c r="C204" s="12">
        <f>IFERROR(__xludf.DUMMYFUNCTION("GOOGLEFINANCE(B204,""marketcap"")/10000000"),83447.6376697)</f>
        <v>83447.63767</v>
      </c>
      <c r="D204" s="13">
        <f>IFERROR(__xludf.DUMMYFUNCTION("GOOGLEFINANCE(B204,""price"")"),239.55)</f>
        <v>239.55</v>
      </c>
      <c r="E204" s="14">
        <f>IFERROR(__xludf.DUMMYFUNCTION("GOOGLEFINANCE(B204,""Volume"")"),1909245.0)</f>
        <v>1909245</v>
      </c>
      <c r="F204" s="14">
        <f t="array" ref="F204">F203</f>
        <v>14</v>
      </c>
      <c r="G204" s="15" t="str">
        <f>IFERROR(__xludf.DUMMYFUNCTION("IF(E204&gt;AVERAGE(INDEX(GOOGLEFINANCE(B204,""volume"",WORKDAY(TODAY(),-$F$1),TODAY()),,2)),""Breakout"","""")"),"")</f>
        <v/>
      </c>
      <c r="H204" s="16">
        <f>IFERROR(__xludf.DUMMYFUNCTION("GOOGLEFINANCE(B204,""price"")"),239.55)</f>
        <v>239.55</v>
      </c>
      <c r="I204" s="17">
        <f>IFERROR(__xludf.DUMMYFUNCTION("AVERAGE(QUERY(SORT(GOOGLEFINANCE(B204,""price"",TODAY()-365,TODAY()),1,0),""select Col2 limit 10""))"),252.05)</f>
        <v>252.05</v>
      </c>
      <c r="J204" s="17">
        <f>IFERROR(__xludf.DUMMYFUNCTION("AVERAGE(QUERY(SORT(GOOGLEFINANCE(B204,""price"",TODAY()-365,TODAY()),1,0),""select Col2 limit 30""))"),256.22333333333336)</f>
        <v>256.2233333</v>
      </c>
      <c r="K204" s="18">
        <f>IFERROR(__xludf.DUMMYFUNCTION("AVERAGE(QUERY(SORT(GOOGLEFINANCE(B204,""price"",TODAY()-365,TODAY()),1,0),""select Col2 limit 60""))"),251.84283333333335)</f>
        <v>251.8428333</v>
      </c>
      <c r="L204" s="17">
        <f>IFERROR(__xludf.DUMMYFUNCTION("AVERAGE(QUERY(SORT(GOOGLEFINANCE(B204,""price"",TODAY()-365,TODAY()),1,0),""select Col2 limit 90""))"),240.35522222222227)</f>
        <v>240.3552222</v>
      </c>
      <c r="M204" s="17">
        <f>IFERROR(__xludf.DUMMYFUNCTION("AVERAGE(QUERY(SORT(GOOGLEFINANCE(B204,""price"",TODAY()-365,TODAY()),1,0),""select Col2 limit 120""))"),229.38700000000009)</f>
        <v>229.387</v>
      </c>
      <c r="N204" s="19">
        <f>IFERROR(__xludf.DUMMYFUNCTION("AVERAGE(QUERY(SORT(GOOGLEFINANCE(B204,""price"",TODAY()-365,TODAY()),1,0),""select Col2 limit 200""))"),231.96850000000003)</f>
        <v>231.9685</v>
      </c>
      <c r="O204" s="20" t="str">
        <f t="shared" si="2"/>
        <v>Avoid</v>
      </c>
      <c r="P204" s="21" t="str">
        <f t="shared" si="3"/>
        <v>90 DMA</v>
      </c>
      <c r="Q204" s="21" t="str">
        <f t="shared" si="4"/>
        <v/>
      </c>
      <c r="R204" s="22">
        <f>IFERROR(__xludf.DUMMYFUNCTION("GOOGLEFINANCE(B204, ""pe"")
"),156.7)</f>
        <v>156.7</v>
      </c>
    </row>
    <row r="205">
      <c r="A205" s="9" t="s">
        <v>218</v>
      </c>
      <c r="B205" s="11" t="str">
        <f t="shared" si="1"/>
        <v>NSE:SHREECEM</v>
      </c>
      <c r="C205" s="12">
        <f>IFERROR(__xludf.DUMMYFUNCTION("GOOGLEFINANCE(B205,""marketcap"")/10000000"),112517.78769)</f>
        <v>112517.7877</v>
      </c>
      <c r="D205" s="13">
        <f>IFERROR(__xludf.DUMMYFUNCTION("GOOGLEFINANCE(B205,""price"")"),31190.0)</f>
        <v>31190</v>
      </c>
      <c r="E205" s="14">
        <f>IFERROR(__xludf.DUMMYFUNCTION("GOOGLEFINANCE(B205,""Volume"")"),10708.0)</f>
        <v>10708</v>
      </c>
      <c r="F205" s="14">
        <f t="array" ref="F205">F204</f>
        <v>14</v>
      </c>
      <c r="G205" s="15" t="str">
        <f>IFERROR(__xludf.DUMMYFUNCTION("IF(E205&gt;AVERAGE(INDEX(GOOGLEFINANCE(B205,""volume"",WORKDAY(TODAY(),-$F$1),TODAY()),,2)),""Breakout"","""")"),"")</f>
        <v/>
      </c>
      <c r="H205" s="16">
        <f>IFERROR(__xludf.DUMMYFUNCTION("GOOGLEFINANCE(B205,""price"")"),31190.0)</f>
        <v>31190</v>
      </c>
      <c r="I205" s="17">
        <f>IFERROR(__xludf.DUMMYFUNCTION("AVERAGE(QUERY(SORT(GOOGLEFINANCE(B205,""price"",TODAY()-365,TODAY()),1,0),""select Col2 limit 10""))"),31346.0)</f>
        <v>31346</v>
      </c>
      <c r="J205" s="17">
        <f>IFERROR(__xludf.DUMMYFUNCTION("AVERAGE(QUERY(SORT(GOOGLEFINANCE(B205,""price"",TODAY()-365,TODAY()),1,0),""select Col2 limit 30""))"),30688.333333333332)</f>
        <v>30688.33333</v>
      </c>
      <c r="K205" s="18">
        <f>IFERROR(__xludf.DUMMYFUNCTION("AVERAGE(QUERY(SORT(GOOGLEFINANCE(B205,""price"",TODAY()-365,TODAY()),1,0),""select Col2 limit 60""))"),30447.083333333332)</f>
        <v>30447.08333</v>
      </c>
      <c r="L205" s="17">
        <f>IFERROR(__xludf.DUMMYFUNCTION("AVERAGE(QUERY(SORT(GOOGLEFINANCE(B205,""price"",TODAY()-365,TODAY()),1,0),""select Col2 limit 90""))"),30299.003333333338)</f>
        <v>30299.00333</v>
      </c>
      <c r="M205" s="17">
        <f>IFERROR(__xludf.DUMMYFUNCTION("AVERAGE(QUERY(SORT(GOOGLEFINANCE(B205,""price"",TODAY()-365,TODAY()),1,0),""select Col2 limit 120""))"),29724.572916666668)</f>
        <v>29724.57292</v>
      </c>
      <c r="N205" s="19">
        <f>IFERROR(__xludf.DUMMYFUNCTION("AVERAGE(QUERY(SORT(GOOGLEFINANCE(B205,""price"",TODAY()-365,TODAY()),1,0),""select Col2 limit 200""))"),28082.430000000004)</f>
        <v>28082.43</v>
      </c>
      <c r="O205" s="20" t="str">
        <f t="shared" si="2"/>
        <v>Avoid</v>
      </c>
      <c r="P205" s="21" t="str">
        <f t="shared" si="3"/>
        <v>10 DMA</v>
      </c>
      <c r="Q205" s="21" t="str">
        <f t="shared" si="4"/>
        <v/>
      </c>
      <c r="R205" s="22">
        <f>IFERROR(__xludf.DUMMYFUNCTION("GOOGLEFINANCE(B205, ""pe"")
"),100.21)</f>
        <v>100.21</v>
      </c>
    </row>
    <row r="206">
      <c r="A206" s="9" t="s">
        <v>219</v>
      </c>
      <c r="B206" s="11" t="str">
        <f t="shared" si="1"/>
        <v>NSE:BOSCHLTD</v>
      </c>
      <c r="C206" s="12">
        <f>IFERROR(__xludf.DUMMYFUNCTION("GOOGLEFINANCE(B206,""marketcap"")/10000000"),112768.85607)</f>
        <v>112768.8561</v>
      </c>
      <c r="D206" s="13">
        <f>IFERROR(__xludf.DUMMYFUNCTION("GOOGLEFINANCE(B206,""price"")"),38220.0)</f>
        <v>38220</v>
      </c>
      <c r="E206" s="14">
        <f>IFERROR(__xludf.DUMMYFUNCTION("GOOGLEFINANCE(B206,""Volume"")"),20392.0)</f>
        <v>20392</v>
      </c>
      <c r="F206" s="14">
        <f t="array" ref="F206">F205</f>
        <v>14</v>
      </c>
      <c r="G206" s="15" t="str">
        <f>IFERROR(__xludf.DUMMYFUNCTION("IF(E206&gt;AVERAGE(INDEX(GOOGLEFINANCE(B206,""volume"",WORKDAY(TODAY(),-$F$1),TODAY()),,2)),""Breakout"","""")"),"")</f>
        <v/>
      </c>
      <c r="H206" s="16">
        <f>IFERROR(__xludf.DUMMYFUNCTION("GOOGLEFINANCE(B206,""price"")"),38220.0)</f>
        <v>38220</v>
      </c>
      <c r="I206" s="17">
        <f>IFERROR(__xludf.DUMMYFUNCTION("AVERAGE(QUERY(SORT(GOOGLEFINANCE(B206,""price"",TODAY()-365,TODAY()),1,0),""select Col2 limit 10""))"),38133.0)</f>
        <v>38133</v>
      </c>
      <c r="J206" s="17">
        <f>IFERROR(__xludf.DUMMYFUNCTION("AVERAGE(QUERY(SORT(GOOGLEFINANCE(B206,""price"",TODAY()-365,TODAY()),1,0),""select Col2 limit 30""))"),35000.5)</f>
        <v>35000.5</v>
      </c>
      <c r="K206" s="18">
        <f>IFERROR(__xludf.DUMMYFUNCTION("AVERAGE(QUERY(SORT(GOOGLEFINANCE(B206,""price"",TODAY()-365,TODAY()),1,0),""select Col2 limit 60""))"),33181.5)</f>
        <v>33181.5</v>
      </c>
      <c r="L206" s="17">
        <f>IFERROR(__xludf.DUMMYFUNCTION("AVERAGE(QUERY(SORT(GOOGLEFINANCE(B206,""price"",TODAY()-365,TODAY()),1,0),""select Col2 limit 90""))"),31375.298333333336)</f>
        <v>31375.29833</v>
      </c>
      <c r="M206" s="17">
        <f>IFERROR(__xludf.DUMMYFUNCTION("AVERAGE(QUERY(SORT(GOOGLEFINANCE(B206,""price"",TODAY()-365,TODAY()),1,0),""select Col2 limit 120""))"),30366.489166666663)</f>
        <v>30366.48917</v>
      </c>
      <c r="N206" s="19">
        <f>IFERROR(__xludf.DUMMYFUNCTION("AVERAGE(QUERY(SORT(GOOGLEFINANCE(B206,""price"",TODAY()-365,TODAY()),1,0),""select Col2 limit 200""))"),32076.490749999997)</f>
        <v>32076.49075</v>
      </c>
      <c r="O206" s="20" t="str">
        <f t="shared" si="2"/>
        <v>Avoid</v>
      </c>
      <c r="P206" s="21" t="str">
        <f t="shared" si="3"/>
        <v/>
      </c>
      <c r="Q206" s="21" t="str">
        <f t="shared" si="4"/>
        <v/>
      </c>
      <c r="R206" s="22">
        <f>IFERROR(__xludf.DUMMYFUNCTION("GOOGLEFINANCE(B206, ""pe"")
"),55.99)</f>
        <v>55.99</v>
      </c>
    </row>
    <row r="207">
      <c r="A207" s="9" t="s">
        <v>220</v>
      </c>
      <c r="B207" s="11" t="str">
        <f t="shared" si="1"/>
        <v>NSE:TORNTPHARM</v>
      </c>
      <c r="C207" s="12">
        <f>IFERROR(__xludf.DUMMYFUNCTION("GOOGLEFINANCE(B207,""marketcap"")/10000000"),122265.217065)</f>
        <v>122265.2171</v>
      </c>
      <c r="D207" s="13">
        <f>IFERROR(__xludf.DUMMYFUNCTION("GOOGLEFINANCE(B207,""price"")"),3610.3)</f>
        <v>3610.3</v>
      </c>
      <c r="E207" s="14">
        <f>IFERROR(__xludf.DUMMYFUNCTION("GOOGLEFINANCE(B207,""Volume"")"),277338.0)</f>
        <v>277338</v>
      </c>
      <c r="F207" s="14">
        <f t="array" ref="F207">F206</f>
        <v>14</v>
      </c>
      <c r="G207" s="15" t="str">
        <f>IFERROR(__xludf.DUMMYFUNCTION("IF(E207&gt;AVERAGE(INDEX(GOOGLEFINANCE(B207,""volume"",WORKDAY(TODAY(),-$F$1),TODAY()),,2)),""Breakout"","""")"),"")</f>
        <v/>
      </c>
      <c r="H207" s="16">
        <f>IFERROR(__xludf.DUMMYFUNCTION("GOOGLEFINANCE(B207,""price"")"),3610.3)</f>
        <v>3610.3</v>
      </c>
      <c r="I207" s="17">
        <f>IFERROR(__xludf.DUMMYFUNCTION("AVERAGE(QUERY(SORT(GOOGLEFINANCE(B207,""price"",TODAY()-365,TODAY()),1,0),""select Col2 limit 10""))"),3503.4900000000002)</f>
        <v>3503.49</v>
      </c>
      <c r="J207" s="17">
        <f>IFERROR(__xludf.DUMMYFUNCTION("AVERAGE(QUERY(SORT(GOOGLEFINANCE(B207,""price"",TODAY()-365,TODAY()),1,0),""select Col2 limit 30""))"),3360.6566666666663)</f>
        <v>3360.656667</v>
      </c>
      <c r="K207" s="18">
        <f>IFERROR(__xludf.DUMMYFUNCTION("AVERAGE(QUERY(SORT(GOOGLEFINANCE(B207,""price"",TODAY()-365,TODAY()),1,0),""select Col2 limit 60""))"),3285.716666666667)</f>
        <v>3285.716667</v>
      </c>
      <c r="L207" s="17">
        <f>IFERROR(__xludf.DUMMYFUNCTION("AVERAGE(QUERY(SORT(GOOGLEFINANCE(B207,""price"",TODAY()-365,TODAY()),1,0),""select Col2 limit 90""))"),3268.6833333333334)</f>
        <v>3268.683333</v>
      </c>
      <c r="M207" s="17">
        <f>IFERROR(__xludf.DUMMYFUNCTION("AVERAGE(QUERY(SORT(GOOGLEFINANCE(B207,""price"",TODAY()-365,TODAY()),1,0),""select Col2 limit 120""))"),3222.5874999999987)</f>
        <v>3222.5875</v>
      </c>
      <c r="N207" s="19">
        <f>IFERROR(__xludf.DUMMYFUNCTION("AVERAGE(QUERY(SORT(GOOGLEFINANCE(B207,""price"",TODAY()-365,TODAY()),1,0),""select Col2 limit 200""))"),3258.6449999999977)</f>
        <v>3258.645</v>
      </c>
      <c r="O207" s="20" t="str">
        <f t="shared" si="2"/>
        <v>Avoid</v>
      </c>
      <c r="P207" s="21" t="str">
        <f t="shared" si="3"/>
        <v/>
      </c>
      <c r="Q207" s="21" t="str">
        <f t="shared" si="4"/>
        <v/>
      </c>
      <c r="R207" s="22">
        <f>IFERROR(__xludf.DUMMYFUNCTION("GOOGLEFINANCE(B207, ""pe"")
"),63.94)</f>
        <v>63.94</v>
      </c>
    </row>
    <row r="208">
      <c r="A208" s="9" t="s">
        <v>221</v>
      </c>
      <c r="B208" s="11" t="str">
        <f t="shared" si="1"/>
        <v>NSE:CUMMINSIND</v>
      </c>
      <c r="C208" s="12">
        <f>IFERROR(__xludf.DUMMYFUNCTION("GOOGLEFINANCE(B208,""marketcap"")/10000000"),97708.1039439)</f>
        <v>97708.10394</v>
      </c>
      <c r="D208" s="13">
        <f>IFERROR(__xludf.DUMMYFUNCTION("GOOGLEFINANCE(B208,""price"")"),3540.4)</f>
        <v>3540.4</v>
      </c>
      <c r="E208" s="14">
        <f>IFERROR(__xludf.DUMMYFUNCTION("GOOGLEFINANCE(B208,""Volume"")"),156334.0)</f>
        <v>156334</v>
      </c>
      <c r="F208" s="14">
        <f t="array" ref="F208">F207</f>
        <v>14</v>
      </c>
      <c r="G208" s="15" t="str">
        <f>IFERROR(__xludf.DUMMYFUNCTION("IF(E208&gt;AVERAGE(INDEX(GOOGLEFINANCE(B208,""volume"",WORKDAY(TODAY(),-$F$1),TODAY()),,2)),""Breakout"","""")"),"")</f>
        <v/>
      </c>
      <c r="H208" s="16">
        <f>IFERROR(__xludf.DUMMYFUNCTION("GOOGLEFINANCE(B208,""price"")"),3540.4)</f>
        <v>3540.4</v>
      </c>
      <c r="I208" s="17">
        <f>IFERROR(__xludf.DUMMYFUNCTION("AVERAGE(QUERY(SORT(GOOGLEFINANCE(B208,""price"",TODAY()-365,TODAY()),1,0),""select Col2 limit 10""))"),3570.9199999999996)</f>
        <v>3570.92</v>
      </c>
      <c r="J208" s="17">
        <f>IFERROR(__xludf.DUMMYFUNCTION("AVERAGE(QUERY(SORT(GOOGLEFINANCE(B208,""price"",TODAY()-365,TODAY()),1,0),""select Col2 limit 30""))"),3432.5733333333333)</f>
        <v>3432.573333</v>
      </c>
      <c r="K208" s="18">
        <f>IFERROR(__xludf.DUMMYFUNCTION("AVERAGE(QUERY(SORT(GOOGLEFINANCE(B208,""price"",TODAY()-365,TODAY()),1,0),""select Col2 limit 60""))"),3255.94)</f>
        <v>3255.94</v>
      </c>
      <c r="L208" s="17">
        <f>IFERROR(__xludf.DUMMYFUNCTION("AVERAGE(QUERY(SORT(GOOGLEFINANCE(B208,""price"",TODAY()-365,TODAY()),1,0),""select Col2 limit 90""))"),3144.894444444445)</f>
        <v>3144.894444</v>
      </c>
      <c r="M208" s="17">
        <f>IFERROR(__xludf.DUMMYFUNCTION("AVERAGE(QUERY(SORT(GOOGLEFINANCE(B208,""price"",TODAY()-365,TODAY()),1,0),""select Col2 limit 120""))"),3066.522500000001)</f>
        <v>3066.5225</v>
      </c>
      <c r="N208" s="19">
        <f>IFERROR(__xludf.DUMMYFUNCTION("AVERAGE(QUERY(SORT(GOOGLEFINANCE(B208,""price"",TODAY()-365,TODAY()),1,0),""select Col2 limit 200""))"),3186.4492500000033)</f>
        <v>3186.44925</v>
      </c>
      <c r="O208" s="20" t="str">
        <f t="shared" si="2"/>
        <v>Avoid</v>
      </c>
      <c r="P208" s="21" t="str">
        <f t="shared" si="3"/>
        <v>10 DMA</v>
      </c>
      <c r="Q208" s="21" t="str">
        <f t="shared" si="4"/>
        <v/>
      </c>
      <c r="R208" s="22">
        <f>IFERROR(__xludf.DUMMYFUNCTION("GOOGLEFINANCE(B208, ""pe"")
"),49.03)</f>
        <v>49.03</v>
      </c>
    </row>
    <row r="209">
      <c r="A209" s="9" t="s">
        <v>222</v>
      </c>
      <c r="B209" s="11" t="str">
        <f t="shared" si="1"/>
        <v>NSE:SOLARINDS</v>
      </c>
      <c r="C209" s="12">
        <f>IFERROR(__xludf.DUMMYFUNCTION("GOOGLEFINANCE(B209,""marketcap"")/10000000"),130613.588476)</f>
        <v>130613.5885</v>
      </c>
      <c r="D209" s="13">
        <f>IFERROR(__xludf.DUMMYFUNCTION("GOOGLEFINANCE(B209,""price"")"),14442.0)</f>
        <v>14442</v>
      </c>
      <c r="E209" s="14">
        <f>IFERROR(__xludf.DUMMYFUNCTION("GOOGLEFINANCE(B209,""Volume"")"),34286.0)</f>
        <v>34286</v>
      </c>
      <c r="F209" s="14">
        <f t="array" ref="F209">F208</f>
        <v>14</v>
      </c>
      <c r="G209" s="15" t="str">
        <f>IFERROR(__xludf.DUMMYFUNCTION("IF(E209&gt;AVERAGE(INDEX(GOOGLEFINANCE(B209,""volume"",WORKDAY(TODAY(),-$F$1),TODAY()),,2)),""Breakout"","""")"),"")</f>
        <v/>
      </c>
      <c r="H209" s="16">
        <f>IFERROR(__xludf.DUMMYFUNCTION("GOOGLEFINANCE(B209,""price"")"),14442.0)</f>
        <v>14442</v>
      </c>
      <c r="I209" s="17">
        <f>IFERROR(__xludf.DUMMYFUNCTION("AVERAGE(QUERY(SORT(GOOGLEFINANCE(B209,""price"",TODAY()-365,TODAY()),1,0),""select Col2 limit 10""))"),14976.9)</f>
        <v>14976.9</v>
      </c>
      <c r="J209" s="17">
        <f>IFERROR(__xludf.DUMMYFUNCTION("AVERAGE(QUERY(SORT(GOOGLEFINANCE(B209,""price"",TODAY()-365,TODAY()),1,0),""select Col2 limit 30""))"),16242.566666666668)</f>
        <v>16242.56667</v>
      </c>
      <c r="K209" s="18">
        <f>IFERROR(__xludf.DUMMYFUNCTION("AVERAGE(QUERY(SORT(GOOGLEFINANCE(B209,""price"",TODAY()-365,TODAY()),1,0),""select Col2 limit 60""))"),15685.416666666666)</f>
        <v>15685.41667</v>
      </c>
      <c r="L209" s="17">
        <f>IFERROR(__xludf.DUMMYFUNCTION("AVERAGE(QUERY(SORT(GOOGLEFINANCE(B209,""price"",TODAY()-365,TODAY()),1,0),""select Col2 limit 90""))"),14326.33388888889)</f>
        <v>14326.33389</v>
      </c>
      <c r="M209" s="17">
        <f>IFERROR(__xludf.DUMMYFUNCTION("AVERAGE(QUERY(SORT(GOOGLEFINANCE(B209,""price"",TODAY()-365,TODAY()),1,0),""select Col2 limit 120""))"),13045.075833333336)</f>
        <v>13045.07583</v>
      </c>
      <c r="N209" s="19">
        <f>IFERROR(__xludf.DUMMYFUNCTION("AVERAGE(QUERY(SORT(GOOGLEFINANCE(B209,""price"",TODAY()-365,TODAY()),1,0),""select Col2 limit 200""))"),11931.87575)</f>
        <v>11931.87575</v>
      </c>
      <c r="O209" s="20" t="str">
        <f t="shared" si="2"/>
        <v>Avoid</v>
      </c>
      <c r="P209" s="21" t="str">
        <f t="shared" si="3"/>
        <v/>
      </c>
      <c r="Q209" s="21" t="str">
        <f t="shared" si="4"/>
        <v/>
      </c>
      <c r="R209" s="22">
        <f>IFERROR(__xludf.DUMMYFUNCTION("GOOGLEFINANCE(B209, ""pe"")
"),108.08)</f>
        <v>108.08</v>
      </c>
    </row>
    <row r="210">
      <c r="A210" s="9" t="s">
        <v>223</v>
      </c>
      <c r="B210" s="11" t="str">
        <f t="shared" si="1"/>
        <v>NSE:POLYCAB</v>
      </c>
      <c r="C210" s="12">
        <f>IFERROR(__xludf.DUMMYFUNCTION("GOOGLEFINANCE(B210,""marketcap"")/10000000"),102622.4906)</f>
        <v>102622.4906</v>
      </c>
      <c r="D210" s="13">
        <f>IFERROR(__xludf.DUMMYFUNCTION("GOOGLEFINANCE(B210,""price"")"),6810.0)</f>
        <v>6810</v>
      </c>
      <c r="E210" s="14">
        <f>IFERROR(__xludf.DUMMYFUNCTION("GOOGLEFINANCE(B210,""Volume"")"),120551.0)</f>
        <v>120551</v>
      </c>
      <c r="F210" s="14">
        <f t="array" ref="F210">F209</f>
        <v>14</v>
      </c>
      <c r="G210" s="15" t="str">
        <f>IFERROR(__xludf.DUMMYFUNCTION("IF(E210&gt;AVERAGE(INDEX(GOOGLEFINANCE(B210,""volume"",WORKDAY(TODAY(),-$F$1),TODAY()),,2)),""Breakout"","""")"),"")</f>
        <v/>
      </c>
      <c r="H210" s="16">
        <f>IFERROR(__xludf.DUMMYFUNCTION("GOOGLEFINANCE(B210,""price"")"),6810.0)</f>
        <v>6810</v>
      </c>
      <c r="I210" s="17">
        <f>IFERROR(__xludf.DUMMYFUNCTION("AVERAGE(QUERY(SORT(GOOGLEFINANCE(B210,""price"",TODAY()-365,TODAY()),1,0),""select Col2 limit 10""))"),6896.4)</f>
        <v>6896.4</v>
      </c>
      <c r="J210" s="17">
        <f>IFERROR(__xludf.DUMMYFUNCTION("AVERAGE(QUERY(SORT(GOOGLEFINANCE(B210,""price"",TODAY()-365,TODAY()),1,0),""select Col2 limit 30""))"),6603.716666666666)</f>
        <v>6603.716667</v>
      </c>
      <c r="K210" s="18">
        <f>IFERROR(__xludf.DUMMYFUNCTION("AVERAGE(QUERY(SORT(GOOGLEFINANCE(B210,""price"",TODAY()-365,TODAY()),1,0),""select Col2 limit 60""))"),6293.791666666667)</f>
        <v>6293.791667</v>
      </c>
      <c r="L210" s="17">
        <f>IFERROR(__xludf.DUMMYFUNCTION("AVERAGE(QUERY(SORT(GOOGLEFINANCE(B210,""price"",TODAY()-365,TODAY()),1,0),""select Col2 limit 90""))"),5947.224444444445)</f>
        <v>5947.224444</v>
      </c>
      <c r="M210" s="17">
        <f>IFERROR(__xludf.DUMMYFUNCTION("AVERAGE(QUERY(SORT(GOOGLEFINANCE(B210,""price"",TODAY()-365,TODAY()),1,0),""select Col2 limit 120""))"),5819.357499999999)</f>
        <v>5819.3575</v>
      </c>
      <c r="N210" s="19">
        <f>IFERROR(__xludf.DUMMYFUNCTION("AVERAGE(QUERY(SORT(GOOGLEFINANCE(B210,""price"",TODAY()-365,TODAY()),1,0),""select Col2 limit 200""))"),6248.715999999998)</f>
        <v>6248.716</v>
      </c>
      <c r="O210" s="20" t="str">
        <f t="shared" si="2"/>
        <v>Avoid</v>
      </c>
      <c r="P210" s="21" t="str">
        <f t="shared" si="3"/>
        <v/>
      </c>
      <c r="Q210" s="21" t="str">
        <f t="shared" si="4"/>
        <v/>
      </c>
      <c r="R210" s="22">
        <f>IFERROR(__xludf.DUMMYFUNCTION("GOOGLEFINANCE(B210, ""pe"")
"),46.39)</f>
        <v>46.39</v>
      </c>
    </row>
    <row r="211">
      <c r="A211" s="9" t="s">
        <v>224</v>
      </c>
      <c r="B211" s="11" t="str">
        <f t="shared" si="1"/>
        <v>NSE:IDBI</v>
      </c>
      <c r="C211" s="12">
        <f>IFERROR(__xludf.DUMMYFUNCTION("GOOGLEFINANCE(B211,""marketcap"")/10000000"),100266.13)</f>
        <v>100266.13</v>
      </c>
      <c r="D211" s="13">
        <f>IFERROR(__xludf.DUMMYFUNCTION("GOOGLEFINANCE(B211,""price"")"),93.45)</f>
        <v>93.45</v>
      </c>
      <c r="E211" s="14">
        <f>IFERROR(__xludf.DUMMYFUNCTION("GOOGLEFINANCE(B211,""Volume"")"),2831026.0)</f>
        <v>2831026</v>
      </c>
      <c r="F211" s="14">
        <f t="array" ref="F211">F210</f>
        <v>14</v>
      </c>
      <c r="G211" s="15" t="str">
        <f>IFERROR(__xludf.DUMMYFUNCTION("IF(E211&gt;AVERAGE(INDEX(GOOGLEFINANCE(B211,""volume"",WORKDAY(TODAY(),-$F$1),TODAY()),,2)),""Breakout"","""")"),"")</f>
        <v/>
      </c>
      <c r="H211" s="16">
        <f>IFERROR(__xludf.DUMMYFUNCTION("GOOGLEFINANCE(B211,""price"")"),93.45)</f>
        <v>93.45</v>
      </c>
      <c r="I211" s="17">
        <f>IFERROR(__xludf.DUMMYFUNCTION("AVERAGE(QUERY(SORT(GOOGLEFINANCE(B211,""price"",TODAY()-365,TODAY()),1,0),""select Col2 limit 10""))"),97.708)</f>
        <v>97.708</v>
      </c>
      <c r="J211" s="17">
        <f>IFERROR(__xludf.DUMMYFUNCTION("AVERAGE(QUERY(SORT(GOOGLEFINANCE(B211,""price"",TODAY()-365,TODAY()),1,0),""select Col2 limit 30""))"),97.46633333333335)</f>
        <v>97.46633333</v>
      </c>
      <c r="K211" s="18">
        <f>IFERROR(__xludf.DUMMYFUNCTION("AVERAGE(QUERY(SORT(GOOGLEFINANCE(B211,""price"",TODAY()-365,TODAY()),1,0),""select Col2 limit 60""))"),94.35350000000001)</f>
        <v>94.3535</v>
      </c>
      <c r="L211" s="17">
        <f>IFERROR(__xludf.DUMMYFUNCTION("AVERAGE(QUERY(SORT(GOOGLEFINANCE(B211,""price"",TODAY()-365,TODAY()),1,0),""select Col2 limit 90""))"),89.33122222222224)</f>
        <v>89.33122222</v>
      </c>
      <c r="M211" s="17">
        <f>IFERROR(__xludf.DUMMYFUNCTION("AVERAGE(QUERY(SORT(GOOGLEFINANCE(B211,""price"",TODAY()-365,TODAY()),1,0),""select Col2 limit 120""))"),85.55258333333335)</f>
        <v>85.55258333</v>
      </c>
      <c r="N211" s="19">
        <f>IFERROR(__xludf.DUMMYFUNCTION("AVERAGE(QUERY(SORT(GOOGLEFINANCE(B211,""price"",TODAY()-365,TODAY()),1,0),""select Col2 limit 200""))"),83.37750000000004)</f>
        <v>83.3775</v>
      </c>
      <c r="O211" s="20" t="str">
        <f t="shared" si="2"/>
        <v>Avoid</v>
      </c>
      <c r="P211" s="21" t="str">
        <f t="shared" si="3"/>
        <v>60 DMA</v>
      </c>
      <c r="Q211" s="21" t="str">
        <f t="shared" si="4"/>
        <v/>
      </c>
      <c r="R211" s="22">
        <f>IFERROR(__xludf.DUMMYFUNCTION("GOOGLEFINANCE(B211, ""pe"")
"),12.69)</f>
        <v>12.69</v>
      </c>
    </row>
    <row r="212">
      <c r="A212" s="9" t="s">
        <v>225</v>
      </c>
      <c r="B212" s="11" t="str">
        <f t="shared" si="1"/>
        <v>NSE:OFSS</v>
      </c>
      <c r="C212" s="12">
        <f>IFERROR(__xludf.DUMMYFUNCTION("GOOGLEFINANCE(B212,""marketcap"")/10000000"),75549.088276)</f>
        <v>75549.08828</v>
      </c>
      <c r="D212" s="13">
        <f>IFERROR(__xludf.DUMMYFUNCTION("GOOGLEFINANCE(B212,""price"")"),8673.5)</f>
        <v>8673.5</v>
      </c>
      <c r="E212" s="14">
        <f>IFERROR(__xludf.DUMMYFUNCTION("GOOGLEFINANCE(B212,""Volume"")"),95887.0)</f>
        <v>95887</v>
      </c>
      <c r="F212" s="14">
        <f t="array" ref="F212">F211</f>
        <v>14</v>
      </c>
      <c r="G212" s="15" t="str">
        <f>IFERROR(__xludf.DUMMYFUNCTION("IF(E212&gt;AVERAGE(INDEX(GOOGLEFINANCE(B212,""volume"",WORKDAY(TODAY(),-$F$1),TODAY()),,2)),""Breakout"","""")"),"")</f>
        <v/>
      </c>
      <c r="H212" s="16">
        <f>IFERROR(__xludf.DUMMYFUNCTION("GOOGLEFINANCE(B212,""price"")"),8673.5)</f>
        <v>8673.5</v>
      </c>
      <c r="I212" s="17">
        <f>IFERROR(__xludf.DUMMYFUNCTION("AVERAGE(QUERY(SORT(GOOGLEFINANCE(B212,""price"",TODAY()-365,TODAY()),1,0),""select Col2 limit 10""))"),8771.4)</f>
        <v>8771.4</v>
      </c>
      <c r="J212" s="17">
        <f>IFERROR(__xludf.DUMMYFUNCTION("AVERAGE(QUERY(SORT(GOOGLEFINANCE(B212,""price"",TODAY()-365,TODAY()),1,0),""select Col2 limit 30""))"),9015.2)</f>
        <v>9015.2</v>
      </c>
      <c r="K212" s="18">
        <f>IFERROR(__xludf.DUMMYFUNCTION("AVERAGE(QUERY(SORT(GOOGLEFINANCE(B212,""price"",TODAY()-365,TODAY()),1,0),""select Col2 limit 60""))"),8824.308333333332)</f>
        <v>8824.308333</v>
      </c>
      <c r="L212" s="17">
        <f>IFERROR(__xludf.DUMMYFUNCTION("AVERAGE(QUERY(SORT(GOOGLEFINANCE(B212,""price"",TODAY()-365,TODAY()),1,0),""select Col2 limit 90""))"),8535.166666666668)</f>
        <v>8535.166667</v>
      </c>
      <c r="M212" s="17">
        <f>IFERROR(__xludf.DUMMYFUNCTION("AVERAGE(QUERY(SORT(GOOGLEFINANCE(B212,""price"",TODAY()-365,TODAY()),1,0),""select Col2 limit 120""))"),8519.471666666668)</f>
        <v>8519.471667</v>
      </c>
      <c r="N212" s="19">
        <f>IFERROR(__xludf.DUMMYFUNCTION("AVERAGE(QUERY(SORT(GOOGLEFINANCE(B212,""price"",TODAY()-365,TODAY()),1,0),""select Col2 limit 200""))"),9714.94)</f>
        <v>9714.94</v>
      </c>
      <c r="O212" s="20" t="str">
        <f t="shared" si="2"/>
        <v>Avoid</v>
      </c>
      <c r="P212" s="21" t="str">
        <f t="shared" si="3"/>
        <v/>
      </c>
      <c r="Q212" s="21" t="str">
        <f t="shared" si="4"/>
        <v/>
      </c>
      <c r="R212" s="22">
        <f>IFERROR(__xludf.DUMMYFUNCTION("GOOGLEFINANCE(B212, ""pe"")
"),31.52)</f>
        <v>31.52</v>
      </c>
    </row>
    <row r="213">
      <c r="A213" s="9" t="s">
        <v>226</v>
      </c>
      <c r="B213" s="11" t="str">
        <f t="shared" si="1"/>
        <v>NSE:JINDALSTEL</v>
      </c>
      <c r="C213" s="12">
        <f>IFERROR(__xludf.DUMMYFUNCTION("GOOGLEFINANCE(B213,""marketcap"")/10000000"),99693.4729979)</f>
        <v>99693.473</v>
      </c>
      <c r="D213" s="13">
        <f>IFERROR(__xludf.DUMMYFUNCTION("GOOGLEFINANCE(B213,""price"")"),979.8)</f>
        <v>979.8</v>
      </c>
      <c r="E213" s="14">
        <f>IFERROR(__xludf.DUMMYFUNCTION("GOOGLEFINANCE(B213,""Volume"")"),704083.0)</f>
        <v>704083</v>
      </c>
      <c r="F213" s="14">
        <f t="array" ref="F213">F212</f>
        <v>14</v>
      </c>
      <c r="G213" s="15" t="str">
        <f>IFERROR(__xludf.DUMMYFUNCTION("IF(E213&gt;AVERAGE(INDEX(GOOGLEFINANCE(B213,""volume"",WORKDAY(TODAY(),-$F$1),TODAY()),,2)),""Breakout"","""")"),"")</f>
        <v/>
      </c>
      <c r="H213" s="16">
        <f>IFERROR(__xludf.DUMMYFUNCTION("GOOGLEFINANCE(B213,""price"")"),979.8)</f>
        <v>979.8</v>
      </c>
      <c r="I213" s="17">
        <f>IFERROR(__xludf.DUMMYFUNCTION("AVERAGE(QUERY(SORT(GOOGLEFINANCE(B213,""price"",TODAY()-365,TODAY()),1,0),""select Col2 limit 10""))"),961.8999999999999)</f>
        <v>961.9</v>
      </c>
      <c r="J213" s="17">
        <f>IFERROR(__xludf.DUMMYFUNCTION("AVERAGE(QUERY(SORT(GOOGLEFINANCE(B213,""price"",TODAY()-365,TODAY()),1,0),""select Col2 limit 30""))"),942.185)</f>
        <v>942.185</v>
      </c>
      <c r="K213" s="18">
        <f>IFERROR(__xludf.DUMMYFUNCTION("AVERAGE(QUERY(SORT(GOOGLEFINANCE(B213,""price"",TODAY()-365,TODAY()),1,0),""select Col2 limit 60""))"),940.5541666666666)</f>
        <v>940.5541667</v>
      </c>
      <c r="L213" s="17">
        <f>IFERROR(__xludf.DUMMYFUNCTION("AVERAGE(QUERY(SORT(GOOGLEFINANCE(B213,""price"",TODAY()-365,TODAY()),1,0),""select Col2 limit 90""))"),922.7688888888889)</f>
        <v>922.7688889</v>
      </c>
      <c r="M213" s="17">
        <f>IFERROR(__xludf.DUMMYFUNCTION("AVERAGE(QUERY(SORT(GOOGLEFINANCE(B213,""price"",TODAY()-365,TODAY()),1,0),""select Col2 limit 120""))"),906.0200000000004)</f>
        <v>906.02</v>
      </c>
      <c r="N213" s="19">
        <f>IFERROR(__xludf.DUMMYFUNCTION("AVERAGE(QUERY(SORT(GOOGLEFINANCE(B213,""price"",TODAY()-365,TODAY()),1,0),""select Col2 limit 200""))"),915.0020000000004)</f>
        <v>915.002</v>
      </c>
      <c r="O213" s="20" t="str">
        <f t="shared" si="2"/>
        <v>Avoid</v>
      </c>
      <c r="P213" s="21" t="str">
        <f t="shared" si="3"/>
        <v/>
      </c>
      <c r="Q213" s="21" t="str">
        <f t="shared" si="4"/>
        <v/>
      </c>
      <c r="R213" s="22">
        <f>IFERROR(__xludf.DUMMYFUNCTION("GOOGLEFINANCE(B213, ""pe"")
"),35.37)</f>
        <v>35.37</v>
      </c>
    </row>
    <row r="214">
      <c r="A214" s="9" t="s">
        <v>227</v>
      </c>
      <c r="B214" s="11" t="str">
        <f t="shared" si="1"/>
        <v>NSE:UNITDSPR</v>
      </c>
      <c r="C214" s="12">
        <f>IFERROR(__xludf.DUMMYFUNCTION("GOOGLEFINANCE(B214,""marketcap"")/10000000"),95421.3516352)</f>
        <v>95421.35164</v>
      </c>
      <c r="D214" s="13">
        <f>IFERROR(__xludf.DUMMYFUNCTION("GOOGLEFINANCE(B214,""price"")"),1313.4)</f>
        <v>1313.4</v>
      </c>
      <c r="E214" s="14">
        <f>IFERROR(__xludf.DUMMYFUNCTION("GOOGLEFINANCE(B214,""Volume"")"),332717.0)</f>
        <v>332717</v>
      </c>
      <c r="F214" s="14">
        <f t="array" ref="F214">F213</f>
        <v>14</v>
      </c>
      <c r="G214" s="15" t="str">
        <f>IFERROR(__xludf.DUMMYFUNCTION("IF(E214&gt;AVERAGE(INDEX(GOOGLEFINANCE(B214,""volume"",WORKDAY(TODAY(),-$F$1),TODAY()),,2)),""Breakout"","""")"),"")</f>
        <v/>
      </c>
      <c r="H214" s="16">
        <f>IFERROR(__xludf.DUMMYFUNCTION("GOOGLEFINANCE(B214,""price"")"),1313.4)</f>
        <v>1313.4</v>
      </c>
      <c r="I214" s="17">
        <f>IFERROR(__xludf.DUMMYFUNCTION("AVERAGE(QUERY(SORT(GOOGLEFINANCE(B214,""price"",TODAY()-365,TODAY()),1,0),""select Col2 limit 10""))"),1355.2000000000003)</f>
        <v>1355.2</v>
      </c>
      <c r="J214" s="17">
        <f>IFERROR(__xludf.DUMMYFUNCTION("AVERAGE(QUERY(SORT(GOOGLEFINANCE(B214,""price"",TODAY()-365,TODAY()),1,0),""select Col2 limit 30""))"),1397.6366666666675)</f>
        <v>1397.636667</v>
      </c>
      <c r="K214" s="18">
        <f>IFERROR(__xludf.DUMMYFUNCTION("AVERAGE(QUERY(SORT(GOOGLEFINANCE(B214,""price"",TODAY()-365,TODAY()),1,0),""select Col2 limit 60""))"),1474.7649999999999)</f>
        <v>1474.765</v>
      </c>
      <c r="L214" s="17">
        <f>IFERROR(__xludf.DUMMYFUNCTION("AVERAGE(QUERY(SORT(GOOGLEFINANCE(B214,""price"",TODAY()-365,TODAY()),1,0),""select Col2 limit 90""))"),1469.0672222222222)</f>
        <v>1469.067222</v>
      </c>
      <c r="M214" s="17">
        <f>IFERROR(__xludf.DUMMYFUNCTION("AVERAGE(QUERY(SORT(GOOGLEFINANCE(B214,""price"",TODAY()-365,TODAY()),1,0),""select Col2 limit 120""))"),1442.8875000000003)</f>
        <v>1442.8875</v>
      </c>
      <c r="N214" s="19">
        <f>IFERROR(__xludf.DUMMYFUNCTION("AVERAGE(QUERY(SORT(GOOGLEFINANCE(B214,""price"",TODAY()-365,TODAY()),1,0),""select Col2 limit 200""))"),1469.0854999999997)</f>
        <v>1469.0855</v>
      </c>
      <c r="O214" s="20" t="str">
        <f t="shared" si="2"/>
        <v>Avoid</v>
      </c>
      <c r="P214" s="21" t="str">
        <f t="shared" si="3"/>
        <v/>
      </c>
      <c r="Q214" s="21" t="str">
        <f t="shared" si="4"/>
        <v/>
      </c>
      <c r="R214" s="22" t="str">
        <f>IFERROR(__xludf.DUMMYFUNCTION("GOOGLEFINANCE(B214, ""pe"")
"),"#N/A")</f>
        <v>#N/A</v>
      </c>
    </row>
    <row r="215">
      <c r="A215" s="9" t="s">
        <v>228</v>
      </c>
      <c r="B215" s="11" t="str">
        <f t="shared" si="1"/>
        <v>NSE:APOLLOHOSP</v>
      </c>
      <c r="C215" s="12">
        <f>IFERROR(__xludf.DUMMYFUNCTION("GOOGLEFINANCE(B215,""marketcap"")/10000000"),106084.27788)</f>
        <v>106084.2779</v>
      </c>
      <c r="D215" s="13">
        <f>IFERROR(__xludf.DUMMYFUNCTION("GOOGLEFINANCE(B215,""price"")"),7380.0)</f>
        <v>7380</v>
      </c>
      <c r="E215" s="14">
        <f>IFERROR(__xludf.DUMMYFUNCTION("GOOGLEFINANCE(B215,""Volume"")"),118558.0)</f>
        <v>118558</v>
      </c>
      <c r="F215" s="14">
        <f t="array" ref="F215">F214</f>
        <v>14</v>
      </c>
      <c r="G215" s="15" t="str">
        <f>IFERROR(__xludf.DUMMYFUNCTION("IF(E215&gt;AVERAGE(INDEX(GOOGLEFINANCE(B215,""volume"",WORKDAY(TODAY(),-$F$1),TODAY()),,2)),""Breakout"","""")"),"")</f>
        <v/>
      </c>
      <c r="H215" s="16">
        <f>IFERROR(__xludf.DUMMYFUNCTION("GOOGLEFINANCE(B215,""price"")"),7380.0)</f>
        <v>7380</v>
      </c>
      <c r="I215" s="17">
        <f>IFERROR(__xludf.DUMMYFUNCTION("AVERAGE(QUERY(SORT(GOOGLEFINANCE(B215,""price"",TODAY()-365,TODAY()),1,0),""select Col2 limit 10""))"),7329.35)</f>
        <v>7329.35</v>
      </c>
      <c r="J215" s="17">
        <f>IFERROR(__xludf.DUMMYFUNCTION("AVERAGE(QUERY(SORT(GOOGLEFINANCE(B215,""price"",TODAY()-365,TODAY()),1,0),""select Col2 limit 30""))"),7279.4)</f>
        <v>7279.4</v>
      </c>
      <c r="K215" s="18">
        <f>IFERROR(__xludf.DUMMYFUNCTION("AVERAGE(QUERY(SORT(GOOGLEFINANCE(B215,""price"",TODAY()-365,TODAY()),1,0),""select Col2 limit 60""))"),7112.65)</f>
        <v>7112.65</v>
      </c>
      <c r="L215" s="17">
        <f>IFERROR(__xludf.DUMMYFUNCTION("AVERAGE(QUERY(SORT(GOOGLEFINANCE(B215,""price"",TODAY()-365,TODAY()),1,0),""select Col2 limit 90""))"),6997.291666666671)</f>
        <v>6997.291667</v>
      </c>
      <c r="M215" s="17">
        <f>IFERROR(__xludf.DUMMYFUNCTION("AVERAGE(QUERY(SORT(GOOGLEFINANCE(B215,""price"",TODAY()-365,TODAY()),1,0),""select Col2 limit 120""))"),6854.267500000003)</f>
        <v>6854.2675</v>
      </c>
      <c r="N215" s="19">
        <f>IFERROR(__xludf.DUMMYFUNCTION("AVERAGE(QUERY(SORT(GOOGLEFINANCE(B215,""price"",TODAY()-365,TODAY()),1,0),""select Col2 limit 200""))"),6930.528500000002)</f>
        <v>6930.5285</v>
      </c>
      <c r="O215" s="20" t="str">
        <f t="shared" si="2"/>
        <v>Avoid</v>
      </c>
      <c r="P215" s="21" t="str">
        <f t="shared" si="3"/>
        <v/>
      </c>
      <c r="Q215" s="21" t="str">
        <f t="shared" si="4"/>
        <v/>
      </c>
      <c r="R215" s="22">
        <f>IFERROR(__xludf.DUMMYFUNCTION("GOOGLEFINANCE(B215, ""pe"")
"),73.4)</f>
        <v>73.4</v>
      </c>
    </row>
    <row r="216">
      <c r="A216" s="9" t="s">
        <v>229</v>
      </c>
      <c r="B216" s="11" t="str">
        <f t="shared" si="1"/>
        <v>NSE:GODREJPROP</v>
      </c>
      <c r="C216" s="12">
        <f>IFERROR(__xludf.DUMMYFUNCTION("GOOGLEFINANCE(B216,""marketcap"")/10000000"),65503.2890962)</f>
        <v>65503.2891</v>
      </c>
      <c r="D216" s="13">
        <f>IFERROR(__xludf.DUMMYFUNCTION("GOOGLEFINANCE(B216,""price"")"),2175.4)</f>
        <v>2175.4</v>
      </c>
      <c r="E216" s="14">
        <f>IFERROR(__xludf.DUMMYFUNCTION("GOOGLEFINANCE(B216,""Volume"")"),842986.0)</f>
        <v>842986</v>
      </c>
      <c r="F216" s="14">
        <f t="array" ref="F216">F215</f>
        <v>14</v>
      </c>
      <c r="G216" s="15" t="str">
        <f>IFERROR(__xludf.DUMMYFUNCTION("IF(E216&gt;AVERAGE(INDEX(GOOGLEFINANCE(B216,""volume"",WORKDAY(TODAY(),-$F$1),TODAY()),,2)),""Breakout"","""")"),"Breakout")</f>
        <v>Breakout</v>
      </c>
      <c r="H216" s="16">
        <f>IFERROR(__xludf.DUMMYFUNCTION("GOOGLEFINANCE(B216,""price"")"),2175.4)</f>
        <v>2175.4</v>
      </c>
      <c r="I216" s="17">
        <f>IFERROR(__xludf.DUMMYFUNCTION("AVERAGE(QUERY(SORT(GOOGLEFINANCE(B216,""price"",TODAY()-365,TODAY()),1,0),""select Col2 limit 10""))"),2316.0)</f>
        <v>2316</v>
      </c>
      <c r="J216" s="17">
        <f>IFERROR(__xludf.DUMMYFUNCTION("AVERAGE(QUERY(SORT(GOOGLEFINANCE(B216,""price"",TODAY()-365,TODAY()),1,0),""select Col2 limit 30""))"),2337.536666666667)</f>
        <v>2337.536667</v>
      </c>
      <c r="K216" s="18">
        <f>IFERROR(__xludf.DUMMYFUNCTION("AVERAGE(QUERY(SORT(GOOGLEFINANCE(B216,""price"",TODAY()-365,TODAY()),1,0),""select Col2 limit 60""))"),2286.57)</f>
        <v>2286.57</v>
      </c>
      <c r="L216" s="17">
        <f>IFERROR(__xludf.DUMMYFUNCTION("AVERAGE(QUERY(SORT(GOOGLEFINANCE(B216,""price"",TODAY()-365,TODAY()),1,0),""select Col2 limit 90""))"),2218.499444444445)</f>
        <v>2218.499444</v>
      </c>
      <c r="M216" s="17">
        <f>IFERROR(__xludf.DUMMYFUNCTION("AVERAGE(QUERY(SORT(GOOGLEFINANCE(B216,""price"",TODAY()-365,TODAY()),1,0),""select Col2 limit 120""))"),2182.850833333334)</f>
        <v>2182.850833</v>
      </c>
      <c r="N216" s="19">
        <f>IFERROR(__xludf.DUMMYFUNCTION("AVERAGE(QUERY(SORT(GOOGLEFINANCE(B216,""price"",TODAY()-365,TODAY()),1,0),""select Col2 limit 200""))"),2413.489000000002)</f>
        <v>2413.489</v>
      </c>
      <c r="O216" s="20" t="str">
        <f t="shared" si="2"/>
        <v>Avoid</v>
      </c>
      <c r="P216" s="21" t="str">
        <f t="shared" si="3"/>
        <v>120 DMA</v>
      </c>
      <c r="Q216" s="21" t="str">
        <f t="shared" si="4"/>
        <v/>
      </c>
      <c r="R216" s="22">
        <f>IFERROR(__xludf.DUMMYFUNCTION("GOOGLEFINANCE(B216, ""pe"")
"),44.37)</f>
        <v>44.37</v>
      </c>
    </row>
    <row r="217">
      <c r="A217" s="9" t="s">
        <v>230</v>
      </c>
      <c r="B217" s="11" t="str">
        <f t="shared" si="1"/>
        <v>NSE:OIL</v>
      </c>
      <c r="C217" s="12">
        <f>IFERROR(__xludf.DUMMYFUNCTION("GOOGLEFINANCE(B217,""marketcap"")/10000000"),70427.9731536)</f>
        <v>70427.97315</v>
      </c>
      <c r="D217" s="13">
        <f>IFERROR(__xludf.DUMMYFUNCTION("GOOGLEFINANCE(B217,""price"")"),432.25)</f>
        <v>432.25</v>
      </c>
      <c r="E217" s="14">
        <f>IFERROR(__xludf.DUMMYFUNCTION("GOOGLEFINANCE(B217,""Volume"")"),515370.0)</f>
        <v>515370</v>
      </c>
      <c r="F217" s="14">
        <f t="array" ref="F217">F216</f>
        <v>14</v>
      </c>
      <c r="G217" s="15" t="str">
        <f>IFERROR(__xludf.DUMMYFUNCTION("IF(E217&gt;AVERAGE(INDEX(GOOGLEFINANCE(B217,""volume"",WORKDAY(TODAY(),-$F$1),TODAY()),,2)),""Breakout"","""")"),"")</f>
        <v/>
      </c>
      <c r="H217" s="16">
        <f>IFERROR(__xludf.DUMMYFUNCTION("GOOGLEFINANCE(B217,""price"")"),432.25)</f>
        <v>432.25</v>
      </c>
      <c r="I217" s="17">
        <f>IFERROR(__xludf.DUMMYFUNCTION("AVERAGE(QUERY(SORT(GOOGLEFINANCE(B217,""price"",TODAY()-365,TODAY()),1,0),""select Col2 limit 10""))"),447.21999999999997)</f>
        <v>447.22</v>
      </c>
      <c r="J217" s="17">
        <f>IFERROR(__xludf.DUMMYFUNCTION("AVERAGE(QUERY(SORT(GOOGLEFINANCE(B217,""price"",TODAY()-365,TODAY()),1,0),""select Col2 limit 30""))"),449.09000000000003)</f>
        <v>449.09</v>
      </c>
      <c r="K217" s="18">
        <f>IFERROR(__xludf.DUMMYFUNCTION("AVERAGE(QUERY(SORT(GOOGLEFINANCE(B217,""price"",TODAY()-365,TODAY()),1,0),""select Col2 limit 60""))"),437.4608333333333)</f>
        <v>437.4608333</v>
      </c>
      <c r="L217" s="17">
        <f>IFERROR(__xludf.DUMMYFUNCTION("AVERAGE(QUERY(SORT(GOOGLEFINANCE(B217,""price"",TODAY()-365,TODAY()),1,0),""select Col2 limit 90""))"),420.1216666666667)</f>
        <v>420.1216667</v>
      </c>
      <c r="M217" s="17">
        <f>IFERROR(__xludf.DUMMYFUNCTION("AVERAGE(QUERY(SORT(GOOGLEFINANCE(B217,""price"",TODAY()-365,TODAY()),1,0),""select Col2 limit 120""))"),412.8141666666668)</f>
        <v>412.8141667</v>
      </c>
      <c r="N217" s="19">
        <f>IFERROR(__xludf.DUMMYFUNCTION("AVERAGE(QUERY(SORT(GOOGLEFINANCE(B217,""price"",TODAY()-365,TODAY()),1,0),""select Col2 limit 200""))"),441.3755000000004)</f>
        <v>441.3755</v>
      </c>
      <c r="O217" s="20" t="str">
        <f t="shared" si="2"/>
        <v>Avoid</v>
      </c>
      <c r="P217" s="21" t="str">
        <f t="shared" si="3"/>
        <v/>
      </c>
      <c r="Q217" s="21" t="str">
        <f t="shared" si="4"/>
        <v/>
      </c>
      <c r="R217" s="22">
        <f>IFERROR(__xludf.DUMMYFUNCTION("GOOGLEFINANCE(B217, ""pe"")
"),10.74)</f>
        <v>10.74</v>
      </c>
    </row>
    <row r="218">
      <c r="A218" s="9" t="s">
        <v>231</v>
      </c>
      <c r="B218" s="11" t="str">
        <f t="shared" si="1"/>
        <v>NSE:ICICIPRULI</v>
      </c>
      <c r="C218" s="12">
        <f>IFERROR(__xludf.DUMMYFUNCTION("GOOGLEFINANCE(B218,""marketcap"")/10000000"),89953.7497755)</f>
        <v>89953.74978</v>
      </c>
      <c r="D218" s="13">
        <f>IFERROR(__xludf.DUMMYFUNCTION("GOOGLEFINANCE(B218,""price"")"),621.45)</f>
        <v>621.45</v>
      </c>
      <c r="E218" s="14">
        <f>IFERROR(__xludf.DUMMYFUNCTION("GOOGLEFINANCE(B218,""Volume"")"),186698.0)</f>
        <v>186698</v>
      </c>
      <c r="F218" s="14">
        <f t="array" ref="F218">F217</f>
        <v>14</v>
      </c>
      <c r="G218" s="15" t="str">
        <f>IFERROR(__xludf.DUMMYFUNCTION("IF(E218&gt;AVERAGE(INDEX(GOOGLEFINANCE(B218,""volume"",WORKDAY(TODAY(),-$F$1),TODAY()),,2)),""Breakout"","""")"),"")</f>
        <v/>
      </c>
      <c r="H218" s="16">
        <f>IFERROR(__xludf.DUMMYFUNCTION("GOOGLEFINANCE(B218,""price"")"),621.45)</f>
        <v>621.45</v>
      </c>
      <c r="I218" s="17">
        <f>IFERROR(__xludf.DUMMYFUNCTION("AVERAGE(QUERY(SORT(GOOGLEFINANCE(B218,""price"",TODAY()-365,TODAY()),1,0),""select Col2 limit 10""))"),639.985)</f>
        <v>639.985</v>
      </c>
      <c r="J218" s="17">
        <f>IFERROR(__xludf.DUMMYFUNCTION("AVERAGE(QUERY(SORT(GOOGLEFINANCE(B218,""price"",TODAY()-365,TODAY()),1,0),""select Col2 limit 30""))"),645.7733333333332)</f>
        <v>645.7733333</v>
      </c>
      <c r="K218" s="18">
        <f>IFERROR(__xludf.DUMMYFUNCTION("AVERAGE(QUERY(SORT(GOOGLEFINANCE(B218,""price"",TODAY()-365,TODAY()),1,0),""select Col2 limit 60""))"),636.4491666666668)</f>
        <v>636.4491667</v>
      </c>
      <c r="L218" s="17">
        <f>IFERROR(__xludf.DUMMYFUNCTION("AVERAGE(QUERY(SORT(GOOGLEFINANCE(B218,""price"",TODAY()-365,TODAY()),1,0),""select Col2 limit 90""))"),617.7977777777778)</f>
        <v>617.7977778</v>
      </c>
      <c r="M218" s="17">
        <f>IFERROR(__xludf.DUMMYFUNCTION("AVERAGE(QUERY(SORT(GOOGLEFINANCE(B218,""price"",TODAY()-365,TODAY()),1,0),""select Col2 limit 120""))"),606.6958333333334)</f>
        <v>606.6958333</v>
      </c>
      <c r="N218" s="19">
        <f>IFERROR(__xludf.DUMMYFUNCTION("AVERAGE(QUERY(SORT(GOOGLEFINANCE(B218,""price"",TODAY()-365,TODAY()),1,0),""select Col2 limit 200""))"),638.7527500000002)</f>
        <v>638.75275</v>
      </c>
      <c r="O218" s="20" t="str">
        <f t="shared" si="2"/>
        <v>Avoid</v>
      </c>
      <c r="P218" s="21" t="str">
        <f t="shared" si="3"/>
        <v/>
      </c>
      <c r="Q218" s="21" t="str">
        <f t="shared" si="4"/>
        <v/>
      </c>
      <c r="R218" s="22">
        <f>IFERROR(__xludf.DUMMYFUNCTION("GOOGLEFINANCE(B218, ""pe"")
"),71.95)</f>
        <v>71.95</v>
      </c>
    </row>
    <row r="219">
      <c r="A219" s="9" t="s">
        <v>232</v>
      </c>
      <c r="B219" s="11" t="str">
        <f t="shared" si="1"/>
        <v>NSE:ICICIGI</v>
      </c>
      <c r="C219" s="12">
        <f>IFERROR(__xludf.DUMMYFUNCTION("GOOGLEFINANCE(B219,""marketcap"")/10000000"),95353.8048)</f>
        <v>95353.8048</v>
      </c>
      <c r="D219" s="13">
        <f>IFERROR(__xludf.DUMMYFUNCTION("GOOGLEFINANCE(B219,""price"")"),1920.0)</f>
        <v>1920</v>
      </c>
      <c r="E219" s="14">
        <f>IFERROR(__xludf.DUMMYFUNCTION("GOOGLEFINANCE(B219,""Volume"")"),102193.0)</f>
        <v>102193</v>
      </c>
      <c r="F219" s="14">
        <f t="array" ref="F219">F218</f>
        <v>14</v>
      </c>
      <c r="G219" s="15" t="str">
        <f>IFERROR(__xludf.DUMMYFUNCTION("IF(E219&gt;AVERAGE(INDEX(GOOGLEFINANCE(B219,""volume"",WORKDAY(TODAY(),-$F$1),TODAY()),,2)),""Breakout"","""")"),"")</f>
        <v/>
      </c>
      <c r="H219" s="16">
        <f>IFERROR(__xludf.DUMMYFUNCTION("GOOGLEFINANCE(B219,""price"")"),1920.0)</f>
        <v>1920</v>
      </c>
      <c r="I219" s="17">
        <f>IFERROR(__xludf.DUMMYFUNCTION("AVERAGE(QUERY(SORT(GOOGLEFINANCE(B219,""price"",TODAY()-365,TODAY()),1,0),""select Col2 limit 10""))"),1953.4399999999998)</f>
        <v>1953.44</v>
      </c>
      <c r="J219" s="17">
        <f>IFERROR(__xludf.DUMMYFUNCTION("AVERAGE(QUERY(SORT(GOOGLEFINANCE(B219,""price"",TODAY()-365,TODAY()),1,0),""select Col2 limit 30""))"),1984.5966666666668)</f>
        <v>1984.596667</v>
      </c>
      <c r="K219" s="18">
        <f>IFERROR(__xludf.DUMMYFUNCTION("AVERAGE(QUERY(SORT(GOOGLEFINANCE(B219,""price"",TODAY()-365,TODAY()),1,0),""select Col2 limit 60""))"),1929.875)</f>
        <v>1929.875</v>
      </c>
      <c r="L219" s="17">
        <f>IFERROR(__xludf.DUMMYFUNCTION("AVERAGE(QUERY(SORT(GOOGLEFINANCE(B219,""price"",TODAY()-365,TODAY()),1,0),""select Col2 limit 90""))"),1887.6505555555555)</f>
        <v>1887.650556</v>
      </c>
      <c r="M219" s="17">
        <f>IFERROR(__xludf.DUMMYFUNCTION("AVERAGE(QUERY(SORT(GOOGLEFINANCE(B219,""price"",TODAY()-365,TODAY()),1,0),""select Col2 limit 120""))"),1852.6862500000004)</f>
        <v>1852.68625</v>
      </c>
      <c r="N219" s="19">
        <f>IFERROR(__xludf.DUMMYFUNCTION("AVERAGE(QUERY(SORT(GOOGLEFINANCE(B219,""price"",TODAY()-365,TODAY()),1,0),""select Col2 limit 200""))"),1876.5192500000005)</f>
        <v>1876.51925</v>
      </c>
      <c r="O219" s="20" t="str">
        <f t="shared" si="2"/>
        <v>Avoid</v>
      </c>
      <c r="P219" s="21" t="str">
        <f t="shared" si="3"/>
        <v>60 DMA</v>
      </c>
      <c r="Q219" s="21" t="str">
        <f t="shared" si="4"/>
        <v/>
      </c>
      <c r="R219" s="22">
        <f>IFERROR(__xludf.DUMMYFUNCTION("GOOGLEFINANCE(B219, ""pe"")
"),35.87)</f>
        <v>35.87</v>
      </c>
    </row>
    <row r="220">
      <c r="A220" s="9" t="s">
        <v>233</v>
      </c>
      <c r="B220" s="11" t="str">
        <f t="shared" si="1"/>
        <v>NSE:NAUKRI</v>
      </c>
      <c r="C220" s="12">
        <f>IFERROR(__xludf.DUMMYFUNCTION("GOOGLEFINANCE(B220,""marketcap"")/10000000"),91398.1197274)</f>
        <v>91398.11973</v>
      </c>
      <c r="D220" s="13">
        <f>IFERROR(__xludf.DUMMYFUNCTION("GOOGLEFINANCE(B220,""price"")"),1412.4)</f>
        <v>1412.4</v>
      </c>
      <c r="E220" s="14">
        <f>IFERROR(__xludf.DUMMYFUNCTION("GOOGLEFINANCE(B220,""Volume"")"),484780.0)</f>
        <v>484780</v>
      </c>
      <c r="F220" s="14">
        <f t="array" ref="F220">F219</f>
        <v>14</v>
      </c>
      <c r="G220" s="15" t="str">
        <f>IFERROR(__xludf.DUMMYFUNCTION("IF(E220&gt;AVERAGE(INDEX(GOOGLEFINANCE(B220,""volume"",WORKDAY(TODAY(),-$F$1),TODAY()),,2)),""Breakout"","""")"),"")</f>
        <v/>
      </c>
      <c r="H220" s="16">
        <f>IFERROR(__xludf.DUMMYFUNCTION("GOOGLEFINANCE(B220,""price"")"),1412.4)</f>
        <v>1412.4</v>
      </c>
      <c r="I220" s="17">
        <f>IFERROR(__xludf.DUMMYFUNCTION("AVERAGE(QUERY(SORT(GOOGLEFINANCE(B220,""price"",TODAY()-365,TODAY()),1,0),""select Col2 limit 10""))"),1416.7)</f>
        <v>1416.7</v>
      </c>
      <c r="J220" s="17">
        <f>IFERROR(__xludf.DUMMYFUNCTION("AVERAGE(QUERY(SORT(GOOGLEFINANCE(B220,""price"",TODAY()-365,TODAY()),1,0),""select Col2 limit 30""))"),1451.6100000000001)</f>
        <v>1451.61</v>
      </c>
      <c r="K220" s="18">
        <f>IFERROR(__xludf.DUMMYFUNCTION("AVERAGE(QUERY(SORT(GOOGLEFINANCE(B220,""price"",TODAY()-365,TODAY()),1,0),""select Col2 limit 60""))"),1453.4200000000003)</f>
        <v>1453.42</v>
      </c>
      <c r="L220" s="17">
        <f>IFERROR(__xludf.DUMMYFUNCTION("AVERAGE(QUERY(SORT(GOOGLEFINANCE(B220,""price"",TODAY()-365,TODAY()),1,0),""select Col2 limit 90""))"),1426.401555555556)</f>
        <v>1426.401556</v>
      </c>
      <c r="M220" s="17">
        <f>IFERROR(__xludf.DUMMYFUNCTION("AVERAGE(QUERY(SORT(GOOGLEFINANCE(B220,""price"",TODAY()-365,TODAY()),1,0),""select Col2 limit 120""))"),1435.8941666666672)</f>
        <v>1435.894167</v>
      </c>
      <c r="N220" s="19">
        <f>IFERROR(__xludf.DUMMYFUNCTION("AVERAGE(QUERY(SORT(GOOGLEFINANCE(B220,""price"",TODAY()-365,TODAY()),1,0),""select Col2 limit 200""))"),1508.5768499999997)</f>
        <v>1508.57685</v>
      </c>
      <c r="O220" s="20" t="str">
        <f t="shared" si="2"/>
        <v>Avoid</v>
      </c>
      <c r="P220" s="21" t="str">
        <f t="shared" si="3"/>
        <v>10 DMA</v>
      </c>
      <c r="Q220" s="21" t="str">
        <f t="shared" si="4"/>
        <v>10 DMA cross best</v>
      </c>
      <c r="R220" s="22">
        <f>IFERROR(__xludf.DUMMYFUNCTION("GOOGLEFINANCE(B220, ""pe"")
"),71.43)</f>
        <v>71.43</v>
      </c>
    </row>
    <row r="221">
      <c r="A221" s="9" t="s">
        <v>234</v>
      </c>
      <c r="B221" s="11" t="str">
        <f t="shared" si="1"/>
        <v>NSE:MAXHEALTH</v>
      </c>
      <c r="C221" s="12">
        <f>IFERROR(__xludf.DUMMYFUNCTION("GOOGLEFINANCE(B221,""marketcap"")/10000000"),121158.6604308)</f>
        <v>121158.6604</v>
      </c>
      <c r="D221" s="13">
        <f>IFERROR(__xludf.DUMMYFUNCTION("GOOGLEFINANCE(B221,""price"")"),1251.4)</f>
        <v>1251.4</v>
      </c>
      <c r="E221" s="14">
        <f>IFERROR(__xludf.DUMMYFUNCTION("GOOGLEFINANCE(B221,""Volume"")"),1332244.0)</f>
        <v>1332244</v>
      </c>
      <c r="F221" s="14">
        <f t="array" ref="F221">F220</f>
        <v>14</v>
      </c>
      <c r="G221" s="15" t="str">
        <f>IFERROR(__xludf.DUMMYFUNCTION("IF(E221&gt;AVERAGE(INDEX(GOOGLEFINANCE(B221,""volume"",WORKDAY(TODAY(),-$F$1),TODAY()),,2)),""Breakout"","""")"),"")</f>
        <v/>
      </c>
      <c r="H221" s="16">
        <f>IFERROR(__xludf.DUMMYFUNCTION("GOOGLEFINANCE(B221,""price"")"),1251.4)</f>
        <v>1251.4</v>
      </c>
      <c r="I221" s="17">
        <f>IFERROR(__xludf.DUMMYFUNCTION("AVERAGE(QUERY(SORT(GOOGLEFINANCE(B221,""price"",TODAY()-365,TODAY()),1,0),""select Col2 limit 10""))"),1247.65)</f>
        <v>1247.65</v>
      </c>
      <c r="J221" s="17">
        <f>IFERROR(__xludf.DUMMYFUNCTION("AVERAGE(QUERY(SORT(GOOGLEFINANCE(B221,""price"",TODAY()-365,TODAY()),1,0),""select Col2 limit 30""))"),1247.85)</f>
        <v>1247.85</v>
      </c>
      <c r="K221" s="18">
        <f>IFERROR(__xludf.DUMMYFUNCTION("AVERAGE(QUERY(SORT(GOOGLEFINANCE(B221,""price"",TODAY()-365,TODAY()),1,0),""select Col2 limit 60""))"),1204.7283333333328)</f>
        <v>1204.728333</v>
      </c>
      <c r="L221" s="17">
        <f>IFERROR(__xludf.DUMMYFUNCTION("AVERAGE(QUERY(SORT(GOOGLEFINANCE(B221,""price"",TODAY()-365,TODAY()),1,0),""select Col2 limit 90""))"),1169.9677777777772)</f>
        <v>1169.967778</v>
      </c>
      <c r="M221" s="17">
        <f>IFERROR(__xludf.DUMMYFUNCTION("AVERAGE(QUERY(SORT(GOOGLEFINANCE(B221,""price"",TODAY()-365,TODAY()),1,0),""select Col2 limit 120""))"),1135.6199999999994)</f>
        <v>1135.62</v>
      </c>
      <c r="N221" s="19">
        <f>IFERROR(__xludf.DUMMYFUNCTION("AVERAGE(QUERY(SORT(GOOGLEFINANCE(B221,""price"",TODAY()-365,TODAY()),1,0),""select Col2 limit 200""))"),1102.4367500000003)</f>
        <v>1102.43675</v>
      </c>
      <c r="O221" s="20" t="str">
        <f t="shared" si="2"/>
        <v>Avoid</v>
      </c>
      <c r="P221" s="21" t="str">
        <f t="shared" si="3"/>
        <v/>
      </c>
      <c r="Q221" s="21" t="str">
        <f t="shared" si="4"/>
        <v/>
      </c>
      <c r="R221" s="22">
        <f>IFERROR(__xludf.DUMMYFUNCTION("GOOGLEFINANCE(B221, ""pe"")
"),113.63)</f>
        <v>113.63</v>
      </c>
    </row>
    <row r="222">
      <c r="A222" s="9" t="s">
        <v>235</v>
      </c>
      <c r="B222" s="11" t="str">
        <f t="shared" si="1"/>
        <v>NSE:HDFCAMC</v>
      </c>
      <c r="C222" s="12">
        <f>IFERROR(__xludf.DUMMYFUNCTION("GOOGLEFINANCE(B222,""marketcap"")/10000000"),120180.064725)</f>
        <v>120180.0647</v>
      </c>
      <c r="D222" s="13">
        <f>IFERROR(__xludf.DUMMYFUNCTION("GOOGLEFINANCE(B222,""price"")"),5619.5)</f>
        <v>5619.5</v>
      </c>
      <c r="E222" s="14">
        <f>IFERROR(__xludf.DUMMYFUNCTION("GOOGLEFINANCE(B222,""Volume"")"),255581.0)</f>
        <v>255581</v>
      </c>
      <c r="F222" s="14">
        <f t="array" ref="F222">F221</f>
        <v>14</v>
      </c>
      <c r="G222" s="15" t="str">
        <f>IFERROR(__xludf.DUMMYFUNCTION("IF(E222&gt;AVERAGE(INDEX(GOOGLEFINANCE(B222,""volume"",WORKDAY(TODAY(),-$F$1),TODAY()),,2)),""Breakout"","""")"),"")</f>
        <v/>
      </c>
      <c r="H222" s="16">
        <f>IFERROR(__xludf.DUMMYFUNCTION("GOOGLEFINANCE(B222,""price"")"),5619.5)</f>
        <v>5619.5</v>
      </c>
      <c r="I222" s="17">
        <f>IFERROR(__xludf.DUMMYFUNCTION("AVERAGE(QUERY(SORT(GOOGLEFINANCE(B222,""price"",TODAY()-365,TODAY()),1,0),""select Col2 limit 10""))"),5475.65)</f>
        <v>5475.65</v>
      </c>
      <c r="J222" s="17">
        <f>IFERROR(__xludf.DUMMYFUNCTION("AVERAGE(QUERY(SORT(GOOGLEFINANCE(B222,""price"",TODAY()-365,TODAY()),1,0),""select Col2 limit 30""))"),5195.6433333333325)</f>
        <v>5195.643333</v>
      </c>
      <c r="K222" s="18">
        <f>IFERROR(__xludf.DUMMYFUNCTION("AVERAGE(QUERY(SORT(GOOGLEFINANCE(B222,""price"",TODAY()-365,TODAY()),1,0),""select Col2 limit 60""))"),4976.136666666666)</f>
        <v>4976.136667</v>
      </c>
      <c r="L222" s="17">
        <f>IFERROR(__xludf.DUMMYFUNCTION("AVERAGE(QUERY(SORT(GOOGLEFINANCE(B222,""price"",TODAY()-365,TODAY()),1,0),""select Col2 limit 90""))"),4692.7633333333315)</f>
        <v>4692.763333</v>
      </c>
      <c r="M222" s="17">
        <f>IFERROR(__xludf.DUMMYFUNCTION("AVERAGE(QUERY(SORT(GOOGLEFINANCE(B222,""price"",TODAY()-365,TODAY()),1,0),""select Col2 limit 120""))"),4467.132083333331)</f>
        <v>4467.132083</v>
      </c>
      <c r="N222" s="19">
        <f>IFERROR(__xludf.DUMMYFUNCTION("AVERAGE(QUERY(SORT(GOOGLEFINANCE(B222,""price"",TODAY()-365,TODAY()),1,0),""select Col2 limit 200""))"),4388.428499999998)</f>
        <v>4388.4285</v>
      </c>
      <c r="O222" s="20" t="str">
        <f t="shared" si="2"/>
        <v>Avoid</v>
      </c>
      <c r="P222" s="21" t="str">
        <f t="shared" si="3"/>
        <v/>
      </c>
      <c r="Q222" s="21" t="str">
        <f t="shared" si="4"/>
        <v/>
      </c>
      <c r="R222" s="22">
        <f>IFERROR(__xludf.DUMMYFUNCTION("GOOGLEFINANCE(B222, ""pe"")
"),46.23)</f>
        <v>46.23</v>
      </c>
    </row>
    <row r="223">
      <c r="A223" s="9" t="s">
        <v>236</v>
      </c>
      <c r="B223" s="11" t="str">
        <f t="shared" si="1"/>
        <v>NSE:MARICO</v>
      </c>
      <c r="C223" s="12">
        <f>IFERROR(__xludf.DUMMYFUNCTION("GOOGLEFINANCE(B223,""marketcap"")/10000000"),91196.5414876)</f>
        <v>91196.54149</v>
      </c>
      <c r="D223" s="13">
        <f>IFERROR(__xludf.DUMMYFUNCTION("GOOGLEFINANCE(B223,""price"")"),702.05)</f>
        <v>702.05</v>
      </c>
      <c r="E223" s="14">
        <f>IFERROR(__xludf.DUMMYFUNCTION("GOOGLEFINANCE(B223,""Volume"")"),1054661.0)</f>
        <v>1054661</v>
      </c>
      <c r="F223" s="14">
        <f t="array" ref="F223">F222</f>
        <v>14</v>
      </c>
      <c r="G223" s="15" t="str">
        <f>IFERROR(__xludf.DUMMYFUNCTION("IF(E223&gt;AVERAGE(INDEX(GOOGLEFINANCE(B223,""volume"",WORKDAY(TODAY(),-$F$1),TODAY()),,2)),""Breakout"","""")"),"")</f>
        <v/>
      </c>
      <c r="H223" s="16">
        <f>IFERROR(__xludf.DUMMYFUNCTION("GOOGLEFINANCE(B223,""price"")"),702.05)</f>
        <v>702.05</v>
      </c>
      <c r="I223" s="17">
        <f>IFERROR(__xludf.DUMMYFUNCTION("AVERAGE(QUERY(SORT(GOOGLEFINANCE(B223,""price"",TODAY()-365,TODAY()),1,0),""select Col2 limit 10""))"),720.885)</f>
        <v>720.885</v>
      </c>
      <c r="J223" s="17">
        <f>IFERROR(__xludf.DUMMYFUNCTION("AVERAGE(QUERY(SORT(GOOGLEFINANCE(B223,""price"",TODAY()-365,TODAY()),1,0),""select Col2 limit 30""))"),715.1516666666666)</f>
        <v>715.1516667</v>
      </c>
      <c r="K223" s="18">
        <f>IFERROR(__xludf.DUMMYFUNCTION("AVERAGE(QUERY(SORT(GOOGLEFINANCE(B223,""price"",TODAY()-365,TODAY()),1,0),""select Col2 limit 60""))"),713.7508333333335)</f>
        <v>713.7508333</v>
      </c>
      <c r="L223" s="17">
        <f>IFERROR(__xludf.DUMMYFUNCTION("AVERAGE(QUERY(SORT(GOOGLEFINANCE(B223,""price"",TODAY()-365,TODAY()),1,0),""select Col2 limit 90""))"),700.5066666666668)</f>
        <v>700.5066667</v>
      </c>
      <c r="M223" s="17">
        <f>IFERROR(__xludf.DUMMYFUNCTION("AVERAGE(QUERY(SORT(GOOGLEFINANCE(B223,""price"",TODAY()-365,TODAY()),1,0),""select Col2 limit 120""))"),683.2295833333335)</f>
        <v>683.2295833</v>
      </c>
      <c r="N223" s="19">
        <f>IFERROR(__xludf.DUMMYFUNCTION("AVERAGE(QUERY(SORT(GOOGLEFINANCE(B223,""price"",TODAY()-365,TODAY()),1,0),""select Col2 limit 200""))"),668.258)</f>
        <v>668.258</v>
      </c>
      <c r="O223" s="20" t="str">
        <f t="shared" si="2"/>
        <v>Avoid</v>
      </c>
      <c r="P223" s="21" t="str">
        <f t="shared" si="3"/>
        <v/>
      </c>
      <c r="Q223" s="21" t="str">
        <f t="shared" si="4"/>
        <v/>
      </c>
      <c r="R223" s="22">
        <f>IFERROR(__xludf.DUMMYFUNCTION("GOOGLEFINANCE(B223, ""pe"")
"),55.87)</f>
        <v>55.87</v>
      </c>
    </row>
    <row r="224">
      <c r="A224" s="9" t="s">
        <v>237</v>
      </c>
      <c r="B224" s="11" t="str">
        <f t="shared" si="1"/>
        <v>NSE:MANKIND</v>
      </c>
      <c r="C224" s="12">
        <f>IFERROR(__xludf.DUMMYFUNCTION("GOOGLEFINANCE(B224,""marketcap"")/10000000"),105311.8591225)</f>
        <v>105311.8591</v>
      </c>
      <c r="D224" s="13">
        <f>IFERROR(__xludf.DUMMYFUNCTION("GOOGLEFINANCE(B224,""price"")"),2550.5)</f>
        <v>2550.5</v>
      </c>
      <c r="E224" s="14">
        <f>IFERROR(__xludf.DUMMYFUNCTION("GOOGLEFINANCE(B224,""Volume"")"),133500.0)</f>
        <v>133500</v>
      </c>
      <c r="F224" s="14">
        <f t="array" ref="F224">F223</f>
        <v>14</v>
      </c>
      <c r="G224" s="15" t="str">
        <f>IFERROR(__xludf.DUMMYFUNCTION("IF(E224&gt;AVERAGE(INDEX(GOOGLEFINANCE(B224,""volume"",WORKDAY(TODAY(),-$F$1),TODAY()),,2)),""Breakout"","""")"),"")</f>
        <v/>
      </c>
      <c r="H224" s="16">
        <f>IFERROR(__xludf.DUMMYFUNCTION("GOOGLEFINANCE(B224,""price"")"),2550.5)</f>
        <v>2550.5</v>
      </c>
      <c r="I224" s="17">
        <f>IFERROR(__xludf.DUMMYFUNCTION("AVERAGE(QUERY(SORT(GOOGLEFINANCE(B224,""price"",TODAY()-365,TODAY()),1,0),""select Col2 limit 10""))"),2637.3)</f>
        <v>2637.3</v>
      </c>
      <c r="J224" s="17">
        <f>IFERROR(__xludf.DUMMYFUNCTION("AVERAGE(QUERY(SORT(GOOGLEFINANCE(B224,""price"",TODAY()-365,TODAY()),1,0),""select Col2 limit 30""))"),2463.5333333333333)</f>
        <v>2463.533333</v>
      </c>
      <c r="K224" s="18">
        <f>IFERROR(__xludf.DUMMYFUNCTION("AVERAGE(QUERY(SORT(GOOGLEFINANCE(B224,""price"",TODAY()-365,TODAY()),1,0),""select Col2 limit 60""))"),2453.7816666666663)</f>
        <v>2453.781667</v>
      </c>
      <c r="L224" s="17">
        <f>IFERROR(__xludf.DUMMYFUNCTION("AVERAGE(QUERY(SORT(GOOGLEFINANCE(B224,""price"",TODAY()-365,TODAY()),1,0),""select Col2 limit 90""))"),2443.6705555555554)</f>
        <v>2443.670556</v>
      </c>
      <c r="M224" s="17">
        <f>IFERROR(__xludf.DUMMYFUNCTION("AVERAGE(QUERY(SORT(GOOGLEFINANCE(B224,""price"",TODAY()-365,TODAY()),1,0),""select Col2 limit 120""))"),2425.5495833333325)</f>
        <v>2425.549583</v>
      </c>
      <c r="N224" s="19">
        <f>IFERROR(__xludf.DUMMYFUNCTION("AVERAGE(QUERY(SORT(GOOGLEFINANCE(B224,""price"",TODAY()-365,TODAY()),1,0),""select Col2 limit 200""))"),2522.0822500000004)</f>
        <v>2522.08225</v>
      </c>
      <c r="O224" s="20" t="str">
        <f t="shared" si="2"/>
        <v>Avoid</v>
      </c>
      <c r="P224" s="21" t="str">
        <f t="shared" si="3"/>
        <v/>
      </c>
      <c r="Q224" s="21" t="str">
        <f t="shared" si="4"/>
        <v/>
      </c>
      <c r="R224" s="22">
        <f>IFERROR(__xludf.DUMMYFUNCTION("GOOGLEFINANCE(B224, ""pe"")
"),51.96)</f>
        <v>51.96</v>
      </c>
    </row>
    <row r="225">
      <c r="A225" s="9" t="s">
        <v>238</v>
      </c>
      <c r="B225" s="11" t="str">
        <f t="shared" si="1"/>
        <v>NSE:COLPAL</v>
      </c>
      <c r="C225" s="12">
        <f>IFERROR(__xludf.DUMMYFUNCTION("GOOGLEFINANCE(B225,""marketcap"")/10000000"),60951.97296)</f>
        <v>60951.97296</v>
      </c>
      <c r="D225" s="13">
        <f>IFERROR(__xludf.DUMMYFUNCTION("GOOGLEFINANCE(B225,""price"")"),2239.0)</f>
        <v>2239</v>
      </c>
      <c r="E225" s="14">
        <f>IFERROR(__xludf.DUMMYFUNCTION("GOOGLEFINANCE(B225,""Volume"")"),367732.0)</f>
        <v>367732</v>
      </c>
      <c r="F225" s="14">
        <f t="array" ref="F225">F224</f>
        <v>14</v>
      </c>
      <c r="G225" s="15" t="str">
        <f>IFERROR(__xludf.DUMMYFUNCTION("IF(E225&gt;AVERAGE(INDEX(GOOGLEFINANCE(B225,""volume"",WORKDAY(TODAY(),-$F$1),TODAY()),,2)),""Breakout"","""")"),"#N/A")</f>
        <v>#N/A</v>
      </c>
      <c r="H225" s="16">
        <f>IFERROR(__xludf.DUMMYFUNCTION("GOOGLEFINANCE(B225,""price"")"),2239.0)</f>
        <v>2239</v>
      </c>
      <c r="I225" s="17">
        <f>IFERROR(__xludf.DUMMYFUNCTION("AVERAGE(QUERY(SORT(GOOGLEFINANCE(B225,""price"",TODAY()-365,TODAY()),1,0),""select Col2 limit 10""))"),2348.5800000000004)</f>
        <v>2348.58</v>
      </c>
      <c r="J225" s="17">
        <f>IFERROR(__xludf.DUMMYFUNCTION("AVERAGE(QUERY(SORT(GOOGLEFINANCE(B225,""price"",TODAY()-365,TODAY()),1,0),""select Col2 limit 30""))"),2391.6266666666666)</f>
        <v>2391.626667</v>
      </c>
      <c r="K225" s="18">
        <f>IFERROR(__xludf.DUMMYFUNCTION("AVERAGE(QUERY(SORT(GOOGLEFINANCE(B225,""price"",TODAY()-365,TODAY()),1,0),""select Col2 limit 60""))"),2462.6349999999998)</f>
        <v>2462.635</v>
      </c>
      <c r="L225" s="17">
        <f>IFERROR(__xludf.DUMMYFUNCTION("AVERAGE(QUERY(SORT(GOOGLEFINANCE(B225,""price"",TODAY()-365,TODAY()),1,0),""select Col2 limit 90""))"),2473.0011111111107)</f>
        <v>2473.001111</v>
      </c>
      <c r="M225" s="17">
        <f>IFERROR(__xludf.DUMMYFUNCTION("AVERAGE(QUERY(SORT(GOOGLEFINANCE(B225,""price"",TODAY()-365,TODAY()),1,0),""select Col2 limit 120""))"),2486.8174999999997)</f>
        <v>2486.8175</v>
      </c>
      <c r="N225" s="19">
        <f>IFERROR(__xludf.DUMMYFUNCTION("AVERAGE(QUERY(SORT(GOOGLEFINANCE(B225,""price"",TODAY()-365,TODAY()),1,0),""select Col2 limit 200""))"),2673.254750000001)</f>
        <v>2673.25475</v>
      </c>
      <c r="O225" s="20" t="str">
        <f t="shared" si="2"/>
        <v>Avoid</v>
      </c>
      <c r="P225" s="21" t="str">
        <f t="shared" si="3"/>
        <v/>
      </c>
      <c r="Q225" s="21" t="str">
        <f t="shared" si="4"/>
        <v/>
      </c>
      <c r="R225" s="22">
        <f>IFERROR(__xludf.DUMMYFUNCTION("GOOGLEFINANCE(B225, ""pe"")
"),43.75)</f>
        <v>43.75</v>
      </c>
    </row>
    <row r="226">
      <c r="A226" s="9" t="s">
        <v>239</v>
      </c>
      <c r="B226" s="11" t="str">
        <f t="shared" si="1"/>
        <v>NSE:INDHOTEL</v>
      </c>
      <c r="C226" s="12">
        <f>IFERROR(__xludf.DUMMYFUNCTION("GOOGLEFINANCE(B226,""marketcap"")/10000000"),106842.8024448)</f>
        <v>106842.8024</v>
      </c>
      <c r="D226" s="13">
        <f>IFERROR(__xludf.DUMMYFUNCTION("GOOGLEFINANCE(B226,""price"")"),749.35)</f>
        <v>749.35</v>
      </c>
      <c r="E226" s="14">
        <f>IFERROR(__xludf.DUMMYFUNCTION("GOOGLEFINANCE(B226,""Volume"")"),1296788.0)</f>
        <v>1296788</v>
      </c>
      <c r="F226" s="14">
        <f t="array" ref="F226">F225</f>
        <v>14</v>
      </c>
      <c r="G226" s="15" t="str">
        <f>IFERROR(__xludf.DUMMYFUNCTION("IF(E226&gt;AVERAGE(INDEX(GOOGLEFINANCE(B226,""volume"",WORKDAY(TODAY(),-$F$1),TODAY()),,2)),""Breakout"","""")"),"")</f>
        <v/>
      </c>
      <c r="H226" s="16">
        <f>IFERROR(__xludf.DUMMYFUNCTION("GOOGLEFINANCE(B226,""price"")"),749.35)</f>
        <v>749.35</v>
      </c>
      <c r="I226" s="17">
        <f>IFERROR(__xludf.DUMMYFUNCTION("AVERAGE(QUERY(SORT(GOOGLEFINANCE(B226,""price"",TODAY()-365,TODAY()),1,0),""select Col2 limit 10""))"),752.7099999999999)</f>
        <v>752.71</v>
      </c>
      <c r="J226" s="17">
        <f>IFERROR(__xludf.DUMMYFUNCTION("AVERAGE(QUERY(SORT(GOOGLEFINANCE(B226,""price"",TODAY()-365,TODAY()),1,0),""select Col2 limit 30""))"),755.0216666666666)</f>
        <v>755.0216667</v>
      </c>
      <c r="K226" s="18">
        <f>IFERROR(__xludf.DUMMYFUNCTION("AVERAGE(QUERY(SORT(GOOGLEFINANCE(B226,""price"",TODAY()-365,TODAY()),1,0),""select Col2 limit 60""))"),760.2941666666666)</f>
        <v>760.2941667</v>
      </c>
      <c r="L226" s="17">
        <f>IFERROR(__xludf.DUMMYFUNCTION("AVERAGE(QUERY(SORT(GOOGLEFINANCE(B226,""price"",TODAY()-365,TODAY()),1,0),""select Col2 limit 90""))"),775.6638888888889)</f>
        <v>775.6638889</v>
      </c>
      <c r="M226" s="17">
        <f>IFERROR(__xludf.DUMMYFUNCTION("AVERAGE(QUERY(SORT(GOOGLEFINANCE(B226,""price"",TODAY()-365,TODAY()),1,0),""select Col2 limit 120""))"),769.7299999999998)</f>
        <v>769.73</v>
      </c>
      <c r="N226" s="19">
        <f>IFERROR(__xludf.DUMMYFUNCTION("AVERAGE(QUERY(SORT(GOOGLEFINANCE(B226,""price"",TODAY()-365,TODAY()),1,0),""select Col2 limit 200""))"),771.0177499999995)</f>
        <v>771.01775</v>
      </c>
      <c r="O226" s="20" t="str">
        <f t="shared" si="2"/>
        <v>Avoid</v>
      </c>
      <c r="P226" s="21" t="str">
        <f t="shared" si="3"/>
        <v>10 DMA</v>
      </c>
      <c r="Q226" s="21" t="str">
        <f t="shared" si="4"/>
        <v>10 DMA cross best</v>
      </c>
      <c r="R226" s="22">
        <f>IFERROR(__xludf.DUMMYFUNCTION("GOOGLEFINANCE(B226, ""pe"")
"),54.67)</f>
        <v>54.67</v>
      </c>
    </row>
    <row r="227">
      <c r="A227" s="9" t="s">
        <v>240</v>
      </c>
      <c r="B227" s="11" t="str">
        <f t="shared" si="1"/>
        <v>NSE:LUPIN</v>
      </c>
      <c r="C227" s="12">
        <f>IFERROR(__xludf.DUMMYFUNCTION("GOOGLEFINANCE(B227,""marketcap"")/10000000"),89618.3866178)</f>
        <v>89618.38662</v>
      </c>
      <c r="D227" s="13">
        <f>IFERROR(__xludf.DUMMYFUNCTION("GOOGLEFINANCE(B227,""price"")"),1964.4)</f>
        <v>1964.4</v>
      </c>
      <c r="E227" s="14">
        <f>IFERROR(__xludf.DUMMYFUNCTION("GOOGLEFINANCE(B227,""Volume"")"),484723.0)</f>
        <v>484723</v>
      </c>
      <c r="F227" s="14">
        <f t="array" ref="F227">F226</f>
        <v>14</v>
      </c>
      <c r="G227" s="15" t="str">
        <f>IFERROR(__xludf.DUMMYFUNCTION("IF(E227&gt;AVERAGE(INDEX(GOOGLEFINANCE(B227,""volume"",WORKDAY(TODAY(),-$F$1),TODAY()),,2)),""Breakout"","""")"),"")</f>
        <v/>
      </c>
      <c r="H227" s="16">
        <f>IFERROR(__xludf.DUMMYFUNCTION("GOOGLEFINANCE(B227,""price"")"),1964.4)</f>
        <v>1964.4</v>
      </c>
      <c r="I227" s="17">
        <f>IFERROR(__xludf.DUMMYFUNCTION("AVERAGE(QUERY(SORT(GOOGLEFINANCE(B227,""price"",TODAY()-365,TODAY()),1,0),""select Col2 limit 10""))"),1933.1899999999998)</f>
        <v>1933.19</v>
      </c>
      <c r="J227" s="17">
        <f>IFERROR(__xludf.DUMMYFUNCTION("AVERAGE(QUERY(SORT(GOOGLEFINANCE(B227,""price"",TODAY()-365,TODAY()),1,0),""select Col2 limit 30""))"),1939.506666666667)</f>
        <v>1939.506667</v>
      </c>
      <c r="K227" s="18">
        <f>IFERROR(__xludf.DUMMYFUNCTION("AVERAGE(QUERY(SORT(GOOGLEFINANCE(B227,""price"",TODAY()-365,TODAY()),1,0),""select Col2 limit 60""))"),1973.8283333333331)</f>
        <v>1973.828333</v>
      </c>
      <c r="L227" s="17">
        <f>IFERROR(__xludf.DUMMYFUNCTION("AVERAGE(QUERY(SORT(GOOGLEFINANCE(B227,""price"",TODAY()-365,TODAY()),1,0),""select Col2 limit 90""))"),1992.1488888888898)</f>
        <v>1992.148889</v>
      </c>
      <c r="M227" s="17">
        <f>IFERROR(__xludf.DUMMYFUNCTION("AVERAGE(QUERY(SORT(GOOGLEFINANCE(B227,""price"",TODAY()-365,TODAY()),1,0),""select Col2 limit 120""))"),1999.3833333333346)</f>
        <v>1999.383333</v>
      </c>
      <c r="N227" s="19">
        <f>IFERROR(__xludf.DUMMYFUNCTION("AVERAGE(QUERY(SORT(GOOGLEFINANCE(B227,""price"",TODAY()-365,TODAY()),1,0),""select Col2 limit 200""))"),2060.8232500000004)</f>
        <v>2060.82325</v>
      </c>
      <c r="O227" s="20" t="str">
        <f t="shared" si="2"/>
        <v>Avoid</v>
      </c>
      <c r="P227" s="21" t="str">
        <f t="shared" si="3"/>
        <v>60 DMA</v>
      </c>
      <c r="Q227" s="21" t="str">
        <f t="shared" si="4"/>
        <v>60 DMA cross best</v>
      </c>
      <c r="R227" s="22">
        <f>IFERROR(__xludf.DUMMYFUNCTION("GOOGLEFINANCE(B227, ""pe"")
"),27.47)</f>
        <v>27.47</v>
      </c>
    </row>
    <row r="228">
      <c r="A228" s="9" t="s">
        <v>241</v>
      </c>
      <c r="B228" s="11" t="str">
        <f t="shared" si="1"/>
        <v>NSE:TIINDIA</v>
      </c>
      <c r="C228" s="12">
        <f>IFERROR(__xludf.DUMMYFUNCTION("GOOGLEFINANCE(B228,""marketcap"")/10000000"),55321.8428385)</f>
        <v>55321.84284</v>
      </c>
      <c r="D228" s="13">
        <f>IFERROR(__xludf.DUMMYFUNCTION("GOOGLEFINANCE(B228,""price"")"),2858.0)</f>
        <v>2858</v>
      </c>
      <c r="E228" s="14">
        <f>IFERROR(__xludf.DUMMYFUNCTION("GOOGLEFINANCE(B228,""Volume"")"),38793.0)</f>
        <v>38793</v>
      </c>
      <c r="F228" s="14">
        <f t="array" ref="F228">F227</f>
        <v>14</v>
      </c>
      <c r="G228" s="15" t="str">
        <f>IFERROR(__xludf.DUMMYFUNCTION("IF(E228&gt;AVERAGE(INDEX(GOOGLEFINANCE(B228,""volume"",WORKDAY(TODAY(),-$F$1),TODAY()),,2)),""Breakout"","""")"),"")</f>
        <v/>
      </c>
      <c r="H228" s="16">
        <f>IFERROR(__xludf.DUMMYFUNCTION("GOOGLEFINANCE(B228,""price"")"),2858.0)</f>
        <v>2858</v>
      </c>
      <c r="I228" s="17">
        <f>IFERROR(__xludf.DUMMYFUNCTION("AVERAGE(QUERY(SORT(GOOGLEFINANCE(B228,""price"",TODAY()-365,TODAY()),1,0),""select Col2 limit 10""))"),2926.67)</f>
        <v>2926.67</v>
      </c>
      <c r="J228" s="17">
        <f>IFERROR(__xludf.DUMMYFUNCTION("AVERAGE(QUERY(SORT(GOOGLEFINANCE(B228,""price"",TODAY()-365,TODAY()),1,0),""select Col2 limit 30""))"),2938.806666666667)</f>
        <v>2938.806667</v>
      </c>
      <c r="K228" s="18">
        <f>IFERROR(__xludf.DUMMYFUNCTION("AVERAGE(QUERY(SORT(GOOGLEFINANCE(B228,""price"",TODAY()-365,TODAY()),1,0),""select Col2 limit 60""))"),2974.978333333333)</f>
        <v>2974.978333</v>
      </c>
      <c r="L228" s="17">
        <f>IFERROR(__xludf.DUMMYFUNCTION("AVERAGE(QUERY(SORT(GOOGLEFINANCE(B228,""price"",TODAY()-365,TODAY()),1,0),""select Col2 limit 90""))"),2885.3011111111105)</f>
        <v>2885.301111</v>
      </c>
      <c r="M228" s="17">
        <f>IFERROR(__xludf.DUMMYFUNCTION("AVERAGE(QUERY(SORT(GOOGLEFINANCE(B228,""price"",TODAY()-365,TODAY()),1,0),""select Col2 limit 120""))"),2863.2854166666657)</f>
        <v>2863.285417</v>
      </c>
      <c r="N228" s="19">
        <f>IFERROR(__xludf.DUMMYFUNCTION("AVERAGE(QUERY(SORT(GOOGLEFINANCE(B228,""price"",TODAY()-365,TODAY()),1,0),""select Col2 limit 200""))"),3231.4080000000004)</f>
        <v>3231.408</v>
      </c>
      <c r="O228" s="20" t="str">
        <f t="shared" si="2"/>
        <v>Avoid</v>
      </c>
      <c r="P228" s="21" t="str">
        <f t="shared" si="3"/>
        <v>90 DMA</v>
      </c>
      <c r="Q228" s="21" t="str">
        <f t="shared" si="4"/>
        <v/>
      </c>
      <c r="R228" s="22">
        <f>IFERROR(__xludf.DUMMYFUNCTION("GOOGLEFINANCE(B228, ""pe"")
"),82.16)</f>
        <v>82.16</v>
      </c>
    </row>
    <row r="229">
      <c r="A229" s="9" t="s">
        <v>242</v>
      </c>
      <c r="B229" s="11" t="str">
        <f t="shared" si="1"/>
        <v>NSE:AUROPHARMA</v>
      </c>
      <c r="C229" s="12">
        <f>IFERROR(__xludf.DUMMYFUNCTION("GOOGLEFINANCE(B229,""marketcap"")/10000000"),65648.0076839)</f>
        <v>65648.00768</v>
      </c>
      <c r="D229" s="13">
        <f>IFERROR(__xludf.DUMMYFUNCTION("GOOGLEFINANCE(B229,""price"")"),1130.3)</f>
        <v>1130.3</v>
      </c>
      <c r="E229" s="14">
        <f>IFERROR(__xludf.DUMMYFUNCTION("GOOGLEFINANCE(B229,""Volume"")"),381467.0)</f>
        <v>381467</v>
      </c>
      <c r="F229" s="14">
        <f t="array" ref="F229">F228</f>
        <v>14</v>
      </c>
      <c r="G229" s="15" t="str">
        <f>IFERROR(__xludf.DUMMYFUNCTION("IF(E229&gt;AVERAGE(INDEX(GOOGLEFINANCE(B229,""volume"",WORKDAY(TODAY(),-$F$1),TODAY()),,2)),""Breakout"","""")"),"#N/A")</f>
        <v>#N/A</v>
      </c>
      <c r="H229" s="16">
        <f>IFERROR(__xludf.DUMMYFUNCTION("GOOGLEFINANCE(B229,""price"")"),1130.3)</f>
        <v>1130.3</v>
      </c>
      <c r="I229" s="17">
        <f>IFERROR(__xludf.DUMMYFUNCTION("AVERAGE(QUERY(SORT(GOOGLEFINANCE(B229,""price"",TODAY()-365,TODAY()),1,0),""select Col2 limit 10""))"),1133.1399999999999)</f>
        <v>1133.14</v>
      </c>
      <c r="J229" s="17">
        <f>IFERROR(__xludf.DUMMYFUNCTION("AVERAGE(QUERY(SORT(GOOGLEFINANCE(B229,""price"",TODAY()-365,TODAY()),1,0),""select Col2 limit 30""))"),1131.4199999999998)</f>
        <v>1131.42</v>
      </c>
      <c r="K229" s="18">
        <f>IFERROR(__xludf.DUMMYFUNCTION("AVERAGE(QUERY(SORT(GOOGLEFINANCE(B229,""price"",TODAY()-365,TODAY()),1,0),""select Col2 limit 60""))"),1155.7933333333337)</f>
        <v>1155.793333</v>
      </c>
      <c r="L229" s="17">
        <f>IFERROR(__xludf.DUMMYFUNCTION("AVERAGE(QUERY(SORT(GOOGLEFINANCE(B229,""price"",TODAY()-365,TODAY()),1,0),""select Col2 limit 90""))"),1159.7983333333336)</f>
        <v>1159.798333</v>
      </c>
      <c r="M229" s="17">
        <f>IFERROR(__xludf.DUMMYFUNCTION("AVERAGE(QUERY(SORT(GOOGLEFINANCE(B229,""price"",TODAY()-365,TODAY()),1,0),""select Col2 limit 120""))"),1151.8466666666666)</f>
        <v>1151.846667</v>
      </c>
      <c r="N229" s="19">
        <f>IFERROR(__xludf.DUMMYFUNCTION("AVERAGE(QUERY(SORT(GOOGLEFINANCE(B229,""price"",TODAY()-365,TODAY()),1,0),""select Col2 limit 200""))"),1211.9192499999997)</f>
        <v>1211.91925</v>
      </c>
      <c r="O229" s="20" t="str">
        <f t="shared" si="2"/>
        <v>Avoid</v>
      </c>
      <c r="P229" s="21" t="str">
        <f t="shared" si="3"/>
        <v>10 DMA</v>
      </c>
      <c r="Q229" s="21" t="str">
        <f t="shared" si="4"/>
        <v>10 DMA cross best</v>
      </c>
      <c r="R229" s="22">
        <f>IFERROR(__xludf.DUMMYFUNCTION("GOOGLEFINANCE(B229, ""pe"")
"),18.89)</f>
        <v>18.89</v>
      </c>
    </row>
    <row r="230">
      <c r="A230" s="9" t="s">
        <v>243</v>
      </c>
      <c r="B230" s="11" t="str">
        <f t="shared" si="1"/>
        <v>NSE:YESBANK</v>
      </c>
      <c r="C230" s="12">
        <f>IFERROR(__xludf.DUMMYFUNCTION("GOOGLEFINANCE(B230,""marketcap"")/10000000"),61451.1074686)</f>
        <v>61451.10747</v>
      </c>
      <c r="D230" s="13">
        <f>IFERROR(__xludf.DUMMYFUNCTION("GOOGLEFINANCE(B230,""price"")"),19.59)</f>
        <v>19.59</v>
      </c>
      <c r="E230" s="14">
        <f>IFERROR(__xludf.DUMMYFUNCTION("GOOGLEFINANCE(B230,""Volume"")"),3.2399603E7)</f>
        <v>32399603</v>
      </c>
      <c r="F230" s="14">
        <f t="array" ref="F230">F229</f>
        <v>14</v>
      </c>
      <c r="G230" s="15" t="str">
        <f>IFERROR(__xludf.DUMMYFUNCTION("IF(E230&gt;AVERAGE(INDEX(GOOGLEFINANCE(B230,""volume"",WORKDAY(TODAY(),-$F$1),TODAY()),,2)),""Breakout"","""")"),"")</f>
        <v/>
      </c>
      <c r="H230" s="16">
        <f>IFERROR(__xludf.DUMMYFUNCTION("GOOGLEFINANCE(B230,""price"")"),19.59)</f>
        <v>19.59</v>
      </c>
      <c r="I230" s="17">
        <f>IFERROR(__xludf.DUMMYFUNCTION("AVERAGE(QUERY(SORT(GOOGLEFINANCE(B230,""price"",TODAY()-365,TODAY()),1,0),""select Col2 limit 10""))"),20.066000000000003)</f>
        <v>20.066</v>
      </c>
      <c r="J230" s="17">
        <f>IFERROR(__xludf.DUMMYFUNCTION("AVERAGE(QUERY(SORT(GOOGLEFINANCE(B230,""price"",TODAY()-365,TODAY()),1,0),""select Col2 limit 30""))"),20.028000000000002)</f>
        <v>20.028</v>
      </c>
      <c r="K230" s="18">
        <f>IFERROR(__xludf.DUMMYFUNCTION("AVERAGE(QUERY(SORT(GOOGLEFINANCE(B230,""price"",TODAY()-365,TODAY()),1,0),""select Col2 limit 60""))"),20.32766666666667)</f>
        <v>20.32766667</v>
      </c>
      <c r="L230" s="17">
        <f>IFERROR(__xludf.DUMMYFUNCTION("AVERAGE(QUERY(SORT(GOOGLEFINANCE(B230,""price"",TODAY()-365,TODAY()),1,0),""select Col2 limit 90""))"),19.380222222222226)</f>
        <v>19.38022222</v>
      </c>
      <c r="M230" s="17">
        <f>IFERROR(__xludf.DUMMYFUNCTION("AVERAGE(QUERY(SORT(GOOGLEFINANCE(B230,""price"",TODAY()-365,TODAY()),1,0),""select Col2 limit 120""))"),18.971416666666677)</f>
        <v>18.97141667</v>
      </c>
      <c r="N230" s="19">
        <f>IFERROR(__xludf.DUMMYFUNCTION("AVERAGE(QUERY(SORT(GOOGLEFINANCE(B230,""price"",TODAY()-365,TODAY()),1,0),""select Col2 limit 200""))"),19.377650000000006)</f>
        <v>19.37765</v>
      </c>
      <c r="O230" s="20" t="str">
        <f t="shared" si="2"/>
        <v>Avoid</v>
      </c>
      <c r="P230" s="21" t="str">
        <f t="shared" si="3"/>
        <v/>
      </c>
      <c r="Q230" s="21" t="str">
        <f t="shared" si="4"/>
        <v/>
      </c>
      <c r="R230" s="22">
        <f>IFERROR(__xludf.DUMMYFUNCTION("GOOGLEFINANCE(B230, ""pe"")
"),22.26)</f>
        <v>22.26</v>
      </c>
    </row>
    <row r="231">
      <c r="A231" s="9" t="s">
        <v>244</v>
      </c>
      <c r="B231" s="11" t="str">
        <f t="shared" si="1"/>
        <v>NSE:INDIANB</v>
      </c>
      <c r="C231" s="12">
        <f>IFERROR(__xludf.DUMMYFUNCTION("GOOGLEFINANCE(B231,""marketcap"")/10000000"),84771.1760515)</f>
        <v>84771.17605</v>
      </c>
      <c r="D231" s="13">
        <f>IFERROR(__xludf.DUMMYFUNCTION("GOOGLEFINANCE(B231,""price"")"),629.35)</f>
        <v>629.35</v>
      </c>
      <c r="E231" s="14">
        <f>IFERROR(__xludf.DUMMYFUNCTION("GOOGLEFINANCE(B231,""Volume"")"),664495.0)</f>
        <v>664495</v>
      </c>
      <c r="F231" s="14">
        <f t="array" ref="F231">F230</f>
        <v>14</v>
      </c>
      <c r="G231" s="15" t="str">
        <f>IFERROR(__xludf.DUMMYFUNCTION("IF(E231&gt;AVERAGE(INDEX(GOOGLEFINANCE(B231,""volume"",WORKDAY(TODAY(),-$F$1),TODAY()),,2)),""Breakout"","""")"),"")</f>
        <v/>
      </c>
      <c r="H231" s="16">
        <f>IFERROR(__xludf.DUMMYFUNCTION("GOOGLEFINANCE(B231,""price"")"),629.35)</f>
        <v>629.35</v>
      </c>
      <c r="I231" s="17">
        <f>IFERROR(__xludf.DUMMYFUNCTION("AVERAGE(QUERY(SORT(GOOGLEFINANCE(B231,""price"",TODAY()-365,TODAY()),1,0),""select Col2 limit 10""))"),635.45)</f>
        <v>635.45</v>
      </c>
      <c r="J231" s="17">
        <f>IFERROR(__xludf.DUMMYFUNCTION("AVERAGE(QUERY(SORT(GOOGLEFINANCE(B231,""price"",TODAY()-365,TODAY()),1,0),""select Col2 limit 30""))"),634.3300000000002)</f>
        <v>634.33</v>
      </c>
      <c r="K231" s="18">
        <f>IFERROR(__xludf.DUMMYFUNCTION("AVERAGE(QUERY(SORT(GOOGLEFINANCE(B231,""price"",TODAY()-365,TODAY()),1,0),""select Col2 limit 60""))"),618.5575)</f>
        <v>618.5575</v>
      </c>
      <c r="L231" s="17">
        <f>IFERROR(__xludf.DUMMYFUNCTION("AVERAGE(QUERY(SORT(GOOGLEFINANCE(B231,""price"",TODAY()-365,TODAY()),1,0),""select Col2 limit 90""))"),595.8255555555555)</f>
        <v>595.8255556</v>
      </c>
      <c r="M231" s="17">
        <f>IFERROR(__xludf.DUMMYFUNCTION("AVERAGE(QUERY(SORT(GOOGLEFINANCE(B231,""price"",TODAY()-365,TODAY()),1,0),""select Col2 limit 120""))"),577.3016666666666)</f>
        <v>577.3016667</v>
      </c>
      <c r="N231" s="19">
        <f>IFERROR(__xludf.DUMMYFUNCTION("AVERAGE(QUERY(SORT(GOOGLEFINANCE(B231,""price"",TODAY()-365,TODAY()),1,0),""select Col2 limit 200""))"),562.7645000000001)</f>
        <v>562.7645</v>
      </c>
      <c r="O231" s="20" t="str">
        <f t="shared" si="2"/>
        <v>Avoid</v>
      </c>
      <c r="P231" s="21" t="str">
        <f t="shared" si="3"/>
        <v>10 DMA</v>
      </c>
      <c r="Q231" s="21" t="str">
        <f t="shared" si="4"/>
        <v/>
      </c>
      <c r="R231" s="22">
        <f>IFERROR(__xludf.DUMMYFUNCTION("GOOGLEFINANCE(B231, ""pe"")
"),7.73)</f>
        <v>7.73</v>
      </c>
    </row>
    <row r="232">
      <c r="A232" s="9" t="s">
        <v>245</v>
      </c>
      <c r="B232" s="11" t="str">
        <f t="shared" si="1"/>
        <v>NSE:PERSISTENT</v>
      </c>
      <c r="C232" s="12">
        <f>IFERROR(__xludf.DUMMYFUNCTION("GOOGLEFINANCE(B232,""marketcap"")/10000000"),80175.31173)</f>
        <v>80175.31173</v>
      </c>
      <c r="D232" s="13">
        <f>IFERROR(__xludf.DUMMYFUNCTION("GOOGLEFINANCE(B232,""price"")"),5146.0)</f>
        <v>5146</v>
      </c>
      <c r="E232" s="14">
        <f>IFERROR(__xludf.DUMMYFUNCTION("GOOGLEFINANCE(B232,""Volume"")"),299127.0)</f>
        <v>299127</v>
      </c>
      <c r="F232" s="14">
        <f t="array" ref="F232">F231</f>
        <v>14</v>
      </c>
      <c r="G232" s="15" t="str">
        <f>IFERROR(__xludf.DUMMYFUNCTION("IF(E232&gt;AVERAGE(INDEX(GOOGLEFINANCE(B232,""volume"",WORKDAY(TODAY(),-$F$1),TODAY()),,2)),""Breakout"","""")"),"")</f>
        <v/>
      </c>
      <c r="H232" s="16">
        <f>IFERROR(__xludf.DUMMYFUNCTION("GOOGLEFINANCE(B232,""price"")"),5146.0)</f>
        <v>5146</v>
      </c>
      <c r="I232" s="17">
        <f>IFERROR(__xludf.DUMMYFUNCTION("AVERAGE(QUERY(SORT(GOOGLEFINANCE(B232,""price"",TODAY()-365,TODAY()),1,0),""select Col2 limit 10""))"),5524.35)</f>
        <v>5524.35</v>
      </c>
      <c r="J232" s="17">
        <f>IFERROR(__xludf.DUMMYFUNCTION("AVERAGE(QUERY(SORT(GOOGLEFINANCE(B232,""price"",TODAY()-365,TODAY()),1,0),""select Col2 limit 30""))"),5808.216666666666)</f>
        <v>5808.216667</v>
      </c>
      <c r="K232" s="18">
        <f>IFERROR(__xludf.DUMMYFUNCTION("AVERAGE(QUERY(SORT(GOOGLEFINANCE(B232,""price"",TODAY()-365,TODAY()),1,0),""select Col2 limit 60""))"),5735.716666666666)</f>
        <v>5735.716667</v>
      </c>
      <c r="L232" s="17">
        <f>IFERROR(__xludf.DUMMYFUNCTION("AVERAGE(QUERY(SORT(GOOGLEFINANCE(B232,""price"",TODAY()-365,TODAY()),1,0),""select Col2 limit 90""))"),5523.92611111111)</f>
        <v>5523.926111</v>
      </c>
      <c r="M232" s="17">
        <f>IFERROR(__xludf.DUMMYFUNCTION("AVERAGE(QUERY(SORT(GOOGLEFINANCE(B232,""price"",TODAY()-365,TODAY()),1,0),""select Col2 limit 120""))"),5556.459166666666)</f>
        <v>5556.459167</v>
      </c>
      <c r="N232" s="19">
        <f>IFERROR(__xludf.DUMMYFUNCTION("AVERAGE(QUERY(SORT(GOOGLEFINANCE(B232,""price"",TODAY()-365,TODAY()),1,0),""select Col2 limit 200""))"),5709.514499999996)</f>
        <v>5709.5145</v>
      </c>
      <c r="O232" s="20" t="str">
        <f t="shared" si="2"/>
        <v>Avoid</v>
      </c>
      <c r="P232" s="21" t="str">
        <f t="shared" si="3"/>
        <v/>
      </c>
      <c r="Q232" s="21" t="str">
        <f t="shared" si="4"/>
        <v/>
      </c>
      <c r="R232" s="22">
        <f>IFERROR(__xludf.DUMMYFUNCTION("GOOGLEFINANCE(B232, ""pe"")
"),52.86)</f>
        <v>52.86</v>
      </c>
    </row>
    <row r="233">
      <c r="A233" s="9" t="s">
        <v>246</v>
      </c>
      <c r="B233" s="11" t="str">
        <f t="shared" si="1"/>
        <v>NSE:SUZLON</v>
      </c>
      <c r="C233" s="12">
        <f>IFERROR(__xludf.DUMMYFUNCTION("GOOGLEFINANCE(B233,""marketcap"")/10000000"),84969.3062422)</f>
        <v>84969.30624</v>
      </c>
      <c r="D233" s="13">
        <f>IFERROR(__xludf.DUMMYFUNCTION("GOOGLEFINANCE(B233,""price"")"),62.13)</f>
        <v>62.13</v>
      </c>
      <c r="E233" s="14">
        <f>IFERROR(__xludf.DUMMYFUNCTION("GOOGLEFINANCE(B233,""Volume"")"),2.2772543E7)</f>
        <v>22772543</v>
      </c>
      <c r="F233" s="14">
        <f t="array" ref="F233">F232</f>
        <v>14</v>
      </c>
      <c r="G233" s="15" t="str">
        <f>IFERROR(__xludf.DUMMYFUNCTION("IF(E233&gt;AVERAGE(INDEX(GOOGLEFINANCE(B233,""volume"",WORKDAY(TODAY(),-$F$1),TODAY()),,2)),""Breakout"","""")"),"")</f>
        <v/>
      </c>
      <c r="H233" s="16">
        <f>IFERROR(__xludf.DUMMYFUNCTION("GOOGLEFINANCE(B233,""price"")"),62.13)</f>
        <v>62.13</v>
      </c>
      <c r="I233" s="17">
        <f>IFERROR(__xludf.DUMMYFUNCTION("AVERAGE(QUERY(SORT(GOOGLEFINANCE(B233,""price"",TODAY()-365,TODAY()),1,0),""select Col2 limit 10""))"),65.88799999999999)</f>
        <v>65.888</v>
      </c>
      <c r="J233" s="17">
        <f>IFERROR(__xludf.DUMMYFUNCTION("AVERAGE(QUERY(SORT(GOOGLEFINANCE(B233,""price"",TODAY()-365,TODAY()),1,0),""select Col2 limit 30""))"),65.47733333333332)</f>
        <v>65.47733333</v>
      </c>
      <c r="K233" s="18">
        <f>IFERROR(__xludf.DUMMYFUNCTION("AVERAGE(QUERY(SORT(GOOGLEFINANCE(B233,""price"",TODAY()-365,TODAY()),1,0),""select Col2 limit 60""))"),63.780499999999996)</f>
        <v>63.7805</v>
      </c>
      <c r="L233" s="17">
        <f>IFERROR(__xludf.DUMMYFUNCTION("AVERAGE(QUERY(SORT(GOOGLEFINANCE(B233,""price"",TODAY()-365,TODAY()),1,0),""select Col2 limit 90""))"),61.29677777777778)</f>
        <v>61.29677778</v>
      </c>
      <c r="M233" s="17">
        <f>IFERROR(__xludf.DUMMYFUNCTION("AVERAGE(QUERY(SORT(GOOGLEFINANCE(B233,""price"",TODAY()-365,TODAY()),1,0),""select Col2 limit 120""))"),59.29175)</f>
        <v>59.29175</v>
      </c>
      <c r="N233" s="19">
        <f>IFERROR(__xludf.DUMMYFUNCTION("AVERAGE(QUERY(SORT(GOOGLEFINANCE(B233,""price"",TODAY()-365,TODAY()),1,0),""select Col2 limit 200""))"),61.56989999999999)</f>
        <v>61.5699</v>
      </c>
      <c r="O233" s="20" t="str">
        <f t="shared" si="2"/>
        <v>Avoid</v>
      </c>
      <c r="P233" s="21" t="str">
        <f t="shared" si="3"/>
        <v/>
      </c>
      <c r="Q233" s="21" t="str">
        <f t="shared" si="4"/>
        <v/>
      </c>
      <c r="R233" s="22">
        <f>IFERROR(__xludf.DUMMYFUNCTION("GOOGLEFINANCE(B233, ""pe"")
"),41.21)</f>
        <v>41.21</v>
      </c>
    </row>
    <row r="234">
      <c r="A234" s="9" t="s">
        <v>247</v>
      </c>
      <c r="B234" s="11" t="str">
        <f t="shared" si="1"/>
        <v>NSE:MUTHOOTFIN</v>
      </c>
      <c r="C234" s="12">
        <f>IFERROR(__xludf.DUMMYFUNCTION("GOOGLEFINANCE(B234,""marketcap"")/10000000"),106875.1460935)</f>
        <v>106875.1461</v>
      </c>
      <c r="D234" s="13">
        <f>IFERROR(__xludf.DUMMYFUNCTION("GOOGLEFINANCE(B234,""price"")"),2651.4)</f>
        <v>2651.4</v>
      </c>
      <c r="E234" s="14">
        <f>IFERROR(__xludf.DUMMYFUNCTION("GOOGLEFINANCE(B234,""Volume"")"),98216.0)</f>
        <v>98216</v>
      </c>
      <c r="F234" s="14">
        <f t="array" ref="F234">F233</f>
        <v>14</v>
      </c>
      <c r="G234" s="15" t="str">
        <f>IFERROR(__xludf.DUMMYFUNCTION("IF(E234&gt;AVERAGE(INDEX(GOOGLEFINANCE(B234,""volume"",WORKDAY(TODAY(),-$F$1),TODAY()),,2)),""Breakout"","""")"),"")</f>
        <v/>
      </c>
      <c r="H234" s="16">
        <f>IFERROR(__xludf.DUMMYFUNCTION("GOOGLEFINANCE(B234,""price"")"),2651.4)</f>
        <v>2651.4</v>
      </c>
      <c r="I234" s="17">
        <f>IFERROR(__xludf.DUMMYFUNCTION("AVERAGE(QUERY(SORT(GOOGLEFINANCE(B234,""price"",TODAY()-365,TODAY()),1,0),""select Col2 limit 10""))"),2666.1400000000003)</f>
        <v>2666.14</v>
      </c>
      <c r="J234" s="17">
        <f>IFERROR(__xludf.DUMMYFUNCTION("AVERAGE(QUERY(SORT(GOOGLEFINANCE(B234,""price"",TODAY()-365,TODAY()),1,0),""select Col2 limit 30""))"),2638.1466666666665)</f>
        <v>2638.146667</v>
      </c>
      <c r="K234" s="18">
        <f>IFERROR(__xludf.DUMMYFUNCTION("AVERAGE(QUERY(SORT(GOOGLEFINANCE(B234,""price"",TODAY()-365,TODAY()),1,0),""select Col2 limit 60""))"),2441.265)</f>
        <v>2441.265</v>
      </c>
      <c r="L234" s="17">
        <f>IFERROR(__xludf.DUMMYFUNCTION("AVERAGE(QUERY(SORT(GOOGLEFINANCE(B234,""price"",TODAY()-365,TODAY()),1,0),""select Col2 limit 90""))"),2375.111666666666)</f>
        <v>2375.111667</v>
      </c>
      <c r="M234" s="17">
        <f>IFERROR(__xludf.DUMMYFUNCTION("AVERAGE(QUERY(SORT(GOOGLEFINANCE(B234,""price"",TODAY()-365,TODAY()),1,0),""select Col2 limit 120""))"),2333.7758333333327)</f>
        <v>2333.775833</v>
      </c>
      <c r="N234" s="19">
        <f>IFERROR(__xludf.DUMMYFUNCTION("AVERAGE(QUERY(SORT(GOOGLEFINANCE(B234,""price"",TODAY()-365,TODAY()),1,0),""select Col2 limit 200""))"),2204.847749999999)</f>
        <v>2204.84775</v>
      </c>
      <c r="O234" s="20" t="str">
        <f t="shared" si="2"/>
        <v>Avoid</v>
      </c>
      <c r="P234" s="21" t="str">
        <f t="shared" si="3"/>
        <v>10 DMA</v>
      </c>
      <c r="Q234" s="21" t="str">
        <f t="shared" si="4"/>
        <v/>
      </c>
      <c r="R234" s="22">
        <f>IFERROR(__xludf.DUMMYFUNCTION("GOOGLEFINANCE(B234, ""pe"")
"),19.96)</f>
        <v>19.96</v>
      </c>
    </row>
    <row r="235">
      <c r="A235" s="9" t="s">
        <v>248</v>
      </c>
      <c r="B235" s="11" t="str">
        <f t="shared" si="1"/>
        <v>NSE:TORNTPOWER</v>
      </c>
      <c r="C235" s="12">
        <f>IFERROR(__xludf.DUMMYFUNCTION("GOOGLEFINANCE(B235,""marketcap"")/10000000"),66747.0563797)</f>
        <v>66747.05638</v>
      </c>
      <c r="D235" s="13">
        <f>IFERROR(__xludf.DUMMYFUNCTION("GOOGLEFINANCE(B235,""price"")"),1324.0)</f>
        <v>1324</v>
      </c>
      <c r="E235" s="14">
        <f>IFERROR(__xludf.DUMMYFUNCTION("GOOGLEFINANCE(B235,""Volume"")"),83646.0)</f>
        <v>83646</v>
      </c>
      <c r="F235" s="14">
        <f t="array" ref="F235">F234</f>
        <v>14</v>
      </c>
      <c r="G235" s="15" t="str">
        <f>IFERROR(__xludf.DUMMYFUNCTION("IF(E235&gt;AVERAGE(INDEX(GOOGLEFINANCE(B235,""volume"",WORKDAY(TODAY(),-$F$1),TODAY()),,2)),""Breakout"","""")"),"")</f>
        <v/>
      </c>
      <c r="H235" s="16">
        <f>IFERROR(__xludf.DUMMYFUNCTION("GOOGLEFINANCE(B235,""price"")"),1324.0)</f>
        <v>1324</v>
      </c>
      <c r="I235" s="17">
        <f>IFERROR(__xludf.DUMMYFUNCTION("AVERAGE(QUERY(SORT(GOOGLEFINANCE(B235,""price"",TODAY()-365,TODAY()),1,0),""select Col2 limit 10""))"),1369.29)</f>
        <v>1369.29</v>
      </c>
      <c r="J235" s="17">
        <f>IFERROR(__xludf.DUMMYFUNCTION("AVERAGE(QUERY(SORT(GOOGLEFINANCE(B235,""price"",TODAY()-365,TODAY()),1,0),""select Col2 limit 30""))"),1411.0400000000002)</f>
        <v>1411.04</v>
      </c>
      <c r="K235" s="18">
        <f>IFERROR(__xludf.DUMMYFUNCTION("AVERAGE(QUERY(SORT(GOOGLEFINANCE(B235,""price"",TODAY()-365,TODAY()),1,0),""select Col2 limit 60""))"),1415.9316666666664)</f>
        <v>1415.931667</v>
      </c>
      <c r="L235" s="17">
        <f>IFERROR(__xludf.DUMMYFUNCTION("AVERAGE(QUERY(SORT(GOOGLEFINANCE(B235,""price"",TODAY()-365,TODAY()),1,0),""select Col2 limit 90""))"),1451.466111111111)</f>
        <v>1451.466111</v>
      </c>
      <c r="M235" s="17">
        <f>IFERROR(__xludf.DUMMYFUNCTION("AVERAGE(QUERY(SORT(GOOGLEFINANCE(B235,""price"",TODAY()-365,TODAY()),1,0),""select Col2 limit 120""))"),1418.5779166666669)</f>
        <v>1418.577917</v>
      </c>
      <c r="N235" s="19">
        <f>IFERROR(__xludf.DUMMYFUNCTION("AVERAGE(QUERY(SORT(GOOGLEFINANCE(B235,""price"",TODAY()-365,TODAY()),1,0),""select Col2 limit 200""))"),1508.4942500000013)</f>
        <v>1508.49425</v>
      </c>
      <c r="O235" s="20" t="str">
        <f t="shared" si="2"/>
        <v>Avoid</v>
      </c>
      <c r="P235" s="21" t="str">
        <f t="shared" si="3"/>
        <v/>
      </c>
      <c r="Q235" s="21" t="str">
        <f t="shared" si="4"/>
        <v/>
      </c>
      <c r="R235" s="22">
        <f>IFERROR(__xludf.DUMMYFUNCTION("GOOGLEFINANCE(B235, ""pe"")
"),21.69)</f>
        <v>21.69</v>
      </c>
    </row>
    <row r="236">
      <c r="A236" s="9" t="s">
        <v>249</v>
      </c>
      <c r="B236" s="11" t="str">
        <f t="shared" si="1"/>
        <v>NSE:BHARATFORG</v>
      </c>
      <c r="C236" s="12">
        <f>IFERROR(__xludf.DUMMYFUNCTION("GOOGLEFINANCE(B236,""marketcap"")/10000000"),57848.7206)</f>
        <v>57848.7206</v>
      </c>
      <c r="D236" s="13">
        <f>IFERROR(__xludf.DUMMYFUNCTION("GOOGLEFINANCE(B236,""price"")"),1210.0)</f>
        <v>1210</v>
      </c>
      <c r="E236" s="14">
        <f>IFERROR(__xludf.DUMMYFUNCTION("GOOGLEFINANCE(B236,""Volume"")"),234256.0)</f>
        <v>234256</v>
      </c>
      <c r="F236" s="14">
        <f t="array" ref="F236">F235</f>
        <v>14</v>
      </c>
      <c r="G236" s="15" t="str">
        <f>IFERROR(__xludf.DUMMYFUNCTION("IF(E236&gt;AVERAGE(INDEX(GOOGLEFINANCE(B236,""volume"",WORKDAY(TODAY(),-$F$1),TODAY()),,2)),""Breakout"","""")"),"")</f>
        <v/>
      </c>
      <c r="H236" s="16">
        <f>IFERROR(__xludf.DUMMYFUNCTION("GOOGLEFINANCE(B236,""price"")"),1210.0)</f>
        <v>1210</v>
      </c>
      <c r="I236" s="17">
        <f>IFERROR(__xludf.DUMMYFUNCTION("AVERAGE(QUERY(SORT(GOOGLEFINANCE(B236,""price"",TODAY()-365,TODAY()),1,0),""select Col2 limit 10""))"),1218.9299999999998)</f>
        <v>1218.93</v>
      </c>
      <c r="J236" s="17">
        <f>IFERROR(__xludf.DUMMYFUNCTION("AVERAGE(QUERY(SORT(GOOGLEFINANCE(B236,""price"",TODAY()-365,TODAY()),1,0),""select Col2 limit 30""))"),1264.74)</f>
        <v>1264.74</v>
      </c>
      <c r="K236" s="18">
        <f>IFERROR(__xludf.DUMMYFUNCTION("AVERAGE(QUERY(SORT(GOOGLEFINANCE(B236,""price"",TODAY()-365,TODAY()),1,0),""select Col2 limit 60""))"),1252.778333333333)</f>
        <v>1252.778333</v>
      </c>
      <c r="L236" s="17">
        <f>IFERROR(__xludf.DUMMYFUNCTION("AVERAGE(QUERY(SORT(GOOGLEFINANCE(B236,""price"",TODAY()-365,TODAY()),1,0),""select Col2 limit 90""))"),1202.6894444444442)</f>
        <v>1202.689444</v>
      </c>
      <c r="M236" s="17">
        <f>IFERROR(__xludf.DUMMYFUNCTION("AVERAGE(QUERY(SORT(GOOGLEFINANCE(B236,""price"",TODAY()-365,TODAY()),1,0),""select Col2 limit 120""))"),1176.0329166666663)</f>
        <v>1176.032917</v>
      </c>
      <c r="N236" s="19">
        <f>IFERROR(__xludf.DUMMYFUNCTION("AVERAGE(QUERY(SORT(GOOGLEFINANCE(B236,""price"",TODAY()-365,TODAY()),1,0),""select Col2 limit 200""))"),1243.4777499999996)</f>
        <v>1243.47775</v>
      </c>
      <c r="O236" s="20" t="str">
        <f t="shared" si="2"/>
        <v>Avoid</v>
      </c>
      <c r="P236" s="21" t="str">
        <f t="shared" si="3"/>
        <v>10 DMA</v>
      </c>
      <c r="Q236" s="21" t="str">
        <f t="shared" si="4"/>
        <v/>
      </c>
      <c r="R236" s="22">
        <f>IFERROR(__xludf.DUMMYFUNCTION("GOOGLEFINANCE(B236, ""pe"")
"),60.42)</f>
        <v>60.42</v>
      </c>
    </row>
    <row r="237">
      <c r="A237" s="9" t="s">
        <v>250</v>
      </c>
      <c r="B237" s="11" t="str">
        <f t="shared" si="1"/>
        <v>NSE:IREDA</v>
      </c>
      <c r="C237" s="12">
        <f>IFERROR(__xludf.DUMMYFUNCTION("GOOGLEFINANCE(B237,""marketcap"")/10000000"),41165.5544194)</f>
        <v>41165.55442</v>
      </c>
      <c r="D237" s="13">
        <f>IFERROR(__xludf.DUMMYFUNCTION("GOOGLEFINANCE(B237,""price"")"),153.09)</f>
        <v>153.09</v>
      </c>
      <c r="E237" s="14">
        <f>IFERROR(__xludf.DUMMYFUNCTION("GOOGLEFINANCE(B237,""Volume"")"),3149247.0)</f>
        <v>3149247</v>
      </c>
      <c r="F237" s="14">
        <f t="array" ref="F237">F236</f>
        <v>14</v>
      </c>
      <c r="G237" s="15" t="str">
        <f>IFERROR(__xludf.DUMMYFUNCTION("IF(E237&gt;AVERAGE(INDEX(GOOGLEFINANCE(B237,""volume"",WORKDAY(TODAY(),-$F$1),TODAY()),,2)),""Breakout"","""")"),"")</f>
        <v/>
      </c>
      <c r="H237" s="16">
        <f>IFERROR(__xludf.DUMMYFUNCTION("GOOGLEFINANCE(B237,""price"")"),153.09)</f>
        <v>153.09</v>
      </c>
      <c r="I237" s="17">
        <f>IFERROR(__xludf.DUMMYFUNCTION("AVERAGE(QUERY(SORT(GOOGLEFINANCE(B237,""price"",TODAY()-365,TODAY()),1,0),""select Col2 limit 10""))"),157.519)</f>
        <v>157.519</v>
      </c>
      <c r="J237" s="17">
        <f>IFERROR(__xludf.DUMMYFUNCTION("AVERAGE(QUERY(SORT(GOOGLEFINANCE(B237,""price"",TODAY()-365,TODAY()),1,0),""select Col2 limit 30""))"),163.763)</f>
        <v>163.763</v>
      </c>
      <c r="K237" s="18">
        <f>IFERROR(__xludf.DUMMYFUNCTION("AVERAGE(QUERY(SORT(GOOGLEFINANCE(B237,""price"",TODAY()-365,TODAY()),1,0),""select Col2 limit 60""))"),167.64683333333335)</f>
        <v>167.6468333</v>
      </c>
      <c r="L237" s="17">
        <f>IFERROR(__xludf.DUMMYFUNCTION("AVERAGE(QUERY(SORT(GOOGLEFINANCE(B237,""price"",TODAY()-365,TODAY()),1,0),""select Col2 limit 90""))"),165.95455555555557)</f>
        <v>165.9545556</v>
      </c>
      <c r="M237" s="17">
        <f>IFERROR(__xludf.DUMMYFUNCTION("AVERAGE(QUERY(SORT(GOOGLEFINANCE(B237,""price"",TODAY()-365,TODAY()),1,0),""select Col2 limit 120""))"),166.5389166666667)</f>
        <v>166.5389167</v>
      </c>
      <c r="N237" s="19">
        <f>IFERROR(__xludf.DUMMYFUNCTION("AVERAGE(QUERY(SORT(GOOGLEFINANCE(B237,""price"",TODAY()-365,TODAY()),1,0),""select Col2 limit 200""))"),182.97705000000005)</f>
        <v>182.97705</v>
      </c>
      <c r="O237" s="20" t="str">
        <f t="shared" si="2"/>
        <v>Avoid</v>
      </c>
      <c r="P237" s="21" t="str">
        <f t="shared" si="3"/>
        <v/>
      </c>
      <c r="Q237" s="21" t="str">
        <f t="shared" si="4"/>
        <v/>
      </c>
      <c r="R237" s="22">
        <f>IFERROR(__xludf.DUMMYFUNCTION("GOOGLEFINANCE(B237, ""pe"")
"),26.44)</f>
        <v>26.44</v>
      </c>
    </row>
    <row r="238">
      <c r="A238" s="9" t="s">
        <v>251</v>
      </c>
      <c r="B238" s="11" t="str">
        <f t="shared" si="1"/>
        <v>NSE:HINDPETRO</v>
      </c>
      <c r="C238" s="12">
        <f>IFERROR(__xludf.DUMMYFUNCTION("GOOGLEFINANCE(B238,""marketcap"")/10000000"),90049.4296374)</f>
        <v>90049.42964</v>
      </c>
      <c r="D238" s="13">
        <f>IFERROR(__xludf.DUMMYFUNCTION("GOOGLEFINANCE(B238,""price"")"),423.4)</f>
        <v>423.4</v>
      </c>
      <c r="E238" s="14">
        <f>IFERROR(__xludf.DUMMYFUNCTION("GOOGLEFINANCE(B238,""Volume"")"),1146978.0)</f>
        <v>1146978</v>
      </c>
      <c r="F238" s="14">
        <f t="array" ref="F238">F237</f>
        <v>14</v>
      </c>
      <c r="G238" s="15" t="str">
        <f>IFERROR(__xludf.DUMMYFUNCTION("IF(E238&gt;AVERAGE(INDEX(GOOGLEFINANCE(B238,""volume"",WORKDAY(TODAY(),-$F$1),TODAY()),,2)),""Breakout"","""")"),"")</f>
        <v/>
      </c>
      <c r="H238" s="16">
        <f>IFERROR(__xludf.DUMMYFUNCTION("GOOGLEFINANCE(B238,""price"")"),423.4)</f>
        <v>423.4</v>
      </c>
      <c r="I238" s="17">
        <f>IFERROR(__xludf.DUMMYFUNCTION("AVERAGE(QUERY(SORT(GOOGLEFINANCE(B238,""price"",TODAY()-365,TODAY()),1,0),""select Col2 limit 10""))"),433.21999999999997)</f>
        <v>433.22</v>
      </c>
      <c r="J238" s="17">
        <f>IFERROR(__xludf.DUMMYFUNCTION("AVERAGE(QUERY(SORT(GOOGLEFINANCE(B238,""price"",TODAY()-365,TODAY()),1,0),""select Col2 limit 30""))"),426.11333333333334)</f>
        <v>426.1133333</v>
      </c>
      <c r="K238" s="18">
        <f>IFERROR(__xludf.DUMMYFUNCTION("AVERAGE(QUERY(SORT(GOOGLEFINANCE(B238,""price"",TODAY()-365,TODAY()),1,0),""select Col2 limit 60""))"),414.4608333333333)</f>
        <v>414.4608333</v>
      </c>
      <c r="L238" s="17">
        <f>IFERROR(__xludf.DUMMYFUNCTION("AVERAGE(QUERY(SORT(GOOGLEFINANCE(B238,""price"",TODAY()-365,TODAY()),1,0),""select Col2 limit 90""))"),399.095)</f>
        <v>399.095</v>
      </c>
      <c r="M238" s="17">
        <f>IFERROR(__xludf.DUMMYFUNCTION("AVERAGE(QUERY(SORT(GOOGLEFINANCE(B238,""price"",TODAY()-365,TODAY()),1,0),""select Col2 limit 120""))"),380.8733333333332)</f>
        <v>380.8733333</v>
      </c>
      <c r="N238" s="19">
        <f>IFERROR(__xludf.DUMMYFUNCTION("AVERAGE(QUERY(SORT(GOOGLEFINANCE(B238,""price"",TODAY()-365,TODAY()),1,0),""select Col2 limit 200""))"),384.0589999999998)</f>
        <v>384.059</v>
      </c>
      <c r="O238" s="20" t="str">
        <f t="shared" si="2"/>
        <v>Avoid</v>
      </c>
      <c r="P238" s="21" t="str">
        <f t="shared" si="3"/>
        <v>30 DMA</v>
      </c>
      <c r="Q238" s="21" t="str">
        <f t="shared" si="4"/>
        <v/>
      </c>
      <c r="R238" s="22">
        <f>IFERROR(__xludf.DUMMYFUNCTION("GOOGLEFINANCE(B238, ""pe"")
"),13.37)</f>
        <v>13.37</v>
      </c>
    </row>
    <row r="239">
      <c r="A239" s="9" t="s">
        <v>252</v>
      </c>
      <c r="B239" s="11" t="str">
        <f t="shared" si="1"/>
        <v>NSE:SUPREMEIND</v>
      </c>
      <c r="C239" s="12">
        <f>IFERROR(__xludf.DUMMYFUNCTION("GOOGLEFINANCE(B239,""marketcap"")/10000000"),54952.9430784)</f>
        <v>54952.94308</v>
      </c>
      <c r="D239" s="13">
        <f>IFERROR(__xludf.DUMMYFUNCTION("GOOGLEFINANCE(B239,""price"")"),4325.0)</f>
        <v>4325</v>
      </c>
      <c r="E239" s="14">
        <f>IFERROR(__xludf.DUMMYFUNCTION("GOOGLEFINANCE(B239,""Volume"")"),109925.0)</f>
        <v>109925</v>
      </c>
      <c r="F239" s="14">
        <f t="array" ref="F239">F238</f>
        <v>14</v>
      </c>
      <c r="G239" s="15" t="str">
        <f>IFERROR(__xludf.DUMMYFUNCTION("IF(E239&gt;AVERAGE(INDEX(GOOGLEFINANCE(B239,""volume"",WORKDAY(TODAY(),-$F$1),TODAY()),,2)),""Breakout"","""")"),"")</f>
        <v/>
      </c>
      <c r="H239" s="16">
        <f>IFERROR(__xludf.DUMMYFUNCTION("GOOGLEFINANCE(B239,""price"")"),4325.0)</f>
        <v>4325</v>
      </c>
      <c r="I239" s="17">
        <f>IFERROR(__xludf.DUMMYFUNCTION("AVERAGE(QUERY(SORT(GOOGLEFINANCE(B239,""price"",TODAY()-365,TODAY()),1,0),""select Col2 limit 10""))"),4204.69)</f>
        <v>4204.69</v>
      </c>
      <c r="J239" s="17">
        <f>IFERROR(__xludf.DUMMYFUNCTION("AVERAGE(QUERY(SORT(GOOGLEFINANCE(B239,""price"",TODAY()-365,TODAY()),1,0),""select Col2 limit 30""))"),4312.663333333333)</f>
        <v>4312.663333</v>
      </c>
      <c r="K239" s="18">
        <f>IFERROR(__xludf.DUMMYFUNCTION("AVERAGE(QUERY(SORT(GOOGLEFINANCE(B239,""price"",TODAY()-365,TODAY()),1,0),""select Col2 limit 60""))"),4133.256666666667)</f>
        <v>4133.256667</v>
      </c>
      <c r="L239" s="17">
        <f>IFERROR(__xludf.DUMMYFUNCTION("AVERAGE(QUERY(SORT(GOOGLEFINANCE(B239,""price"",TODAY()-365,TODAY()),1,0),""select Col2 limit 90""))"),3892.45888888889)</f>
        <v>3892.458889</v>
      </c>
      <c r="M239" s="17">
        <f>IFERROR(__xludf.DUMMYFUNCTION("AVERAGE(QUERY(SORT(GOOGLEFINANCE(B239,""price"",TODAY()-365,TODAY()),1,0),""select Col2 limit 120""))"),3839.2833333333338)</f>
        <v>3839.283333</v>
      </c>
      <c r="N239" s="19">
        <f>IFERROR(__xludf.DUMMYFUNCTION("AVERAGE(QUERY(SORT(GOOGLEFINANCE(B239,""price"",TODAY()-365,TODAY()),1,0),""select Col2 limit 200""))"),4166.013250000001)</f>
        <v>4166.01325</v>
      </c>
      <c r="O239" s="20" t="str">
        <f t="shared" si="2"/>
        <v>Avoid</v>
      </c>
      <c r="P239" s="21" t="str">
        <f t="shared" si="3"/>
        <v/>
      </c>
      <c r="Q239" s="21" t="str">
        <f t="shared" si="4"/>
        <v/>
      </c>
      <c r="R239" s="22">
        <f>IFERROR(__xludf.DUMMYFUNCTION("GOOGLEFINANCE(B239, ""pe"")
"),61.85)</f>
        <v>61.85</v>
      </c>
    </row>
    <row r="240">
      <c r="A240" s="9" t="s">
        <v>253</v>
      </c>
      <c r="B240" s="11" t="str">
        <f t="shared" si="1"/>
        <v>NSE:PRESTIGE</v>
      </c>
      <c r="C240" s="12">
        <f>IFERROR(__xludf.DUMMYFUNCTION("GOOGLEFINANCE(B240,""marketcap"")/10000000"),69541.39079)</f>
        <v>69541.39079</v>
      </c>
      <c r="D240" s="13">
        <f>IFERROR(__xludf.DUMMYFUNCTION("GOOGLEFINANCE(B240,""price"")"),1616.2)</f>
        <v>1616.2</v>
      </c>
      <c r="E240" s="14">
        <f>IFERROR(__xludf.DUMMYFUNCTION("GOOGLEFINANCE(B240,""Volume"")"),575361.0)</f>
        <v>575361</v>
      </c>
      <c r="F240" s="14">
        <f t="array" ref="F240">F239</f>
        <v>14</v>
      </c>
      <c r="G240" s="15" t="str">
        <f>IFERROR(__xludf.DUMMYFUNCTION("IF(E240&gt;AVERAGE(INDEX(GOOGLEFINANCE(B240,""volume"",WORKDAY(TODAY(),-$F$1),TODAY()),,2)),""Breakout"","""")"),"")</f>
        <v/>
      </c>
      <c r="H240" s="16">
        <f>IFERROR(__xludf.DUMMYFUNCTION("GOOGLEFINANCE(B240,""price"")"),1616.2)</f>
        <v>1616.2</v>
      </c>
      <c r="I240" s="17">
        <f>IFERROR(__xludf.DUMMYFUNCTION("AVERAGE(QUERY(SORT(GOOGLEFINANCE(B240,""price"",TODAY()-365,TODAY()),1,0),""select Col2 limit 10""))"),1745.5000000000005)</f>
        <v>1745.5</v>
      </c>
      <c r="J240" s="17">
        <f>IFERROR(__xludf.DUMMYFUNCTION("AVERAGE(QUERY(SORT(GOOGLEFINANCE(B240,""price"",TODAY()-365,TODAY()),1,0),""select Col2 limit 30""))"),1697.9166666666667)</f>
        <v>1697.916667</v>
      </c>
      <c r="K240" s="18">
        <f>IFERROR(__xludf.DUMMYFUNCTION("AVERAGE(QUERY(SORT(GOOGLEFINANCE(B240,""price"",TODAY()-365,TODAY()),1,0),""select Col2 limit 60""))"),1589.6950000000002)</f>
        <v>1589.695</v>
      </c>
      <c r="L240" s="17">
        <f>IFERROR(__xludf.DUMMYFUNCTION("AVERAGE(QUERY(SORT(GOOGLEFINANCE(B240,""price"",TODAY()-365,TODAY()),1,0),""select Col2 limit 90""))"),1464.0500000000004)</f>
        <v>1464.05</v>
      </c>
      <c r="M240" s="17">
        <f>IFERROR(__xludf.DUMMYFUNCTION("AVERAGE(QUERY(SORT(GOOGLEFINANCE(B240,""price"",TODAY()-365,TODAY()),1,0),""select Col2 limit 120""))"),1407.385)</f>
        <v>1407.385</v>
      </c>
      <c r="N240" s="19">
        <f>IFERROR(__xludf.DUMMYFUNCTION("AVERAGE(QUERY(SORT(GOOGLEFINANCE(B240,""price"",TODAY()-365,TODAY()),1,0),""select Col2 limit 200""))"),1504.1417499999998)</f>
        <v>1504.14175</v>
      </c>
      <c r="O240" s="20" t="str">
        <f t="shared" si="2"/>
        <v>Avoid</v>
      </c>
      <c r="P240" s="21" t="str">
        <f t="shared" si="3"/>
        <v/>
      </c>
      <c r="Q240" s="21" t="str">
        <f t="shared" si="4"/>
        <v/>
      </c>
      <c r="R240" s="22">
        <f>IFERROR(__xludf.DUMMYFUNCTION("GOOGLEFINANCE(B240, ""pe"")
"),144.27)</f>
        <v>144.27</v>
      </c>
    </row>
    <row r="241">
      <c r="A241" s="9" t="s">
        <v>254</v>
      </c>
      <c r="B241" s="11" t="str">
        <f t="shared" si="1"/>
        <v>NSE:PHOENIXLTD</v>
      </c>
      <c r="C241" s="12">
        <f>IFERROR(__xludf.DUMMYFUNCTION("GOOGLEFINANCE(B241,""marketcap"")/10000000"),54562.04631)</f>
        <v>54562.04631</v>
      </c>
      <c r="D241" s="13">
        <f>IFERROR(__xludf.DUMMYFUNCTION("GOOGLEFINANCE(B241,""price"")"),1526.2)</f>
        <v>1526.2</v>
      </c>
      <c r="E241" s="14">
        <f>IFERROR(__xludf.DUMMYFUNCTION("GOOGLEFINANCE(B241,""Volume"")"),424356.0)</f>
        <v>424356</v>
      </c>
      <c r="F241" s="14">
        <f t="array" ref="F241">F240</f>
        <v>14</v>
      </c>
      <c r="G241" s="15" t="str">
        <f>IFERROR(__xludf.DUMMYFUNCTION("IF(E241&gt;AVERAGE(INDEX(GOOGLEFINANCE(B241,""volume"",WORKDAY(TODAY(),-$F$1),TODAY()),,2)),""Breakout"","""")"),"")</f>
        <v/>
      </c>
      <c r="H241" s="16">
        <f>IFERROR(__xludf.DUMMYFUNCTION("GOOGLEFINANCE(B241,""price"")"),1526.2)</f>
        <v>1526.2</v>
      </c>
      <c r="I241" s="17">
        <f>IFERROR(__xludf.DUMMYFUNCTION("AVERAGE(QUERY(SORT(GOOGLEFINANCE(B241,""price"",TODAY()-365,TODAY()),1,0),""select Col2 limit 10""))"),1486.7199999999998)</f>
        <v>1486.72</v>
      </c>
      <c r="J241" s="17">
        <f>IFERROR(__xludf.DUMMYFUNCTION("AVERAGE(QUERY(SORT(GOOGLEFINANCE(B241,""price"",TODAY()-365,TODAY()),1,0),""select Col2 limit 30""))"),1540.8300000000002)</f>
        <v>1540.83</v>
      </c>
      <c r="K241" s="18">
        <f>IFERROR(__xludf.DUMMYFUNCTION("AVERAGE(QUERY(SORT(GOOGLEFINANCE(B241,""price"",TODAY()-365,TODAY()),1,0),""select Col2 limit 60""))"),1557.3616666666665)</f>
        <v>1557.361667</v>
      </c>
      <c r="L241" s="17">
        <f>IFERROR(__xludf.DUMMYFUNCTION("AVERAGE(QUERY(SORT(GOOGLEFINANCE(B241,""price"",TODAY()-365,TODAY()),1,0),""select Col2 limit 90""))"),1575.4849999999997)</f>
        <v>1575.485</v>
      </c>
      <c r="M241" s="17">
        <f>IFERROR(__xludf.DUMMYFUNCTION("AVERAGE(QUERY(SORT(GOOGLEFINANCE(B241,""price"",TODAY()-365,TODAY()),1,0),""select Col2 limit 120""))"),1581.988333333333)</f>
        <v>1581.988333</v>
      </c>
      <c r="N241" s="19">
        <f>IFERROR(__xludf.DUMMYFUNCTION("AVERAGE(QUERY(SORT(GOOGLEFINANCE(B241,""price"",TODAY()-365,TODAY()),1,0),""select Col2 limit 200""))"),1596.6642499999996)</f>
        <v>1596.66425</v>
      </c>
      <c r="O241" s="20" t="str">
        <f t="shared" si="2"/>
        <v>Avoid</v>
      </c>
      <c r="P241" s="21" t="str">
        <f t="shared" si="3"/>
        <v>30 DMA</v>
      </c>
      <c r="Q241" s="21" t="str">
        <f t="shared" si="4"/>
        <v>30 DMA cross best</v>
      </c>
      <c r="R241" s="22">
        <f>IFERROR(__xludf.DUMMYFUNCTION("GOOGLEFINANCE(B241, ""pe"")
"),51.18)</f>
        <v>51.18</v>
      </c>
    </row>
    <row r="242">
      <c r="A242" s="9" t="s">
        <v>255</v>
      </c>
      <c r="B242" s="11" t="str">
        <f t="shared" si="1"/>
        <v>NSE:LINDEINDIA</v>
      </c>
      <c r="C242" s="12">
        <f>IFERROR(__xludf.DUMMYFUNCTION("GOOGLEFINANCE(B242,""marketcap"")/10000000"),55468.856688)</f>
        <v>55468.85669</v>
      </c>
      <c r="D242" s="13">
        <f>IFERROR(__xludf.DUMMYFUNCTION("GOOGLEFINANCE(B242,""price"")"),6512.0)</f>
        <v>6512</v>
      </c>
      <c r="E242" s="14">
        <f>IFERROR(__xludf.DUMMYFUNCTION("GOOGLEFINANCE(B242,""Volume"")"),14375.0)</f>
        <v>14375</v>
      </c>
      <c r="F242" s="14">
        <f t="array" ref="F242">F241</f>
        <v>14</v>
      </c>
      <c r="G242" s="15" t="str">
        <f>IFERROR(__xludf.DUMMYFUNCTION("IF(E242&gt;AVERAGE(INDEX(GOOGLEFINANCE(B242,""volume"",WORKDAY(TODAY(),-$F$1),TODAY()),,2)),""Breakout"","""")"),"")</f>
        <v/>
      </c>
      <c r="H242" s="16">
        <f>IFERROR(__xludf.DUMMYFUNCTION("GOOGLEFINANCE(B242,""price"")"),6512.0)</f>
        <v>6512</v>
      </c>
      <c r="I242" s="17">
        <f>IFERROR(__xludf.DUMMYFUNCTION("AVERAGE(QUERY(SORT(GOOGLEFINANCE(B242,""price"",TODAY()-365,TODAY()),1,0),""select Col2 limit 10""))"),6680.75)</f>
        <v>6680.75</v>
      </c>
      <c r="J242" s="17">
        <f>IFERROR(__xludf.DUMMYFUNCTION("AVERAGE(QUERY(SORT(GOOGLEFINANCE(B242,""price"",TODAY()-365,TODAY()),1,0),""select Col2 limit 30""))"),6721.016666666666)</f>
        <v>6721.016667</v>
      </c>
      <c r="K242" s="18">
        <f>IFERROR(__xludf.DUMMYFUNCTION("AVERAGE(QUERY(SORT(GOOGLEFINANCE(B242,""price"",TODAY()-365,TODAY()),1,0),""select Col2 limit 60""))"),6893.491666666667)</f>
        <v>6893.491667</v>
      </c>
      <c r="L242" s="17">
        <f>IFERROR(__xludf.DUMMYFUNCTION("AVERAGE(QUERY(SORT(GOOGLEFINANCE(B242,""price"",TODAY()-365,TODAY()),1,0),""select Col2 limit 90""))"),6677.934444444445)</f>
        <v>6677.934444</v>
      </c>
      <c r="M242" s="17">
        <f>IFERROR(__xludf.DUMMYFUNCTION("AVERAGE(QUERY(SORT(GOOGLEFINANCE(B242,""price"",TODAY()-365,TODAY()),1,0),""select Col2 limit 120""))"),6517.912500000001)</f>
        <v>6517.9125</v>
      </c>
      <c r="N242" s="19">
        <f>IFERROR(__xludf.DUMMYFUNCTION("AVERAGE(QUERY(SORT(GOOGLEFINANCE(B242,""price"",TODAY()-365,TODAY()),1,0),""select Col2 limit 200""))"),6675.164250000002)</f>
        <v>6675.16425</v>
      </c>
      <c r="O242" s="20" t="str">
        <f t="shared" si="2"/>
        <v>Avoid</v>
      </c>
      <c r="P242" s="21" t="str">
        <f t="shared" si="3"/>
        <v>120 DMA</v>
      </c>
      <c r="Q242" s="21" t="str">
        <f t="shared" si="4"/>
        <v/>
      </c>
      <c r="R242" s="22">
        <f>IFERROR(__xludf.DUMMYFUNCTION("GOOGLEFINANCE(B242, ""pe"")
"),122.18)</f>
        <v>122.18</v>
      </c>
    </row>
    <row r="243">
      <c r="A243" s="9" t="s">
        <v>256</v>
      </c>
      <c r="B243" s="11" t="str">
        <f t="shared" si="1"/>
        <v>NSE:SRF</v>
      </c>
      <c r="C243" s="12">
        <f>IFERROR(__xludf.DUMMYFUNCTION("GOOGLEFINANCE(B243,""marketcap"")/10000000"),91455.9449913)</f>
        <v>91455.94499</v>
      </c>
      <c r="D243" s="13">
        <f>IFERROR(__xludf.DUMMYFUNCTION("GOOGLEFINANCE(B243,""price"")"),3080.0)</f>
        <v>3080</v>
      </c>
      <c r="E243" s="14">
        <f>IFERROR(__xludf.DUMMYFUNCTION("GOOGLEFINANCE(B243,""Volume"")"),201370.0)</f>
        <v>201370</v>
      </c>
      <c r="F243" s="14">
        <f t="array" ref="F243">F242</f>
        <v>14</v>
      </c>
      <c r="G243" s="15" t="str">
        <f>IFERROR(__xludf.DUMMYFUNCTION("IF(E243&gt;AVERAGE(INDEX(GOOGLEFINANCE(B243,""volume"",WORKDAY(TODAY(),-$F$1),TODAY()),,2)),""Breakout"","""")"),"")</f>
        <v/>
      </c>
      <c r="H243" s="16">
        <f>IFERROR(__xludf.DUMMYFUNCTION("GOOGLEFINANCE(B243,""price"")"),3080.0)</f>
        <v>3080</v>
      </c>
      <c r="I243" s="17">
        <f>IFERROR(__xludf.DUMMYFUNCTION("AVERAGE(QUERY(SORT(GOOGLEFINANCE(B243,""price"",TODAY()-365,TODAY()),1,0),""select Col2 limit 10""))"),3163.4900000000002)</f>
        <v>3163.49</v>
      </c>
      <c r="J243" s="17">
        <f>IFERROR(__xludf.DUMMYFUNCTION("AVERAGE(QUERY(SORT(GOOGLEFINANCE(B243,""price"",TODAY()-365,TODAY()),1,0),""select Col2 limit 30""))"),3161.0633333333326)</f>
        <v>3161.063333</v>
      </c>
      <c r="K243" s="18">
        <f>IFERROR(__xludf.DUMMYFUNCTION("AVERAGE(QUERY(SORT(GOOGLEFINANCE(B243,""price"",TODAY()-365,TODAY()),1,0),""select Col2 limit 60""))"),3068.5916666666662)</f>
        <v>3068.591667</v>
      </c>
      <c r="L243" s="17">
        <f>IFERROR(__xludf.DUMMYFUNCTION("AVERAGE(QUERY(SORT(GOOGLEFINANCE(B243,""price"",TODAY()-365,TODAY()),1,0),""select Col2 limit 90""))"),3030.367222222222)</f>
        <v>3030.367222</v>
      </c>
      <c r="M243" s="17">
        <f>IFERROR(__xludf.DUMMYFUNCTION("AVERAGE(QUERY(SORT(GOOGLEFINANCE(B243,""price"",TODAY()-365,TODAY()),1,0),""select Col2 limit 120""))"),2984.669583333333)</f>
        <v>2984.669583</v>
      </c>
      <c r="N243" s="19">
        <f>IFERROR(__xludf.DUMMYFUNCTION("AVERAGE(QUERY(SORT(GOOGLEFINANCE(B243,""price"",TODAY()-365,TODAY()),1,0),""select Col2 limit 200""))"),2724.8992500000018)</f>
        <v>2724.89925</v>
      </c>
      <c r="O243" s="20" t="str">
        <f t="shared" si="2"/>
        <v>Avoid</v>
      </c>
      <c r="P243" s="21" t="str">
        <f t="shared" si="3"/>
        <v/>
      </c>
      <c r="Q243" s="21" t="str">
        <f t="shared" si="4"/>
        <v/>
      </c>
      <c r="R243" s="22">
        <f>IFERROR(__xludf.DUMMYFUNCTION("GOOGLEFINANCE(B243, ""pe"")
"),63.82)</f>
        <v>63.82</v>
      </c>
    </row>
    <row r="244">
      <c r="A244" s="9" t="s">
        <v>257</v>
      </c>
      <c r="B244" s="11" t="str">
        <f t="shared" si="1"/>
        <v>NSE:SBICARD</v>
      </c>
      <c r="C244" s="12">
        <f>IFERROR(__xludf.DUMMYFUNCTION("GOOGLEFINANCE(B244,""marketcap"")/10000000"),80213.78511)</f>
        <v>80213.78511</v>
      </c>
      <c r="D244" s="13">
        <f>IFERROR(__xludf.DUMMYFUNCTION("GOOGLEFINANCE(B244,""price"")"),843.2)</f>
        <v>843.2</v>
      </c>
      <c r="E244" s="14">
        <f>IFERROR(__xludf.DUMMYFUNCTION("GOOGLEFINANCE(B244,""Volume"")"),2360268.0)</f>
        <v>2360268</v>
      </c>
      <c r="F244" s="14">
        <f t="array" ref="F244">F243</f>
        <v>14</v>
      </c>
      <c r="G244" s="15" t="str">
        <f>IFERROR(__xludf.DUMMYFUNCTION("IF(E244&gt;AVERAGE(INDEX(GOOGLEFINANCE(B244,""volume"",WORKDAY(TODAY(),-$F$1),TODAY()),,2)),""Breakout"","""")"),"Breakout")</f>
        <v>Breakout</v>
      </c>
      <c r="H244" s="16">
        <f>IFERROR(__xludf.DUMMYFUNCTION("GOOGLEFINANCE(B244,""price"")"),843.2)</f>
        <v>843.2</v>
      </c>
      <c r="I244" s="17">
        <f>IFERROR(__xludf.DUMMYFUNCTION("AVERAGE(QUERY(SORT(GOOGLEFINANCE(B244,""price"",TODAY()-365,TODAY()),1,0),""select Col2 limit 10""))"),896.3150000000002)</f>
        <v>896.315</v>
      </c>
      <c r="J244" s="17">
        <f>IFERROR(__xludf.DUMMYFUNCTION("AVERAGE(QUERY(SORT(GOOGLEFINANCE(B244,""price"",TODAY()-365,TODAY()),1,0),""select Col2 limit 30""))"),930.8449999999999)</f>
        <v>930.845</v>
      </c>
      <c r="K244" s="18">
        <f>IFERROR(__xludf.DUMMYFUNCTION("AVERAGE(QUERY(SORT(GOOGLEFINANCE(B244,""price"",TODAY()-365,TODAY()),1,0),""select Col2 limit 60""))"),928.5649999999998)</f>
        <v>928.565</v>
      </c>
      <c r="L244" s="17">
        <f>IFERROR(__xludf.DUMMYFUNCTION("AVERAGE(QUERY(SORT(GOOGLEFINANCE(B244,""price"",TODAY()-365,TODAY()),1,0),""select Col2 limit 90""))"),908.4355555555559)</f>
        <v>908.4355556</v>
      </c>
      <c r="M244" s="17">
        <f>IFERROR(__xludf.DUMMYFUNCTION("AVERAGE(QUERY(SORT(GOOGLEFINANCE(B244,""price"",TODAY()-365,TODAY()),1,0),""select Col2 limit 120""))"),888.6287500000004)</f>
        <v>888.62875</v>
      </c>
      <c r="N244" s="19">
        <f>IFERROR(__xludf.DUMMYFUNCTION("AVERAGE(QUERY(SORT(GOOGLEFINANCE(B244,""price"",TODAY()-365,TODAY()),1,0),""select Col2 limit 200""))"),818.8315000000001)</f>
        <v>818.8315</v>
      </c>
      <c r="O244" s="20" t="str">
        <f t="shared" si="2"/>
        <v>Sell Below 200 DMA</v>
      </c>
      <c r="P244" s="21" t="str">
        <f t="shared" si="3"/>
        <v/>
      </c>
      <c r="Q244" s="21" t="str">
        <f t="shared" si="4"/>
        <v/>
      </c>
      <c r="R244" s="22">
        <f>IFERROR(__xludf.DUMMYFUNCTION("GOOGLEFINANCE(B244, ""pe"")
"),42.73)</f>
        <v>42.73</v>
      </c>
    </row>
    <row r="245">
      <c r="A245" s="23" t="s">
        <v>257</v>
      </c>
      <c r="B245" s="11" t="str">
        <f t="shared" si="1"/>
        <v>NSE:SBICARD</v>
      </c>
      <c r="C245" s="12">
        <f>IFERROR(__xludf.DUMMYFUNCTION("GOOGLEFINANCE(B245,""marketcap"")/10000000"),80213.78511)</f>
        <v>80213.78511</v>
      </c>
      <c r="D245" s="13">
        <f>IFERROR(__xludf.DUMMYFUNCTION("GOOGLEFINANCE(B245,""price"")"),843.2)</f>
        <v>843.2</v>
      </c>
      <c r="E245" s="14">
        <f>IFERROR(__xludf.DUMMYFUNCTION("GOOGLEFINANCE(B245,""Volume"")"),2360268.0)</f>
        <v>2360268</v>
      </c>
      <c r="F245" s="14">
        <f t="array" ref="F245">F244</f>
        <v>14</v>
      </c>
      <c r="G245" s="15" t="str">
        <f>IFERROR(__xludf.DUMMYFUNCTION("IF(E245&gt;AVERAGE(INDEX(GOOGLEFINANCE(B245,""volume"",WORKDAY(TODAY(),-$F$1),TODAY()),,2)),""Breakout"","""")"),"Breakout")</f>
        <v>Breakout</v>
      </c>
      <c r="H245" s="16">
        <f>IFERROR(__xludf.DUMMYFUNCTION("GOOGLEFINANCE(B245,""price"")"),843.2)</f>
        <v>843.2</v>
      </c>
      <c r="I245" s="17">
        <f>IFERROR(__xludf.DUMMYFUNCTION("AVERAGE(QUERY(SORT(GOOGLEFINANCE(B245,""price"",TODAY()-365,TODAY()),1,0),""select Col2 limit 10""))"),896.3150000000002)</f>
        <v>896.315</v>
      </c>
      <c r="J245" s="17">
        <f>IFERROR(__xludf.DUMMYFUNCTION("AVERAGE(QUERY(SORT(GOOGLEFINANCE(B245,""price"",TODAY()-365,TODAY()),1,0),""select Col2 limit 30""))"),930.8449999999999)</f>
        <v>930.845</v>
      </c>
      <c r="K245" s="18">
        <f>IFERROR(__xludf.DUMMYFUNCTION("AVERAGE(QUERY(SORT(GOOGLEFINANCE(B245,""price"",TODAY()-365,TODAY()),1,0),""select Col2 limit 60""))"),928.5649999999998)</f>
        <v>928.565</v>
      </c>
      <c r="L245" s="17">
        <f>IFERROR(__xludf.DUMMYFUNCTION("AVERAGE(QUERY(SORT(GOOGLEFINANCE(B245,""price"",TODAY()-365,TODAY()),1,0),""select Col2 limit 90""))"),908.4355555555559)</f>
        <v>908.4355556</v>
      </c>
      <c r="M245" s="17">
        <f>IFERROR(__xludf.DUMMYFUNCTION("AVERAGE(QUERY(SORT(GOOGLEFINANCE(B245,""price"",TODAY()-365,TODAY()),1,0),""select Col2 limit 120""))"),888.6287500000004)</f>
        <v>888.62875</v>
      </c>
      <c r="N245" s="19">
        <f>IFERROR(__xludf.DUMMYFUNCTION("AVERAGE(QUERY(SORT(GOOGLEFINANCE(B245,""price"",TODAY()-365,TODAY()),1,0),""select Col2 limit 200""))"),818.8315000000001)</f>
        <v>818.8315</v>
      </c>
      <c r="O245" s="20" t="str">
        <f t="shared" si="2"/>
        <v>Sell Below 200 DMA</v>
      </c>
      <c r="P245" s="21" t="str">
        <f t="shared" si="3"/>
        <v/>
      </c>
      <c r="Q245" s="21" t="str">
        <f t="shared" si="4"/>
        <v/>
      </c>
      <c r="R245" s="22">
        <f>IFERROR(__xludf.DUMMYFUNCTION("GOOGLEFINANCE(B245, ""pe"")
"),42.73)</f>
        <v>42.73</v>
      </c>
    </row>
    <row r="246">
      <c r="A246" s="9" t="s">
        <v>258</v>
      </c>
      <c r="B246" s="11" t="str">
        <f t="shared" si="1"/>
        <v>NSE:GICRE</v>
      </c>
      <c r="C246" s="12">
        <f>IFERROR(__xludf.DUMMYFUNCTION("GOOGLEFINANCE(B246,""marketcap"")/10000000"),65368.9450708)</f>
        <v>65368.94507</v>
      </c>
      <c r="D246" s="13">
        <f>IFERROR(__xludf.DUMMYFUNCTION("GOOGLEFINANCE(B246,""price"")"),373.0)</f>
        <v>373</v>
      </c>
      <c r="E246" s="14">
        <f>IFERROR(__xludf.DUMMYFUNCTION("GOOGLEFINANCE(B246,""Volume"")"),136640.0)</f>
        <v>136640</v>
      </c>
      <c r="F246" s="14">
        <f t="array" ref="F246">F245</f>
        <v>14</v>
      </c>
      <c r="G246" s="15" t="str">
        <f>IFERROR(__xludf.DUMMYFUNCTION("IF(E246&gt;AVERAGE(INDEX(GOOGLEFINANCE(B246,""volume"",WORKDAY(TODAY(),-$F$1),TODAY()),,2)),""Breakout"","""")"),"")</f>
        <v/>
      </c>
      <c r="H246" s="16">
        <f>IFERROR(__xludf.DUMMYFUNCTION("GOOGLEFINANCE(B246,""price"")"),373.0)</f>
        <v>373</v>
      </c>
      <c r="I246" s="17">
        <f>IFERROR(__xludf.DUMMYFUNCTION("AVERAGE(QUERY(SORT(GOOGLEFINANCE(B246,""price"",TODAY()-365,TODAY()),1,0),""select Col2 limit 10""))"),383.1)</f>
        <v>383.1</v>
      </c>
      <c r="J246" s="17">
        <f>IFERROR(__xludf.DUMMYFUNCTION("AVERAGE(QUERY(SORT(GOOGLEFINANCE(B246,""price"",TODAY()-365,TODAY()),1,0),""select Col2 limit 30""))"),380.3016666666667)</f>
        <v>380.3016667</v>
      </c>
      <c r="K246" s="18">
        <f>IFERROR(__xludf.DUMMYFUNCTION("AVERAGE(QUERY(SORT(GOOGLEFINANCE(B246,""price"",TODAY()-365,TODAY()),1,0),""select Col2 limit 60""))"),396.7366666666667)</f>
        <v>396.7366667</v>
      </c>
      <c r="L246" s="17">
        <f>IFERROR(__xludf.DUMMYFUNCTION("AVERAGE(QUERY(SORT(GOOGLEFINANCE(B246,""price"",TODAY()-365,TODAY()),1,0),""select Col2 limit 90""))"),403.70833333333314)</f>
        <v>403.7083333</v>
      </c>
      <c r="M246" s="17">
        <f>IFERROR(__xludf.DUMMYFUNCTION("AVERAGE(QUERY(SORT(GOOGLEFINANCE(B246,""price"",TODAY()-365,TODAY()),1,0),""select Col2 limit 120""))"),399.7954166666664)</f>
        <v>399.7954167</v>
      </c>
      <c r="N246" s="19">
        <f>IFERROR(__xludf.DUMMYFUNCTION("AVERAGE(QUERY(SORT(GOOGLEFINANCE(B246,""price"",TODAY()-365,TODAY()),1,0),""select Col2 limit 200""))"),402.74874999999986)</f>
        <v>402.74875</v>
      </c>
      <c r="O246" s="20" t="str">
        <f t="shared" si="2"/>
        <v>Avoid</v>
      </c>
      <c r="P246" s="21" t="str">
        <f t="shared" si="3"/>
        <v/>
      </c>
      <c r="Q246" s="21" t="str">
        <f t="shared" si="4"/>
        <v/>
      </c>
      <c r="R246" s="22">
        <f>IFERROR(__xludf.DUMMYFUNCTION("GOOGLEFINANCE(B246, ""pe"")
"),8.81)</f>
        <v>8.81</v>
      </c>
    </row>
    <row r="247">
      <c r="A247" s="9" t="s">
        <v>259</v>
      </c>
      <c r="B247" s="11" t="str">
        <f t="shared" si="1"/>
        <v>NSE:DIXON</v>
      </c>
      <c r="C247" s="12">
        <f>IFERROR(__xludf.DUMMYFUNCTION("GOOGLEFINANCE(B247,""marketcap"")/10000000"),101903.367013)</f>
        <v>101903.367</v>
      </c>
      <c r="D247" s="13">
        <f>IFERROR(__xludf.DUMMYFUNCTION("GOOGLEFINANCE(B247,""price"")"),16834.0)</f>
        <v>16834</v>
      </c>
      <c r="E247" s="14">
        <f>IFERROR(__xludf.DUMMYFUNCTION("GOOGLEFINANCE(B247,""Volume"")"),207890.0)</f>
        <v>207890</v>
      </c>
      <c r="F247" s="14">
        <f t="array" ref="F247">F246</f>
        <v>14</v>
      </c>
      <c r="G247" s="15" t="str">
        <f>IFERROR(__xludf.DUMMYFUNCTION("IF(E247&gt;AVERAGE(INDEX(GOOGLEFINANCE(B247,""volume"",WORKDAY(TODAY(),-$F$1),TODAY()),,2)),""Breakout"","""")"),"")</f>
        <v/>
      </c>
      <c r="H247" s="16">
        <f>IFERROR(__xludf.DUMMYFUNCTION("GOOGLEFINANCE(B247,""price"")"),16834.0)</f>
        <v>16834</v>
      </c>
      <c r="I247" s="17">
        <f>IFERROR(__xludf.DUMMYFUNCTION("AVERAGE(QUERY(SORT(GOOGLEFINANCE(B247,""price"",TODAY()-365,TODAY()),1,0),""select Col2 limit 10""))"),16230.4)</f>
        <v>16230.4</v>
      </c>
      <c r="J247" s="17">
        <f>IFERROR(__xludf.DUMMYFUNCTION("AVERAGE(QUERY(SORT(GOOGLEFINANCE(B247,""price"",TODAY()-365,TODAY()),1,0),""select Col2 limit 30""))"),15289.9)</f>
        <v>15289.9</v>
      </c>
      <c r="K247" s="18">
        <f>IFERROR(__xludf.DUMMYFUNCTION("AVERAGE(QUERY(SORT(GOOGLEFINANCE(B247,""price"",TODAY()-365,TODAY()),1,0),""select Col2 limit 60""))"),15339.966666666667)</f>
        <v>15339.96667</v>
      </c>
      <c r="L247" s="17">
        <f>IFERROR(__xludf.DUMMYFUNCTION("AVERAGE(QUERY(SORT(GOOGLEFINANCE(B247,""price"",TODAY()-365,TODAY()),1,0),""select Col2 limit 90""))"),15070.401666666665)</f>
        <v>15070.40167</v>
      </c>
      <c r="M247" s="17">
        <f>IFERROR(__xludf.DUMMYFUNCTION("AVERAGE(QUERY(SORT(GOOGLEFINANCE(B247,""price"",TODAY()-365,TODAY()),1,0),""select Col2 limit 120""))"),14862.055416666666)</f>
        <v>14862.05542</v>
      </c>
      <c r="N247" s="19">
        <f>IFERROR(__xludf.DUMMYFUNCTION("AVERAGE(QUERY(SORT(GOOGLEFINANCE(B247,""price"",TODAY()-365,TODAY()),1,0),""select Col2 limit 200""))"),15375.662499999995)</f>
        <v>15375.6625</v>
      </c>
      <c r="O247" s="20" t="str">
        <f t="shared" si="2"/>
        <v>Avoid</v>
      </c>
      <c r="P247" s="21" t="str">
        <f t="shared" si="3"/>
        <v/>
      </c>
      <c r="Q247" s="21" t="str">
        <f t="shared" si="4"/>
        <v/>
      </c>
      <c r="R247" s="22">
        <f>IFERROR(__xludf.DUMMYFUNCTION("GOOGLEFINANCE(B247, ""pe"")
"),74.37)</f>
        <v>74.37</v>
      </c>
    </row>
    <row r="248">
      <c r="A248" s="9" t="s">
        <v>260</v>
      </c>
      <c r="B248" s="11" t="str">
        <f t="shared" si="1"/>
        <v>NSE:COCHINSHIP</v>
      </c>
      <c r="C248" s="12">
        <f>IFERROR(__xludf.DUMMYFUNCTION("GOOGLEFINANCE(B248,""marketcap"")/10000000"),46638.9477805)</f>
        <v>46638.94778</v>
      </c>
      <c r="D248" s="13">
        <f>IFERROR(__xludf.DUMMYFUNCTION("GOOGLEFINANCE(B248,""price"")"),1779.0)</f>
        <v>1779</v>
      </c>
      <c r="E248" s="14">
        <f>IFERROR(__xludf.DUMMYFUNCTION("GOOGLEFINANCE(B248,""Volume"")"),513543.0)</f>
        <v>513543</v>
      </c>
      <c r="F248" s="14">
        <f t="array" ref="F248">F247</f>
        <v>14</v>
      </c>
      <c r="G248" s="15" t="str">
        <f>IFERROR(__xludf.DUMMYFUNCTION("IF(E248&gt;AVERAGE(INDEX(GOOGLEFINANCE(B248,""volume"",WORKDAY(TODAY(),-$F$1),TODAY()),,2)),""Breakout"","""")"),"")</f>
        <v/>
      </c>
      <c r="H248" s="16">
        <f>IFERROR(__xludf.DUMMYFUNCTION("GOOGLEFINANCE(B248,""price"")"),1779.0)</f>
        <v>1779</v>
      </c>
      <c r="I248" s="17">
        <f>IFERROR(__xludf.DUMMYFUNCTION("AVERAGE(QUERY(SORT(GOOGLEFINANCE(B248,""price"",TODAY()-365,TODAY()),1,0),""select Col2 limit 10""))"),1882.77)</f>
        <v>1882.77</v>
      </c>
      <c r="J248" s="17">
        <f>IFERROR(__xludf.DUMMYFUNCTION("AVERAGE(QUERY(SORT(GOOGLEFINANCE(B248,""price"",TODAY()-365,TODAY()),1,0),""select Col2 limit 30""))"),2020.2599999999993)</f>
        <v>2020.26</v>
      </c>
      <c r="K248" s="18">
        <f>IFERROR(__xludf.DUMMYFUNCTION("AVERAGE(QUERY(SORT(GOOGLEFINANCE(B248,""price"",TODAY()-365,TODAY()),1,0),""select Col2 limit 60""))"),1960.73)</f>
        <v>1960.73</v>
      </c>
      <c r="L248" s="17">
        <f>IFERROR(__xludf.DUMMYFUNCTION("AVERAGE(QUERY(SORT(GOOGLEFINANCE(B248,""price"",TODAY()-365,TODAY()),1,0),""select Col2 limit 90""))"),1788.3855555555551)</f>
        <v>1788.385556</v>
      </c>
      <c r="M248" s="17">
        <f>IFERROR(__xludf.DUMMYFUNCTION("AVERAGE(QUERY(SORT(GOOGLEFINANCE(B248,""price"",TODAY()-365,TODAY()),1,0),""select Col2 limit 120""))"),1672.5133333333329)</f>
        <v>1672.513333</v>
      </c>
      <c r="N248" s="19">
        <f>IFERROR(__xludf.DUMMYFUNCTION("AVERAGE(QUERY(SORT(GOOGLEFINANCE(B248,""price"",TODAY()-365,TODAY()),1,0),""select Col2 limit 200""))"),1609.1824999999988)</f>
        <v>1609.1825</v>
      </c>
      <c r="O248" s="20" t="str">
        <f t="shared" si="2"/>
        <v>Avoid</v>
      </c>
      <c r="P248" s="21" t="str">
        <f t="shared" si="3"/>
        <v>90 DMA</v>
      </c>
      <c r="Q248" s="21" t="str">
        <f t="shared" si="4"/>
        <v/>
      </c>
      <c r="R248" s="22">
        <f>IFERROR(__xludf.DUMMYFUNCTION("GOOGLEFINANCE(B248, ""pe"")
"),56.37)</f>
        <v>56.37</v>
      </c>
    </row>
    <row r="249">
      <c r="A249" s="9" t="s">
        <v>261</v>
      </c>
      <c r="B249" s="11" t="str">
        <f t="shared" si="1"/>
        <v>NSE:POLICYBZR</v>
      </c>
      <c r="C249" s="12">
        <f>IFERROR(__xludf.DUMMYFUNCTION("GOOGLEFINANCE(B249,""marketcap"")/10000000"),81065.0738709)</f>
        <v>81065.07387</v>
      </c>
      <c r="D249" s="13">
        <f>IFERROR(__xludf.DUMMYFUNCTION("GOOGLEFINANCE(B249,""price"")"),1773.6)</f>
        <v>1773.6</v>
      </c>
      <c r="E249" s="14">
        <f>IFERROR(__xludf.DUMMYFUNCTION("GOOGLEFINANCE(B249,""Volume"")"),191013.0)</f>
        <v>191013</v>
      </c>
      <c r="F249" s="14">
        <f t="array" ref="F249">F248</f>
        <v>14</v>
      </c>
      <c r="G249" s="15" t="str">
        <f>IFERROR(__xludf.DUMMYFUNCTION("IF(E249&gt;AVERAGE(INDEX(GOOGLEFINANCE(B249,""volume"",WORKDAY(TODAY(),-$F$1),TODAY()),,2)),""Breakout"","""")"),"")</f>
        <v/>
      </c>
      <c r="H249" s="16">
        <f>IFERROR(__xludf.DUMMYFUNCTION("GOOGLEFINANCE(B249,""price"")"),1773.6)</f>
        <v>1773.6</v>
      </c>
      <c r="I249" s="17">
        <f>IFERROR(__xludf.DUMMYFUNCTION("AVERAGE(QUERY(SORT(GOOGLEFINANCE(B249,""price"",TODAY()-365,TODAY()),1,0),""select Col2 limit 10""))"),1811.44)</f>
        <v>1811.44</v>
      </c>
      <c r="J249" s="17">
        <f>IFERROR(__xludf.DUMMYFUNCTION("AVERAGE(QUERY(SORT(GOOGLEFINANCE(B249,""price"",TODAY()-365,TODAY()),1,0),""select Col2 limit 30""))"),1848.6333333333337)</f>
        <v>1848.633333</v>
      </c>
      <c r="K249" s="18">
        <f>IFERROR(__xludf.DUMMYFUNCTION("AVERAGE(QUERY(SORT(GOOGLEFINANCE(B249,""price"",TODAY()-365,TODAY()),1,0),""select Col2 limit 60""))"),1771.9666666666665)</f>
        <v>1771.966667</v>
      </c>
      <c r="L249" s="17">
        <f>IFERROR(__xludf.DUMMYFUNCTION("AVERAGE(QUERY(SORT(GOOGLEFINANCE(B249,""price"",TODAY()-365,TODAY()),1,0),""select Col2 limit 90""))"),1689.9094444444443)</f>
        <v>1689.909444</v>
      </c>
      <c r="M249" s="17">
        <f>IFERROR(__xludf.DUMMYFUNCTION("AVERAGE(QUERY(SORT(GOOGLEFINANCE(B249,""price"",TODAY()-365,TODAY()),1,0),""select Col2 limit 120""))"),1673.5949999999996)</f>
        <v>1673.595</v>
      </c>
      <c r="N249" s="19">
        <f>IFERROR(__xludf.DUMMYFUNCTION("AVERAGE(QUERY(SORT(GOOGLEFINANCE(B249,""price"",TODAY()-365,TODAY()),1,0),""select Col2 limit 200""))"),1743.612)</f>
        <v>1743.612</v>
      </c>
      <c r="O249" s="20" t="str">
        <f t="shared" si="2"/>
        <v>Avoid</v>
      </c>
      <c r="P249" s="21" t="str">
        <f t="shared" si="3"/>
        <v/>
      </c>
      <c r="Q249" s="21" t="str">
        <f t="shared" si="4"/>
        <v/>
      </c>
      <c r="R249" s="22">
        <f>IFERROR(__xludf.DUMMYFUNCTION("GOOGLEFINANCE(B249, ""pe"")
"),231.8)</f>
        <v>231.8</v>
      </c>
    </row>
    <row r="250">
      <c r="A250" s="9" t="s">
        <v>262</v>
      </c>
      <c r="B250" s="11" t="str">
        <f t="shared" si="1"/>
        <v>NSE:UCOBANK</v>
      </c>
      <c r="C250" s="12">
        <f>IFERROR(__xludf.DUMMYFUNCTION("GOOGLEFINANCE(B250,""marketcap"")/10000000"),37806.7427716)</f>
        <v>37806.74277</v>
      </c>
      <c r="D250" s="13">
        <f>IFERROR(__xludf.DUMMYFUNCTION("GOOGLEFINANCE(B250,""price"")"),30.13)</f>
        <v>30.13</v>
      </c>
      <c r="E250" s="14">
        <f>IFERROR(__xludf.DUMMYFUNCTION("GOOGLEFINANCE(B250,""Volume"")"),2902237.0)</f>
        <v>2902237</v>
      </c>
      <c r="F250" s="14">
        <f t="array" ref="F250">F249</f>
        <v>14</v>
      </c>
      <c r="G250" s="15" t="str">
        <f>IFERROR(__xludf.DUMMYFUNCTION("IF(E250&gt;AVERAGE(INDEX(GOOGLEFINANCE(B250,""volume"",WORKDAY(TODAY(),-$F$1),TODAY()),,2)),""Breakout"","""")"),"")</f>
        <v/>
      </c>
      <c r="H250" s="16">
        <f>IFERROR(__xludf.DUMMYFUNCTION("GOOGLEFINANCE(B250,""price"")"),30.13)</f>
        <v>30.13</v>
      </c>
      <c r="I250" s="17" t="str">
        <f>IFERROR(__xludf.DUMMYFUNCTION("AVERAGE(QUERY(SORT(GOOGLEFINANCE(B250,""price"",TODAY()-365,TODAY()),1,0),""select Col2 limit 10""))"),"#N/A")</f>
        <v>#N/A</v>
      </c>
      <c r="J250" s="17" t="str">
        <f>IFERROR(__xludf.DUMMYFUNCTION("AVERAGE(QUERY(SORT(GOOGLEFINANCE(B250,""price"",TODAY()-365,TODAY()),1,0),""select Col2 limit 30""))"),"#N/A")</f>
        <v>#N/A</v>
      </c>
      <c r="K250" s="18" t="str">
        <f>IFERROR(__xludf.DUMMYFUNCTION("AVERAGE(QUERY(SORT(GOOGLEFINANCE(B250,""price"",TODAY()-365,TODAY()),1,0),""select Col2 limit 60""))"),"#N/A")</f>
        <v>#N/A</v>
      </c>
      <c r="L250" s="17" t="str">
        <f>IFERROR(__xludf.DUMMYFUNCTION("AVERAGE(QUERY(SORT(GOOGLEFINANCE(B250,""price"",TODAY()-365,TODAY()),1,0),""select Col2 limit 90""))"),"#N/A")</f>
        <v>#N/A</v>
      </c>
      <c r="M250" s="17" t="str">
        <f>IFERROR(__xludf.DUMMYFUNCTION("AVERAGE(QUERY(SORT(GOOGLEFINANCE(B250,""price"",TODAY()-365,TODAY()),1,0),""select Col2 limit 120""))"),"#N/A")</f>
        <v>#N/A</v>
      </c>
      <c r="N250" s="19" t="str">
        <f>IFERROR(__xludf.DUMMYFUNCTION("AVERAGE(QUERY(SORT(GOOGLEFINANCE(B250,""price"",TODAY()-365,TODAY()),1,0),""select Col2 limit 200""))"),"#N/A")</f>
        <v>#N/A</v>
      </c>
      <c r="O250" s="20" t="str">
        <f t="shared" si="2"/>
        <v>#N/A</v>
      </c>
      <c r="P250" s="21" t="str">
        <f t="shared" si="3"/>
        <v>#N/A</v>
      </c>
      <c r="Q250" s="21" t="str">
        <f t="shared" si="4"/>
        <v>#N/A</v>
      </c>
      <c r="R250" s="22">
        <f>IFERROR(__xludf.DUMMYFUNCTION("GOOGLEFINANCE(B250, ""pe"")
"),14.61)</f>
        <v>14.61</v>
      </c>
    </row>
    <row r="251">
      <c r="A251" s="9" t="s">
        <v>263</v>
      </c>
      <c r="B251" s="11" t="str">
        <f t="shared" si="1"/>
        <v>NSE:FACT</v>
      </c>
      <c r="C251" s="12">
        <f>IFERROR(__xludf.DUMMYFUNCTION("GOOGLEFINANCE(B251,""marketcap"")/10000000"),60869.8662828)</f>
        <v>60869.86628</v>
      </c>
      <c r="D251" s="13">
        <f>IFERROR(__xludf.DUMMYFUNCTION("GOOGLEFINANCE(B251,""price"")"),941.0)</f>
        <v>941</v>
      </c>
      <c r="E251" s="14">
        <f>IFERROR(__xludf.DUMMYFUNCTION("GOOGLEFINANCE(B251,""Volume"")"),100523.0)</f>
        <v>100523</v>
      </c>
      <c r="F251" s="14">
        <f t="array" ref="F251">F250</f>
        <v>14</v>
      </c>
      <c r="G251" s="15" t="str">
        <f>IFERROR(__xludf.DUMMYFUNCTION("IF(E251&gt;AVERAGE(INDEX(GOOGLEFINANCE(B251,""volume"",WORKDAY(TODAY(),-$F$1),TODAY()),,2)),""Breakout"","""")"),"")</f>
        <v/>
      </c>
      <c r="H251" s="16">
        <f>IFERROR(__xludf.DUMMYFUNCTION("GOOGLEFINANCE(B251,""price"")"),941.0)</f>
        <v>941</v>
      </c>
      <c r="I251" s="17">
        <f>IFERROR(__xludf.DUMMYFUNCTION("AVERAGE(QUERY(SORT(GOOGLEFINANCE(B251,""price"",TODAY()-365,TODAY()),1,0),""select Col2 limit 10""))"),956.025)</f>
        <v>956.025</v>
      </c>
      <c r="J251" s="17">
        <f>IFERROR(__xludf.DUMMYFUNCTION("AVERAGE(QUERY(SORT(GOOGLEFINANCE(B251,""price"",TODAY()-365,TODAY()),1,0),""select Col2 limit 30""))"),970.2883333333332)</f>
        <v>970.2883333</v>
      </c>
      <c r="K251" s="18">
        <f>IFERROR(__xludf.DUMMYFUNCTION("AVERAGE(QUERY(SORT(GOOGLEFINANCE(B251,""price"",TODAY()-365,TODAY()),1,0),""select Col2 limit 60""))"),941.9716666666665)</f>
        <v>941.9716667</v>
      </c>
      <c r="L251" s="17">
        <f>IFERROR(__xludf.DUMMYFUNCTION("AVERAGE(QUERY(SORT(GOOGLEFINANCE(B251,""price"",TODAY()-365,TODAY()),1,0),""select Col2 limit 90""))"),854.3827777777777)</f>
        <v>854.3827778</v>
      </c>
      <c r="M251" s="17">
        <f>IFERROR(__xludf.DUMMYFUNCTION("AVERAGE(QUERY(SORT(GOOGLEFINANCE(B251,""price"",TODAY()-365,TODAY()),1,0),""select Col2 limit 120""))"),831.6074999999996)</f>
        <v>831.6075</v>
      </c>
      <c r="N251" s="19">
        <f>IFERROR(__xludf.DUMMYFUNCTION("AVERAGE(QUERY(SORT(GOOGLEFINANCE(B251,""price"",TODAY()-365,TODAY()),1,0),""select Col2 limit 200""))"),866.6767499999996)</f>
        <v>866.67675</v>
      </c>
      <c r="O251" s="20" t="str">
        <f t="shared" si="2"/>
        <v>Avoid</v>
      </c>
      <c r="P251" s="21" t="str">
        <f t="shared" si="3"/>
        <v>60 DMA</v>
      </c>
      <c r="Q251" s="21" t="str">
        <f t="shared" si="4"/>
        <v/>
      </c>
      <c r="R251" s="22">
        <f>IFERROR(__xludf.DUMMYFUNCTION("GOOGLEFINANCE(B251, ""pe"")
"),1469.84)</f>
        <v>1469.84</v>
      </c>
    </row>
    <row r="252">
      <c r="A252" s="9" t="s">
        <v>264</v>
      </c>
      <c r="B252" s="11" t="str">
        <f t="shared" si="1"/>
        <v>NSE:ASHOKLEY</v>
      </c>
      <c r="C252" s="12">
        <f>IFERROR(__xludf.DUMMYFUNCTION("GOOGLEFINANCE(B252,""marketcap"")/10000000"),72267.9312623)</f>
        <v>72267.93126</v>
      </c>
      <c r="D252" s="13">
        <f>IFERROR(__xludf.DUMMYFUNCTION("GOOGLEFINANCE(B252,""price"")"),123.1)</f>
        <v>123.1</v>
      </c>
      <c r="E252" s="14">
        <f>IFERROR(__xludf.DUMMYFUNCTION("GOOGLEFINANCE(B252,""Volume"")"),5449801.0)</f>
        <v>5449801</v>
      </c>
      <c r="F252" s="14">
        <f t="array" ref="F252">F251</f>
        <v>14</v>
      </c>
      <c r="G252" s="15" t="str">
        <f>IFERROR(__xludf.DUMMYFUNCTION("IF(E252&gt;AVERAGE(INDEX(GOOGLEFINANCE(B252,""volume"",WORKDAY(TODAY(),-$F$1),TODAY()),,2)),""Breakout"","""")"),"")</f>
        <v/>
      </c>
      <c r="H252" s="16">
        <f>IFERROR(__xludf.DUMMYFUNCTION("GOOGLEFINANCE(B252,""price"")"),123.1)</f>
        <v>123.1</v>
      </c>
      <c r="I252" s="17">
        <f>IFERROR(__xludf.DUMMYFUNCTION("AVERAGE(QUERY(SORT(GOOGLEFINANCE(B252,""price"",TODAY()-365,TODAY()),1,0),""select Col2 limit 10""))"),124.268)</f>
        <v>124.268</v>
      </c>
      <c r="J252" s="17">
        <f>IFERROR(__xludf.DUMMYFUNCTION("AVERAGE(QUERY(SORT(GOOGLEFINANCE(B252,""price"",TODAY()-365,TODAY()),1,0),""select Col2 limit 30""))"),122.99266666666668)</f>
        <v>122.9926667</v>
      </c>
      <c r="K252" s="18">
        <f>IFERROR(__xludf.DUMMYFUNCTION("AVERAGE(QUERY(SORT(GOOGLEFINANCE(B252,""price"",TODAY()-365,TODAY()),1,0),""select Col2 limit 60""))"),120.3808333333334)</f>
        <v>120.3808333</v>
      </c>
      <c r="L252" s="17">
        <f>IFERROR(__xludf.DUMMYFUNCTION("AVERAGE(QUERY(SORT(GOOGLEFINANCE(B252,""price"",TODAY()-365,TODAY()),1,0),""select Col2 limit 90""))"),115.82677777777783)</f>
        <v>115.8267778</v>
      </c>
      <c r="M252" s="17">
        <f>IFERROR(__xludf.DUMMYFUNCTION("AVERAGE(QUERY(SORT(GOOGLEFINANCE(B252,""price"",TODAY()-365,TODAY()),1,0),""select Col2 limit 120""))"),113.50691666666667)</f>
        <v>113.5069167</v>
      </c>
      <c r="N252" s="19">
        <f>IFERROR(__xludf.DUMMYFUNCTION("AVERAGE(QUERY(SORT(GOOGLEFINANCE(B252,""price"",TODAY()-365,TODAY()),1,0),""select Col2 limit 200""))"),112.13950000000006)</f>
        <v>112.1395</v>
      </c>
      <c r="O252" s="20" t="str">
        <f t="shared" si="2"/>
        <v>Avoid</v>
      </c>
      <c r="P252" s="21" t="str">
        <f t="shared" si="3"/>
        <v>10 DMA</v>
      </c>
      <c r="Q252" s="21" t="str">
        <f t="shared" si="4"/>
        <v/>
      </c>
      <c r="R252" s="22">
        <f>IFERROR(__xludf.DUMMYFUNCTION("GOOGLEFINANCE(B252, ""pe"")
"),23.32)</f>
        <v>23.32</v>
      </c>
    </row>
    <row r="253">
      <c r="A253" s="9" t="s">
        <v>265</v>
      </c>
      <c r="B253" s="11" t="str">
        <f t="shared" si="1"/>
        <v>NSE:BPCL</v>
      </c>
      <c r="C253" s="12">
        <f>IFERROR(__xludf.DUMMYFUNCTION("GOOGLEFINANCE(B253,""marketcap"")/10000000"),144992.909236)</f>
        <v>144992.9092</v>
      </c>
      <c r="D253" s="13">
        <f>IFERROR(__xludf.DUMMYFUNCTION("GOOGLEFINANCE(B253,""price"")"),333.95)</f>
        <v>333.95</v>
      </c>
      <c r="E253" s="14">
        <f>IFERROR(__xludf.DUMMYFUNCTION("GOOGLEFINANCE(B253,""Volume"")"),3176376.0)</f>
        <v>3176376</v>
      </c>
      <c r="F253" s="14">
        <f t="array" ref="F253">F252</f>
        <v>14</v>
      </c>
      <c r="G253" s="15" t="str">
        <f>IFERROR(__xludf.DUMMYFUNCTION("IF(E253&gt;AVERAGE(INDEX(GOOGLEFINANCE(B253,""volume"",WORKDAY(TODAY(),-$F$1),TODAY()),,2)),""Breakout"","""")"),"")</f>
        <v/>
      </c>
      <c r="H253" s="16">
        <f>IFERROR(__xludf.DUMMYFUNCTION("GOOGLEFINANCE(B253,""price"")"),333.95)</f>
        <v>333.95</v>
      </c>
      <c r="I253" s="17">
        <f>IFERROR(__xludf.DUMMYFUNCTION("AVERAGE(QUERY(SORT(GOOGLEFINANCE(B253,""price"",TODAY()-365,TODAY()),1,0),""select Col2 limit 10""))"),343.225)</f>
        <v>343.225</v>
      </c>
      <c r="J253" s="17">
        <f>IFERROR(__xludf.DUMMYFUNCTION("AVERAGE(QUERY(SORT(GOOGLEFINANCE(B253,""price"",TODAY()-365,TODAY()),1,0),""select Col2 limit 30""))"),334.77333333333337)</f>
        <v>334.7733333</v>
      </c>
      <c r="K253" s="18">
        <f>IFERROR(__xludf.DUMMYFUNCTION("AVERAGE(QUERY(SORT(GOOGLEFINANCE(B253,""price"",TODAY()-365,TODAY()),1,0),""select Col2 limit 60""))"),325.32916666666665)</f>
        <v>325.3291667</v>
      </c>
      <c r="L253" s="17">
        <f>IFERROR(__xludf.DUMMYFUNCTION("AVERAGE(QUERY(SORT(GOOGLEFINANCE(B253,""price"",TODAY()-365,TODAY()),1,0),""select Col2 limit 90""))"),312.98422222222223)</f>
        <v>312.9842222</v>
      </c>
      <c r="M253" s="17">
        <f>IFERROR(__xludf.DUMMYFUNCTION("AVERAGE(QUERY(SORT(GOOGLEFINANCE(B253,""price"",TODAY()-365,TODAY()),1,0),""select Col2 limit 120""))"),298.63825)</f>
        <v>298.63825</v>
      </c>
      <c r="N253" s="19">
        <f>IFERROR(__xludf.DUMMYFUNCTION("AVERAGE(QUERY(SORT(GOOGLEFINANCE(B253,""price"",TODAY()-365,TODAY()),1,0),""select Col2 limit 200""))"),299.17645000000005)</f>
        <v>299.17645</v>
      </c>
      <c r="O253" s="20" t="str">
        <f t="shared" si="2"/>
        <v>Avoid</v>
      </c>
      <c r="P253" s="21" t="str">
        <f t="shared" si="3"/>
        <v>30 DMA</v>
      </c>
      <c r="Q253" s="21" t="str">
        <f t="shared" si="4"/>
        <v/>
      </c>
      <c r="R253" s="22">
        <f>IFERROR(__xludf.DUMMYFUNCTION("GOOGLEFINANCE(B253, ""pe"")
"),10.7)</f>
        <v>10.7</v>
      </c>
    </row>
    <row r="254">
      <c r="A254" s="9" t="s">
        <v>266</v>
      </c>
      <c r="B254" s="11" t="str">
        <f t="shared" si="1"/>
        <v>NSE:JSWINFRA</v>
      </c>
      <c r="C254" s="12">
        <f>IFERROR(__xludf.DUMMYFUNCTION("GOOGLEFINANCE(B254,""marketcap"")/10000000"),64039.8426205)</f>
        <v>64039.84262</v>
      </c>
      <c r="D254" s="13">
        <f>IFERROR(__xludf.DUMMYFUNCTION("GOOGLEFINANCE(B254,""price"")"),307.65)</f>
        <v>307.65</v>
      </c>
      <c r="E254" s="14">
        <f>IFERROR(__xludf.DUMMYFUNCTION("GOOGLEFINANCE(B254,""Volume"")"),635200.0)</f>
        <v>635200</v>
      </c>
      <c r="F254" s="14">
        <f t="array" ref="F254">F253</f>
        <v>14</v>
      </c>
      <c r="G254" s="15" t="str">
        <f>IFERROR(__xludf.DUMMYFUNCTION("IF(E254&gt;AVERAGE(INDEX(GOOGLEFINANCE(B254,""volume"",WORKDAY(TODAY(),-$F$1),TODAY()),,2)),""Breakout"","""")"),"")</f>
        <v/>
      </c>
      <c r="H254" s="16">
        <f>IFERROR(__xludf.DUMMYFUNCTION("GOOGLEFINANCE(B254,""price"")"),307.65)</f>
        <v>307.65</v>
      </c>
      <c r="I254" s="17">
        <f>IFERROR(__xludf.DUMMYFUNCTION("AVERAGE(QUERY(SORT(GOOGLEFINANCE(B254,""price"",TODAY()-365,TODAY()),1,0),""select Col2 limit 10""))"),314.725)</f>
        <v>314.725</v>
      </c>
      <c r="J254" s="17">
        <f>IFERROR(__xludf.DUMMYFUNCTION("AVERAGE(QUERY(SORT(GOOGLEFINANCE(B254,""price"",TODAY()-365,TODAY()),1,0),""select Col2 limit 30""))"),311.0566666666666)</f>
        <v>311.0566667</v>
      </c>
      <c r="K254" s="18">
        <f>IFERROR(__xludf.DUMMYFUNCTION("AVERAGE(QUERY(SORT(GOOGLEFINANCE(B254,""price"",TODAY()-365,TODAY()),1,0),""select Col2 limit 60""))"),302.47833333333335)</f>
        <v>302.4783333</v>
      </c>
      <c r="L254" s="17">
        <f>IFERROR(__xludf.DUMMYFUNCTION("AVERAGE(QUERY(SORT(GOOGLEFINANCE(B254,""price"",TODAY()-365,TODAY()),1,0),""select Col2 limit 90""))"),302.2000000000001)</f>
        <v>302.2</v>
      </c>
      <c r="M254" s="17">
        <f>IFERROR(__xludf.DUMMYFUNCTION("AVERAGE(QUERY(SORT(GOOGLEFINANCE(B254,""price"",TODAY()-365,TODAY()),1,0),""select Col2 limit 120""))"),289.82916666666665)</f>
        <v>289.8291667</v>
      </c>
      <c r="N254" s="19">
        <f>IFERROR(__xludf.DUMMYFUNCTION("AVERAGE(QUERY(SORT(GOOGLEFINANCE(B254,""price"",TODAY()-365,TODAY()),1,0),""select Col2 limit 200""))"),297.41675)</f>
        <v>297.41675</v>
      </c>
      <c r="O254" s="20" t="str">
        <f t="shared" si="2"/>
        <v>Avoid</v>
      </c>
      <c r="P254" s="21" t="str">
        <f t="shared" si="3"/>
        <v/>
      </c>
      <c r="Q254" s="21" t="str">
        <f t="shared" si="4"/>
        <v/>
      </c>
      <c r="R254" s="22">
        <f>IFERROR(__xludf.DUMMYFUNCTION("GOOGLEFINANCE(B254, ""pe"")
"),40.39)</f>
        <v>40.39</v>
      </c>
    </row>
    <row r="255">
      <c r="A255" s="9" t="s">
        <v>267</v>
      </c>
      <c r="B255" s="11" t="str">
        <f t="shared" si="1"/>
        <v>NSE:HUDCO</v>
      </c>
      <c r="C255" s="12">
        <f>IFERROR(__xludf.DUMMYFUNCTION("GOOGLEFINANCE(B255,""marketcap"")/10000000"),43677.4309157)</f>
        <v>43677.43092</v>
      </c>
      <c r="D255" s="13">
        <f>IFERROR(__xludf.DUMMYFUNCTION("GOOGLEFINANCE(B255,""price"")"),218.82)</f>
        <v>218.82</v>
      </c>
      <c r="E255" s="14">
        <f>IFERROR(__xludf.DUMMYFUNCTION("GOOGLEFINANCE(B255,""Volume"")"),1337979.0)</f>
        <v>1337979</v>
      </c>
      <c r="F255" s="14">
        <f t="array" ref="F255">F254</f>
        <v>14</v>
      </c>
      <c r="G255" s="15" t="str">
        <f>IFERROR(__xludf.DUMMYFUNCTION("IF(E255&gt;AVERAGE(INDEX(GOOGLEFINANCE(B255,""volume"",WORKDAY(TODAY(),-$F$1),TODAY()),,2)),""Breakout"","""")"),"")</f>
        <v/>
      </c>
      <c r="H255" s="16">
        <f>IFERROR(__xludf.DUMMYFUNCTION("GOOGLEFINANCE(B255,""price"")"),218.82)</f>
        <v>218.82</v>
      </c>
      <c r="I255" s="17">
        <f>IFERROR(__xludf.DUMMYFUNCTION("AVERAGE(QUERY(SORT(GOOGLEFINANCE(B255,""price"",TODAY()-365,TODAY()),1,0),""select Col2 limit 10""))"),227.473)</f>
        <v>227.473</v>
      </c>
      <c r="J255" s="17">
        <f>IFERROR(__xludf.DUMMYFUNCTION("AVERAGE(QUERY(SORT(GOOGLEFINANCE(B255,""price"",TODAY()-365,TODAY()),1,0),""select Col2 limit 30""))"),230.072)</f>
        <v>230.072</v>
      </c>
      <c r="K255" s="18">
        <f>IFERROR(__xludf.DUMMYFUNCTION("AVERAGE(QUERY(SORT(GOOGLEFINANCE(B255,""price"",TODAY()-365,TODAY()),1,0),""select Col2 limit 60""))"),231.03633333333337)</f>
        <v>231.0363333</v>
      </c>
      <c r="L255" s="17">
        <f>IFERROR(__xludf.DUMMYFUNCTION("AVERAGE(QUERY(SORT(GOOGLEFINANCE(B255,""price"",TODAY()-365,TODAY()),1,0),""select Col2 limit 90""))"),224.77588888888891)</f>
        <v>224.7758889</v>
      </c>
      <c r="M255" s="17">
        <f>IFERROR(__xludf.DUMMYFUNCTION("AVERAGE(QUERY(SORT(GOOGLEFINANCE(B255,""price"",TODAY()-365,TODAY()),1,0),""select Col2 limit 120""))"),215.7325)</f>
        <v>215.7325</v>
      </c>
      <c r="N255" s="19">
        <f>IFERROR(__xludf.DUMMYFUNCTION("AVERAGE(QUERY(SORT(GOOGLEFINANCE(B255,""price"",TODAY()-365,TODAY()),1,0),""select Col2 limit 200""))"),219.52464999999992)</f>
        <v>219.52465</v>
      </c>
      <c r="O255" s="20" t="str">
        <f t="shared" si="2"/>
        <v>Avoid</v>
      </c>
      <c r="P255" s="21" t="str">
        <f t="shared" si="3"/>
        <v>200 DMA</v>
      </c>
      <c r="Q255" s="21" t="str">
        <f t="shared" si="4"/>
        <v/>
      </c>
      <c r="R255" s="22">
        <f>IFERROR(__xludf.DUMMYFUNCTION("GOOGLEFINANCE(B255, ""pe"")
"),16.16)</f>
        <v>16.16</v>
      </c>
    </row>
    <row r="256">
      <c r="A256" s="9" t="s">
        <v>268</v>
      </c>
      <c r="B256" s="11" t="str">
        <f t="shared" si="1"/>
        <v>NSE:CONCOR</v>
      </c>
      <c r="C256" s="12">
        <f>IFERROR(__xludf.DUMMYFUNCTION("GOOGLEFINANCE(B256,""marketcap"")/10000000"),45213.4544294)</f>
        <v>45213.45443</v>
      </c>
      <c r="D256" s="13">
        <f>IFERROR(__xludf.DUMMYFUNCTION("GOOGLEFINANCE(B256,""price"")"),593.95)</f>
        <v>593.95</v>
      </c>
      <c r="E256" s="14">
        <f>IFERROR(__xludf.DUMMYFUNCTION("GOOGLEFINANCE(B256,""Volume"")"),184072.0)</f>
        <v>184072</v>
      </c>
      <c r="F256" s="14">
        <f t="array" ref="F256">F255</f>
        <v>14</v>
      </c>
      <c r="G256" s="15" t="str">
        <f>IFERROR(__xludf.DUMMYFUNCTION("IF(E256&gt;AVERAGE(INDEX(GOOGLEFINANCE(B256,""volume"",WORKDAY(TODAY(),-$F$1),TODAY()),,2)),""Breakout"","""")"),"")</f>
        <v/>
      </c>
      <c r="H256" s="16">
        <f>IFERROR(__xludf.DUMMYFUNCTION("GOOGLEFINANCE(B256,""price"")"),593.95)</f>
        <v>593.95</v>
      </c>
      <c r="I256" s="17">
        <f>IFERROR(__xludf.DUMMYFUNCTION("AVERAGE(QUERY(SORT(GOOGLEFINANCE(B256,""price"",TODAY()-365,TODAY()),1,0),""select Col2 limit 10""))"),612.46)</f>
        <v>612.46</v>
      </c>
      <c r="J256" s="17">
        <f>IFERROR(__xludf.DUMMYFUNCTION("AVERAGE(QUERY(SORT(GOOGLEFINANCE(B256,""price"",TODAY()-365,TODAY()),1,0),""select Col2 limit 30""))"),605.1206666666668)</f>
        <v>605.1206667</v>
      </c>
      <c r="K256" s="18">
        <f>IFERROR(__xludf.DUMMYFUNCTION("AVERAGE(QUERY(SORT(GOOGLEFINANCE(B256,""price"",TODAY()-365,TODAY()),1,0),""select Col2 limit 60""))"),599.4483333333335)</f>
        <v>599.4483333</v>
      </c>
      <c r="L256" s="17">
        <f>IFERROR(__xludf.DUMMYFUNCTION("AVERAGE(QUERY(SORT(GOOGLEFINANCE(B256,""price"",TODAY()-365,TODAY()),1,0),""select Col2 limit 90""))"),583.7246666666668)</f>
        <v>583.7246667</v>
      </c>
      <c r="M256" s="17">
        <f>IFERROR(__xludf.DUMMYFUNCTION("AVERAGE(QUERY(SORT(GOOGLEFINANCE(B256,""price"",TODAY()-365,TODAY()),1,0),""select Col2 limit 120""))"),574.8471666666668)</f>
        <v>574.8471667</v>
      </c>
      <c r="N256" s="19">
        <f>IFERROR(__xludf.DUMMYFUNCTION("AVERAGE(QUERY(SORT(GOOGLEFINANCE(B256,""price"",TODAY()-365,TODAY()),1,0),""select Col2 limit 200""))"),604.0593)</f>
        <v>604.0593</v>
      </c>
      <c r="O256" s="20" t="str">
        <f t="shared" si="2"/>
        <v>Avoid</v>
      </c>
      <c r="P256" s="21" t="str">
        <f t="shared" si="3"/>
        <v>60 DMA</v>
      </c>
      <c r="Q256" s="21" t="str">
        <f t="shared" si="4"/>
        <v/>
      </c>
      <c r="R256" s="22">
        <f>IFERROR(__xludf.DUMMYFUNCTION("GOOGLEFINANCE(B256, ""pe"")
"),35.08)</f>
        <v>35.08</v>
      </c>
    </row>
    <row r="257">
      <c r="A257" s="9" t="s">
        <v>269</v>
      </c>
      <c r="B257" s="11" t="str">
        <f t="shared" si="1"/>
        <v>NSE:ALKEM</v>
      </c>
      <c r="C257" s="12">
        <f>IFERROR(__xludf.DUMMYFUNCTION("GOOGLEFINANCE(B257,""marketcap"")/10000000"),60353.9678867)</f>
        <v>60353.96789</v>
      </c>
      <c r="D257" s="13">
        <f>IFERROR(__xludf.DUMMYFUNCTION("GOOGLEFINANCE(B257,""price"")"),5047.0)</f>
        <v>5047</v>
      </c>
      <c r="E257" s="14">
        <f>IFERROR(__xludf.DUMMYFUNCTION("GOOGLEFINANCE(B257,""Volume"")"),66543.0)</f>
        <v>66543</v>
      </c>
      <c r="F257" s="14">
        <f t="array" ref="F257">F256</f>
        <v>14</v>
      </c>
      <c r="G257" s="15" t="str">
        <f>IFERROR(__xludf.DUMMYFUNCTION("IF(E257&gt;AVERAGE(INDEX(GOOGLEFINANCE(B257,""volume"",WORKDAY(TODAY(),-$F$1),TODAY()),,2)),""Breakout"","""")"),"")</f>
        <v/>
      </c>
      <c r="H257" s="16">
        <f>IFERROR(__xludf.DUMMYFUNCTION("GOOGLEFINANCE(B257,""price"")"),5047.0)</f>
        <v>5047</v>
      </c>
      <c r="I257" s="17">
        <f>IFERROR(__xludf.DUMMYFUNCTION("AVERAGE(QUERY(SORT(GOOGLEFINANCE(B257,""price"",TODAY()-365,TODAY()),1,0),""select Col2 limit 10""))"),4909.93)</f>
        <v>4909.93</v>
      </c>
      <c r="J257" s="17">
        <f>IFERROR(__xludf.DUMMYFUNCTION("AVERAGE(QUERY(SORT(GOOGLEFINANCE(B257,""price"",TODAY()-365,TODAY()),1,0),""select Col2 limit 30""))"),4882.963333333334)</f>
        <v>4882.963333</v>
      </c>
      <c r="K257" s="18">
        <f>IFERROR(__xludf.DUMMYFUNCTION("AVERAGE(QUERY(SORT(GOOGLEFINANCE(B257,""price"",TODAY()-365,TODAY()),1,0),""select Col2 limit 60""))"),5013.87)</f>
        <v>5013.87</v>
      </c>
      <c r="L257" s="17">
        <f>IFERROR(__xludf.DUMMYFUNCTION("AVERAGE(QUERY(SORT(GOOGLEFINANCE(B257,""price"",TODAY()-365,TODAY()),1,0),""select Col2 limit 90""))"),4953.7588888888895)</f>
        <v>4953.758889</v>
      </c>
      <c r="M257" s="17">
        <f>IFERROR(__xludf.DUMMYFUNCTION("AVERAGE(QUERY(SORT(GOOGLEFINANCE(B257,""price"",TODAY()-365,TODAY()),1,0),""select Col2 limit 120""))"),4947.279583333334)</f>
        <v>4947.279583</v>
      </c>
      <c r="N257" s="19">
        <f>IFERROR(__xludf.DUMMYFUNCTION("AVERAGE(QUERY(SORT(GOOGLEFINANCE(B257,""price"",TODAY()-365,TODAY()),1,0),""select Col2 limit 200""))"),5263.191250000003)</f>
        <v>5263.19125</v>
      </c>
      <c r="O257" s="20" t="str">
        <f t="shared" si="2"/>
        <v>Buy Above 200 DMA</v>
      </c>
      <c r="P257" s="21" t="str">
        <f t="shared" si="3"/>
        <v/>
      </c>
      <c r="Q257" s="21" t="str">
        <f t="shared" si="4"/>
        <v/>
      </c>
      <c r="R257" s="22">
        <f>IFERROR(__xludf.DUMMYFUNCTION("GOOGLEFINANCE(B257, ""pe"")
"),27.86)</f>
        <v>27.86</v>
      </c>
    </row>
    <row r="258">
      <c r="A258" s="9" t="s">
        <v>270</v>
      </c>
      <c r="B258" s="11" t="str">
        <f t="shared" si="1"/>
        <v>NSE:JSL</v>
      </c>
      <c r="C258" s="12">
        <f>IFERROR(__xludf.DUMMYFUNCTION("GOOGLEFINANCE(B258,""marketcap"")/10000000"),54501.647539)</f>
        <v>54501.64754</v>
      </c>
      <c r="D258" s="13">
        <f>IFERROR(__xludf.DUMMYFUNCTION("GOOGLEFINANCE(B258,""price"")"),661.5)</f>
        <v>661.5</v>
      </c>
      <c r="E258" s="14">
        <f>IFERROR(__xludf.DUMMYFUNCTION("GOOGLEFINANCE(B258,""Volume"")"),232432.0)</f>
        <v>232432</v>
      </c>
      <c r="F258" s="14">
        <f t="array" ref="F258">F257</f>
        <v>14</v>
      </c>
      <c r="G258" s="15" t="str">
        <f>IFERROR(__xludf.DUMMYFUNCTION("IF(E258&gt;AVERAGE(INDEX(GOOGLEFINANCE(B258,""volume"",WORKDAY(TODAY(),-$F$1),TODAY()),,2)),""Breakout"","""")"),"")</f>
        <v/>
      </c>
      <c r="H258" s="16">
        <f>IFERROR(__xludf.DUMMYFUNCTION("GOOGLEFINANCE(B258,""price"")"),661.5)</f>
        <v>661.5</v>
      </c>
      <c r="I258" s="17">
        <f>IFERROR(__xludf.DUMMYFUNCTION("AVERAGE(QUERY(SORT(GOOGLEFINANCE(B258,""price"",TODAY()-365,TODAY()),1,0),""select Col2 limit 10""))"),679.325)</f>
        <v>679.325</v>
      </c>
      <c r="J258" s="17">
        <f>IFERROR(__xludf.DUMMYFUNCTION("AVERAGE(QUERY(SORT(GOOGLEFINANCE(B258,""price"",TODAY()-365,TODAY()),1,0),""select Col2 limit 30""))"),683.4633333333334)</f>
        <v>683.4633333</v>
      </c>
      <c r="K258" s="18">
        <f>IFERROR(__xludf.DUMMYFUNCTION("AVERAGE(QUERY(SORT(GOOGLEFINANCE(B258,""price"",TODAY()-365,TODAY()),1,0),""select Col2 limit 60""))"),667.8899999999999)</f>
        <v>667.89</v>
      </c>
      <c r="L258" s="17">
        <f>IFERROR(__xludf.DUMMYFUNCTION("AVERAGE(QUERY(SORT(GOOGLEFINANCE(B258,""price"",TODAY()-365,TODAY()),1,0),""select Col2 limit 90""))"),638.522222222222)</f>
        <v>638.5222222</v>
      </c>
      <c r="M258" s="17">
        <f>IFERROR(__xludf.DUMMYFUNCTION("AVERAGE(QUERY(SORT(GOOGLEFINANCE(B258,""price"",TODAY()-365,TODAY()),1,0),""select Col2 limit 120""))"),633.5720833333332)</f>
        <v>633.5720833</v>
      </c>
      <c r="N258" s="19">
        <f>IFERROR(__xludf.DUMMYFUNCTION("AVERAGE(QUERY(SORT(GOOGLEFINANCE(B258,""price"",TODAY()-365,TODAY()),1,0),""select Col2 limit 200""))"),658.9155000000003)</f>
        <v>658.9155</v>
      </c>
      <c r="O258" s="20" t="str">
        <f t="shared" si="2"/>
        <v>Avoid</v>
      </c>
      <c r="P258" s="21" t="str">
        <f t="shared" si="3"/>
        <v>60 DMA</v>
      </c>
      <c r="Q258" s="21" t="str">
        <f t="shared" si="4"/>
        <v/>
      </c>
      <c r="R258" s="22">
        <f>IFERROR(__xludf.DUMMYFUNCTION("GOOGLEFINANCE(B258, ""pe"")
"),21.77)</f>
        <v>21.77</v>
      </c>
    </row>
    <row r="259">
      <c r="A259" s="9" t="s">
        <v>271</v>
      </c>
      <c r="B259" s="11" t="str">
        <f t="shared" si="1"/>
        <v>NSE:BERGEPAINT</v>
      </c>
      <c r="C259" s="12">
        <f>IFERROR(__xludf.DUMMYFUNCTION("GOOGLEFINANCE(B259,""marketcap"")/10000000"),66106.1898)</f>
        <v>66106.1898</v>
      </c>
      <c r="D259" s="13">
        <f>IFERROR(__xludf.DUMMYFUNCTION("GOOGLEFINANCE(B259,""price"")"),566.35)</f>
        <v>566.35</v>
      </c>
      <c r="E259" s="14">
        <f>IFERROR(__xludf.DUMMYFUNCTION("GOOGLEFINANCE(B259,""Volume"")"),106016.0)</f>
        <v>106016</v>
      </c>
      <c r="F259" s="14">
        <f t="array" ref="F259">F258</f>
        <v>14</v>
      </c>
      <c r="G259" s="15" t="str">
        <f>IFERROR(__xludf.DUMMYFUNCTION("IF(E259&gt;AVERAGE(INDEX(GOOGLEFINANCE(B259,""volume"",WORKDAY(TODAY(),-$F$1),TODAY()),,2)),""Breakout"","""")"),"")</f>
        <v/>
      </c>
      <c r="H259" s="16">
        <f>IFERROR(__xludf.DUMMYFUNCTION("GOOGLEFINANCE(B259,""price"")"),566.35)</f>
        <v>566.35</v>
      </c>
      <c r="I259" s="17">
        <f>IFERROR(__xludf.DUMMYFUNCTION("AVERAGE(QUERY(SORT(GOOGLEFINANCE(B259,""price"",TODAY()-365,TODAY()),1,0),""select Col2 limit 10""))"),576.535)</f>
        <v>576.535</v>
      </c>
      <c r="J259" s="17">
        <f>IFERROR(__xludf.DUMMYFUNCTION("AVERAGE(QUERY(SORT(GOOGLEFINANCE(B259,""price"",TODAY()-365,TODAY()),1,0),""select Col2 limit 30""))"),572.1533333333333)</f>
        <v>572.1533333</v>
      </c>
      <c r="K259" s="18">
        <f>IFERROR(__xludf.DUMMYFUNCTION("AVERAGE(QUERY(SORT(GOOGLEFINANCE(B259,""price"",TODAY()-365,TODAY()),1,0),""select Col2 limit 60""))"),564.0516666666665)</f>
        <v>564.0516667</v>
      </c>
      <c r="L259" s="17">
        <f>IFERROR(__xludf.DUMMYFUNCTION("AVERAGE(QUERY(SORT(GOOGLEFINANCE(B259,""price"",TODAY()-365,TODAY()),1,0),""select Col2 limit 90""))"),545.7188888888887)</f>
        <v>545.7188889</v>
      </c>
      <c r="M259" s="17">
        <f>IFERROR(__xludf.DUMMYFUNCTION("AVERAGE(QUERY(SORT(GOOGLEFINANCE(B259,""price"",TODAY()-365,TODAY()),1,0),""select Col2 limit 120""))"),529.8970833333332)</f>
        <v>529.8970833</v>
      </c>
      <c r="N259" s="19">
        <f>IFERROR(__xludf.DUMMYFUNCTION("AVERAGE(QUERY(SORT(GOOGLEFINANCE(B259,""price"",TODAY()-365,TODAY()),1,0),""select Col2 limit 200""))"),522.0592499999999)</f>
        <v>522.05925</v>
      </c>
      <c r="O259" s="20" t="str">
        <f t="shared" si="2"/>
        <v>Avoid</v>
      </c>
      <c r="P259" s="21" t="str">
        <f t="shared" si="3"/>
        <v/>
      </c>
      <c r="Q259" s="21" t="str">
        <f t="shared" si="4"/>
        <v/>
      </c>
      <c r="R259" s="22">
        <f>IFERROR(__xludf.DUMMYFUNCTION("GOOGLEFINANCE(B259, ""pe"")
"),55.97)</f>
        <v>55.97</v>
      </c>
    </row>
    <row r="260">
      <c r="A260" s="9" t="s">
        <v>272</v>
      </c>
      <c r="B260" s="11" t="str">
        <f t="shared" si="1"/>
        <v>NSE:SCHAEFFLER</v>
      </c>
      <c r="C260" s="12">
        <f>IFERROR(__xludf.DUMMYFUNCTION("GOOGLEFINANCE(B260,""marketcap"")/10000000"),63565.5488112)</f>
        <v>63565.54881</v>
      </c>
      <c r="D260" s="13">
        <f>IFERROR(__xludf.DUMMYFUNCTION("GOOGLEFINANCE(B260,""price"")"),4054.8)</f>
        <v>4054.8</v>
      </c>
      <c r="E260" s="14">
        <f>IFERROR(__xludf.DUMMYFUNCTION("GOOGLEFINANCE(B260,""Volume"")"),138979.0)</f>
        <v>138979</v>
      </c>
      <c r="F260" s="14">
        <f t="array" ref="F260">F259</f>
        <v>14</v>
      </c>
      <c r="G260" s="15" t="str">
        <f>IFERROR(__xludf.DUMMYFUNCTION("IF(E260&gt;AVERAGE(INDEX(GOOGLEFINANCE(B260,""volume"",WORKDAY(TODAY(),-$F$1),TODAY()),,2)),""Breakout"","""")"),"Breakout")</f>
        <v>Breakout</v>
      </c>
      <c r="H260" s="16">
        <f>IFERROR(__xludf.DUMMYFUNCTION("GOOGLEFINANCE(B260,""price"")"),4054.8)</f>
        <v>4054.8</v>
      </c>
      <c r="I260" s="17">
        <f>IFERROR(__xludf.DUMMYFUNCTION("AVERAGE(QUERY(SORT(GOOGLEFINANCE(B260,""price"",TODAY()-365,TODAY()),1,0),""select Col2 limit 10""))"),4198.82)</f>
        <v>4198.82</v>
      </c>
      <c r="J260" s="17">
        <f>IFERROR(__xludf.DUMMYFUNCTION("AVERAGE(QUERY(SORT(GOOGLEFINANCE(B260,""price"",TODAY()-365,TODAY()),1,0),""select Col2 limit 30""))"),4070.8866666666668)</f>
        <v>4070.886667</v>
      </c>
      <c r="K260" s="18">
        <f>IFERROR(__xludf.DUMMYFUNCTION("AVERAGE(QUERY(SORT(GOOGLEFINANCE(B260,""price"",TODAY()-365,TODAY()),1,0),""select Col2 limit 60""))"),4043.425)</f>
        <v>4043.425</v>
      </c>
      <c r="L260" s="17">
        <f>IFERROR(__xludf.DUMMYFUNCTION("AVERAGE(QUERY(SORT(GOOGLEFINANCE(B260,""price"",TODAY()-365,TODAY()),1,0),""select Col2 limit 90""))"),3799.9266666666667)</f>
        <v>3799.926667</v>
      </c>
      <c r="M260" s="17">
        <f>IFERROR(__xludf.DUMMYFUNCTION("AVERAGE(QUERY(SORT(GOOGLEFINANCE(B260,""price"",TODAY()-365,TODAY()),1,0),""select Col2 limit 120""))"),3646.177083333334)</f>
        <v>3646.177083</v>
      </c>
      <c r="N260" s="19">
        <f>IFERROR(__xludf.DUMMYFUNCTION("AVERAGE(QUERY(SORT(GOOGLEFINANCE(B260,""price"",TODAY()-365,TODAY()),1,0),""select Col2 limit 200""))"),3598.156750000001)</f>
        <v>3598.15675</v>
      </c>
      <c r="O260" s="20" t="str">
        <f t="shared" si="2"/>
        <v>Avoid</v>
      </c>
      <c r="P260" s="21" t="str">
        <f t="shared" si="3"/>
        <v>30 DMA</v>
      </c>
      <c r="Q260" s="21" t="str">
        <f t="shared" si="4"/>
        <v/>
      </c>
      <c r="R260" s="22">
        <f>IFERROR(__xludf.DUMMYFUNCTION("GOOGLEFINANCE(B260, ""pe"")
"),65.49)</f>
        <v>65.49</v>
      </c>
    </row>
    <row r="261">
      <c r="A261" s="9" t="s">
        <v>273</v>
      </c>
      <c r="B261" s="11" t="str">
        <f t="shared" si="1"/>
        <v>NSE:BALKRISIND</v>
      </c>
      <c r="C261" s="12">
        <f>IFERROR(__xludf.DUMMYFUNCTION("GOOGLEFINANCE(B261,""marketcap"")/10000000"),52400.5350138)</f>
        <v>52400.53501</v>
      </c>
      <c r="D261" s="13">
        <f>IFERROR(__xludf.DUMMYFUNCTION("GOOGLEFINANCE(B261,""price"")"),2713.7)</f>
        <v>2713.7</v>
      </c>
      <c r="E261" s="14">
        <f>IFERROR(__xludf.DUMMYFUNCTION("GOOGLEFINANCE(B261,""Volume"")"),394249.0)</f>
        <v>394249</v>
      </c>
      <c r="F261" s="14">
        <f t="array" ref="F261">F260</f>
        <v>14</v>
      </c>
      <c r="G261" s="15" t="str">
        <f>IFERROR(__xludf.DUMMYFUNCTION("IF(E261&gt;AVERAGE(INDEX(GOOGLEFINANCE(B261,""volume"",WORKDAY(TODAY(),-$F$1),TODAY()),,2)),""Breakout"","""")"),"")</f>
        <v/>
      </c>
      <c r="H261" s="16">
        <f>IFERROR(__xludf.DUMMYFUNCTION("GOOGLEFINANCE(B261,""price"")"),2713.7)</f>
        <v>2713.7</v>
      </c>
      <c r="I261" s="17">
        <f>IFERROR(__xludf.DUMMYFUNCTION("AVERAGE(QUERY(SORT(GOOGLEFINANCE(B261,""price"",TODAY()-365,TODAY()),1,0),""select Col2 limit 10""))"),2714.62)</f>
        <v>2714.62</v>
      </c>
      <c r="J261" s="17">
        <f>IFERROR(__xludf.DUMMYFUNCTION("AVERAGE(QUERY(SORT(GOOGLEFINANCE(B261,""price"",TODAY()-365,TODAY()),1,0),""select Col2 limit 30""))"),2573.1066666666666)</f>
        <v>2573.106667</v>
      </c>
      <c r="K261" s="18">
        <f>IFERROR(__xludf.DUMMYFUNCTION("AVERAGE(QUERY(SORT(GOOGLEFINANCE(B261,""price"",TODAY()-365,TODAY()),1,0),""select Col2 limit 60""))"),2582.673333333333)</f>
        <v>2582.673333</v>
      </c>
      <c r="L261" s="17">
        <f>IFERROR(__xludf.DUMMYFUNCTION("AVERAGE(QUERY(SORT(GOOGLEFINANCE(B261,""price"",TODAY()-365,TODAY()),1,0),""select Col2 limit 90""))"),2562.439444444445)</f>
        <v>2562.439444</v>
      </c>
      <c r="M261" s="17">
        <f>IFERROR(__xludf.DUMMYFUNCTION("AVERAGE(QUERY(SORT(GOOGLEFINANCE(B261,""price"",TODAY()-365,TODAY()),1,0),""select Col2 limit 120""))"),2586.3862500000005)</f>
        <v>2586.38625</v>
      </c>
      <c r="N261" s="19">
        <f>IFERROR(__xludf.DUMMYFUNCTION("AVERAGE(QUERY(SORT(GOOGLEFINANCE(B261,""price"",TODAY()-365,TODAY()),1,0),""select Col2 limit 200""))"),2681.267250000001)</f>
        <v>2681.26725</v>
      </c>
      <c r="O261" s="20" t="str">
        <f t="shared" si="2"/>
        <v>Avoid</v>
      </c>
      <c r="P261" s="21" t="str">
        <f t="shared" si="3"/>
        <v>10 DMA</v>
      </c>
      <c r="Q261" s="21" t="str">
        <f t="shared" si="4"/>
        <v/>
      </c>
      <c r="R261" s="22">
        <f>IFERROR(__xludf.DUMMYFUNCTION("GOOGLEFINANCE(B261, ""pe"")
"),31.67)</f>
        <v>31.67</v>
      </c>
    </row>
    <row r="262">
      <c r="A262" s="9" t="s">
        <v>274</v>
      </c>
      <c r="B262" s="11" t="str">
        <f t="shared" si="1"/>
        <v>NSE:OBEROIRLTY</v>
      </c>
      <c r="C262" s="12">
        <f>IFERROR(__xludf.DUMMYFUNCTION("GOOGLEFINANCE(B262,""marketcap"")/10000000"),59997.9981342)</f>
        <v>59997.99813</v>
      </c>
      <c r="D262" s="13">
        <f>IFERROR(__xludf.DUMMYFUNCTION("GOOGLEFINANCE(B262,""price"")"),1650.5)</f>
        <v>1650.5</v>
      </c>
      <c r="E262" s="14">
        <f>IFERROR(__xludf.DUMMYFUNCTION("GOOGLEFINANCE(B262,""Volume"")"),718688.0)</f>
        <v>718688</v>
      </c>
      <c r="F262" s="14">
        <f t="array" ref="F262">F261</f>
        <v>14</v>
      </c>
      <c r="G262" s="15" t="str">
        <f>IFERROR(__xludf.DUMMYFUNCTION("IF(E262&gt;AVERAGE(INDEX(GOOGLEFINANCE(B262,""volume"",WORKDAY(TODAY(),-$F$1),TODAY()),,2)),""Breakout"","""")"),"")</f>
        <v/>
      </c>
      <c r="H262" s="16">
        <f>IFERROR(__xludf.DUMMYFUNCTION("GOOGLEFINANCE(B262,""price"")"),1650.5)</f>
        <v>1650.5</v>
      </c>
      <c r="I262" s="17">
        <f>IFERROR(__xludf.DUMMYFUNCTION("AVERAGE(QUERY(SORT(GOOGLEFINANCE(B262,""price"",TODAY()-365,TODAY()),1,0),""select Col2 limit 10""))"),1799.19)</f>
        <v>1799.19</v>
      </c>
      <c r="J262" s="17">
        <f>IFERROR(__xludf.DUMMYFUNCTION("AVERAGE(QUERY(SORT(GOOGLEFINANCE(B262,""price"",TODAY()-365,TODAY()),1,0),""select Col2 limit 30""))"),1866.7466666666667)</f>
        <v>1866.746667</v>
      </c>
      <c r="K262" s="18">
        <f>IFERROR(__xludf.DUMMYFUNCTION("AVERAGE(QUERY(SORT(GOOGLEFINANCE(B262,""price"",TODAY()-365,TODAY()),1,0),""select Col2 limit 60""))"),1798.1416666666664)</f>
        <v>1798.141667</v>
      </c>
      <c r="L262" s="17">
        <f>IFERROR(__xludf.DUMMYFUNCTION("AVERAGE(QUERY(SORT(GOOGLEFINANCE(B262,""price"",TODAY()-365,TODAY()),1,0),""select Col2 limit 90""))"),1736.3277777777776)</f>
        <v>1736.327778</v>
      </c>
      <c r="M262" s="17">
        <f>IFERROR(__xludf.DUMMYFUNCTION("AVERAGE(QUERY(SORT(GOOGLEFINANCE(B262,""price"",TODAY()-365,TODAY()),1,0),""select Col2 limit 120""))"),1712.2008333333329)</f>
        <v>1712.200833</v>
      </c>
      <c r="N262" s="19">
        <f>IFERROR(__xludf.DUMMYFUNCTION("AVERAGE(QUERY(SORT(GOOGLEFINANCE(B262,""price"",TODAY()-365,TODAY()),1,0),""select Col2 limit 200""))"),1841.3022499999993)</f>
        <v>1841.30225</v>
      </c>
      <c r="O262" s="20" t="str">
        <f t="shared" si="2"/>
        <v>Avoid</v>
      </c>
      <c r="P262" s="21" t="str">
        <f t="shared" si="3"/>
        <v/>
      </c>
      <c r="Q262" s="21" t="str">
        <f t="shared" si="4"/>
        <v/>
      </c>
      <c r="R262" s="22">
        <f>IFERROR(__xludf.DUMMYFUNCTION("GOOGLEFINANCE(B262, ""pe"")
"),29.09)</f>
        <v>29.09</v>
      </c>
    </row>
    <row r="263">
      <c r="A263" s="9" t="s">
        <v>275</v>
      </c>
      <c r="B263" s="11" t="str">
        <f t="shared" si="1"/>
        <v>NSE:ASTRAL</v>
      </c>
      <c r="C263" s="12">
        <f>IFERROR(__xludf.DUMMYFUNCTION("GOOGLEFINANCE(B263,""marketcap"")/10000000"),38669.965065)</f>
        <v>38669.96507</v>
      </c>
      <c r="D263" s="13">
        <f>IFERROR(__xludf.DUMMYFUNCTION("GOOGLEFINANCE(B263,""price"")"),1437.9)</f>
        <v>1437.9</v>
      </c>
      <c r="E263" s="14">
        <f>IFERROR(__xludf.DUMMYFUNCTION("GOOGLEFINANCE(B263,""Volume"")"),316411.0)</f>
        <v>316411</v>
      </c>
      <c r="F263" s="14">
        <f t="array" ref="F263">F262</f>
        <v>14</v>
      </c>
      <c r="G263" s="15" t="str">
        <f>IFERROR(__xludf.DUMMYFUNCTION("IF(E263&gt;AVERAGE(INDEX(GOOGLEFINANCE(B263,""volume"",WORKDAY(TODAY(),-$F$1),TODAY()),,2)),""Breakout"","""")"),"")</f>
        <v/>
      </c>
      <c r="H263" s="16">
        <f>IFERROR(__xludf.DUMMYFUNCTION("GOOGLEFINANCE(B263,""price"")"),1437.9)</f>
        <v>1437.9</v>
      </c>
      <c r="I263" s="17">
        <f>IFERROR(__xludf.DUMMYFUNCTION("AVERAGE(QUERY(SORT(GOOGLEFINANCE(B263,""price"",TODAY()-365,TODAY()),1,0),""select Col2 limit 10""))"),1487.65)</f>
        <v>1487.65</v>
      </c>
      <c r="J263" s="17">
        <f>IFERROR(__xludf.DUMMYFUNCTION("AVERAGE(QUERY(SORT(GOOGLEFINANCE(B263,""price"",TODAY()-365,TODAY()),1,0),""select Col2 limit 30""))"),1502.6833333333336)</f>
        <v>1502.683333</v>
      </c>
      <c r="K263" s="18">
        <f>IFERROR(__xludf.DUMMYFUNCTION("AVERAGE(QUERY(SORT(GOOGLEFINANCE(B263,""price"",TODAY()-365,TODAY()),1,0),""select Col2 limit 60""))"),1467.7299999999996)</f>
        <v>1467.73</v>
      </c>
      <c r="L263" s="17">
        <f>IFERROR(__xludf.DUMMYFUNCTION("AVERAGE(QUERY(SORT(GOOGLEFINANCE(B263,""price"",TODAY()-365,TODAY()),1,0),""select Col2 limit 90""))"),1415.9055555555558)</f>
        <v>1415.905556</v>
      </c>
      <c r="M263" s="17">
        <f>IFERROR(__xludf.DUMMYFUNCTION("AVERAGE(QUERY(SORT(GOOGLEFINANCE(B263,""price"",TODAY()-365,TODAY()),1,0),""select Col2 limit 120""))"),1410.0637500000007)</f>
        <v>1410.06375</v>
      </c>
      <c r="N263" s="19">
        <f>IFERROR(__xludf.DUMMYFUNCTION("AVERAGE(QUERY(SORT(GOOGLEFINANCE(B263,""price"",TODAY()-365,TODAY()),1,0),""select Col2 limit 200""))"),1538.348250000001)</f>
        <v>1538.34825</v>
      </c>
      <c r="O263" s="20" t="str">
        <f t="shared" si="2"/>
        <v>Avoid</v>
      </c>
      <c r="P263" s="21" t="str">
        <f t="shared" si="3"/>
        <v/>
      </c>
      <c r="Q263" s="21" t="str">
        <f t="shared" si="4"/>
        <v/>
      </c>
      <c r="R263" s="22">
        <f>IFERROR(__xludf.DUMMYFUNCTION("GOOGLEFINANCE(B263, ""pe"")
"),73.82)</f>
        <v>73.82</v>
      </c>
    </row>
    <row r="264">
      <c r="A264" s="9" t="s">
        <v>276</v>
      </c>
      <c r="B264" s="11" t="str">
        <f t="shared" si="1"/>
        <v>NSE:ABBOTINDIA</v>
      </c>
      <c r="C264" s="12">
        <f>IFERROR(__xludf.DUMMYFUNCTION("GOOGLEFINANCE(B264,""marketcap"")/10000000"),70866.4155)</f>
        <v>70866.4155</v>
      </c>
      <c r="D264" s="13">
        <f>IFERROR(__xludf.DUMMYFUNCTION("GOOGLEFINANCE(B264,""price"")"),33400.0)</f>
        <v>33400</v>
      </c>
      <c r="E264" s="14">
        <f>IFERROR(__xludf.DUMMYFUNCTION("GOOGLEFINANCE(B264,""Volume"")"),2732.0)</f>
        <v>2732</v>
      </c>
      <c r="F264" s="14">
        <f t="array" ref="F264">F263</f>
        <v>14</v>
      </c>
      <c r="G264" s="15" t="str">
        <f>IFERROR(__xludf.DUMMYFUNCTION("IF(E264&gt;AVERAGE(INDEX(GOOGLEFINANCE(B264,""volume"",WORKDAY(TODAY(),-$F$1),TODAY()),,2)),""Breakout"","""")"),"")</f>
        <v/>
      </c>
      <c r="H264" s="16">
        <f>IFERROR(__xludf.DUMMYFUNCTION("GOOGLEFINANCE(B264,""price"")"),33400.0)</f>
        <v>33400</v>
      </c>
      <c r="I264" s="17">
        <f>IFERROR(__xludf.DUMMYFUNCTION("AVERAGE(QUERY(SORT(GOOGLEFINANCE(B264,""price"",TODAY()-365,TODAY()),1,0),""select Col2 limit 10""))"),34245.0)</f>
        <v>34245</v>
      </c>
      <c r="J264" s="17">
        <f>IFERROR(__xludf.DUMMYFUNCTION("AVERAGE(QUERY(SORT(GOOGLEFINANCE(B264,""price"",TODAY()-365,TODAY()),1,0),""select Col2 limit 30""))"),33678.666666666664)</f>
        <v>33678.66667</v>
      </c>
      <c r="K264" s="18">
        <f>IFERROR(__xludf.DUMMYFUNCTION("AVERAGE(QUERY(SORT(GOOGLEFINANCE(B264,""price"",TODAY()-365,TODAY()),1,0),""select Col2 limit 60""))"),32240.583333333332)</f>
        <v>32240.58333</v>
      </c>
      <c r="L264" s="17">
        <f>IFERROR(__xludf.DUMMYFUNCTION("AVERAGE(QUERY(SORT(GOOGLEFINANCE(B264,""price"",TODAY()-365,TODAY()),1,0),""select Col2 limit 90""))"),31559.186666666665)</f>
        <v>31559.18667</v>
      </c>
      <c r="M264" s="17">
        <f>IFERROR(__xludf.DUMMYFUNCTION("AVERAGE(QUERY(SORT(GOOGLEFINANCE(B264,""price"",TODAY()-365,TODAY()),1,0),""select Col2 limit 120""))"),30983.353333333325)</f>
        <v>30983.35333</v>
      </c>
      <c r="N264" s="19">
        <f>IFERROR(__xludf.DUMMYFUNCTION("AVERAGE(QUERY(SORT(GOOGLEFINANCE(B264,""price"",TODAY()-365,TODAY()),1,0),""select Col2 limit 200""))"),29963.81024999998)</f>
        <v>29963.81025</v>
      </c>
      <c r="O264" s="20" t="str">
        <f t="shared" si="2"/>
        <v>Avoid</v>
      </c>
      <c r="P264" s="21" t="str">
        <f t="shared" si="3"/>
        <v>30 DMA</v>
      </c>
      <c r="Q264" s="21" t="str">
        <f t="shared" si="4"/>
        <v/>
      </c>
      <c r="R264" s="22">
        <f>IFERROR(__xludf.DUMMYFUNCTION("GOOGLEFINANCE(B264, ""pe"")
"),50.04)</f>
        <v>50.04</v>
      </c>
    </row>
    <row r="265">
      <c r="A265" s="9" t="s">
        <v>277</v>
      </c>
      <c r="B265" s="11" t="str">
        <f t="shared" si="1"/>
        <v>NSE:PIIND</v>
      </c>
      <c r="C265" s="12">
        <f>IFERROR(__xludf.DUMMYFUNCTION("GOOGLEFINANCE(B265,""marketcap"")/10000000"),62676.17708)</f>
        <v>62676.17708</v>
      </c>
      <c r="D265" s="13">
        <f>IFERROR(__xludf.DUMMYFUNCTION("GOOGLEFINANCE(B265,""price"")"),4131.5)</f>
        <v>4131.5</v>
      </c>
      <c r="E265" s="14">
        <f>IFERROR(__xludf.DUMMYFUNCTION("GOOGLEFINANCE(B265,""Volume"")"),45893.0)</f>
        <v>45893</v>
      </c>
      <c r="F265" s="14">
        <f t="array" ref="F265">F264</f>
        <v>14</v>
      </c>
      <c r="G265" s="15" t="str">
        <f>IFERROR(__xludf.DUMMYFUNCTION("IF(E265&gt;AVERAGE(INDEX(GOOGLEFINANCE(B265,""volume"",WORKDAY(TODAY(),-$F$1),TODAY()),,2)),""Breakout"","""")"),"")</f>
        <v/>
      </c>
      <c r="H265" s="16">
        <f>IFERROR(__xludf.DUMMYFUNCTION("GOOGLEFINANCE(B265,""price"")"),4131.5)</f>
        <v>4131.5</v>
      </c>
      <c r="I265" s="17">
        <f>IFERROR(__xludf.DUMMYFUNCTION("AVERAGE(QUERY(SORT(GOOGLEFINANCE(B265,""price"",TODAY()-365,TODAY()),1,0),""select Col2 limit 10""))"),4111.67)</f>
        <v>4111.67</v>
      </c>
      <c r="J265" s="17">
        <f>IFERROR(__xludf.DUMMYFUNCTION("AVERAGE(QUERY(SORT(GOOGLEFINANCE(B265,""price"",TODAY()-365,TODAY()),1,0),""select Col2 limit 30""))"),4134.876666666666)</f>
        <v>4134.876667</v>
      </c>
      <c r="K265" s="18">
        <f>IFERROR(__xludf.DUMMYFUNCTION("AVERAGE(QUERY(SORT(GOOGLEFINANCE(B265,""price"",TODAY()-365,TODAY()),1,0),""select Col2 limit 60""))"),3956.799999999999)</f>
        <v>3956.8</v>
      </c>
      <c r="L265" s="17">
        <f>IFERROR(__xludf.DUMMYFUNCTION("AVERAGE(QUERY(SORT(GOOGLEFINANCE(B265,""price"",TODAY()-365,TODAY()),1,0),""select Col2 limit 90""))"),3807.8033333333324)</f>
        <v>3807.803333</v>
      </c>
      <c r="M265" s="17">
        <f>IFERROR(__xludf.DUMMYFUNCTION("AVERAGE(QUERY(SORT(GOOGLEFINANCE(B265,""price"",TODAY()-365,TODAY()),1,0),""select Col2 limit 120""))"),3676.8224999999993)</f>
        <v>3676.8225</v>
      </c>
      <c r="N265" s="19">
        <f>IFERROR(__xludf.DUMMYFUNCTION("AVERAGE(QUERY(SORT(GOOGLEFINANCE(B265,""price"",TODAY()-365,TODAY()),1,0),""select Col2 limit 200""))"),3828.9779999999987)</f>
        <v>3828.978</v>
      </c>
      <c r="O265" s="20" t="str">
        <f t="shared" si="2"/>
        <v>Avoid</v>
      </c>
      <c r="P265" s="21" t="str">
        <f t="shared" si="3"/>
        <v>30 DMA</v>
      </c>
      <c r="Q265" s="21" t="str">
        <f t="shared" si="4"/>
        <v/>
      </c>
      <c r="R265" s="22">
        <f>IFERROR(__xludf.DUMMYFUNCTION("GOOGLEFINANCE(B265, ""pe"")
"),37.74)</f>
        <v>37.74</v>
      </c>
    </row>
    <row r="266">
      <c r="A266" s="9" t="s">
        <v>278</v>
      </c>
      <c r="B266" s="11" t="str">
        <f t="shared" si="1"/>
        <v>NSE:PATANJALI</v>
      </c>
      <c r="C266" s="12">
        <f>IFERROR(__xludf.DUMMYFUNCTION("GOOGLEFINANCE(B266,""marketcap"")/10000000"),66929.539939)</f>
        <v>66929.53994</v>
      </c>
      <c r="D266" s="13">
        <f>IFERROR(__xludf.DUMMYFUNCTION("GOOGLEFINANCE(B266,""price"")"),1849.7)</f>
        <v>1849.7</v>
      </c>
      <c r="E266" s="14">
        <f>IFERROR(__xludf.DUMMYFUNCTION("GOOGLEFINANCE(B266,""Volume"")"),213604.0)</f>
        <v>213604</v>
      </c>
      <c r="F266" s="14">
        <f t="array" ref="F266">F265</f>
        <v>14</v>
      </c>
      <c r="G266" s="15" t="str">
        <f>IFERROR(__xludf.DUMMYFUNCTION("IF(E266&gt;AVERAGE(INDEX(GOOGLEFINANCE(B266,""volume"",WORKDAY(TODAY(),-$F$1),TODAY()),,2)),""Breakout"","""")"),"")</f>
        <v/>
      </c>
      <c r="H266" s="16">
        <f>IFERROR(__xludf.DUMMYFUNCTION("GOOGLEFINANCE(B266,""price"")"),1849.7)</f>
        <v>1849.7</v>
      </c>
      <c r="I266" s="17">
        <f>IFERROR(__xludf.DUMMYFUNCTION("AVERAGE(QUERY(SORT(GOOGLEFINANCE(B266,""price"",TODAY()-365,TODAY()),1,0),""select Col2 limit 10""))"),1872.67)</f>
        <v>1872.67</v>
      </c>
      <c r="J266" s="17">
        <f>IFERROR(__xludf.DUMMYFUNCTION("AVERAGE(QUERY(SORT(GOOGLEFINANCE(B266,""price"",TODAY()-365,TODAY()),1,0),""select Col2 limit 30""))"),1723.3633333333332)</f>
        <v>1723.363333</v>
      </c>
      <c r="K266" s="18">
        <f>IFERROR(__xludf.DUMMYFUNCTION("AVERAGE(QUERY(SORT(GOOGLEFINANCE(B266,""price"",TODAY()-365,TODAY()),1,0),""select Col2 limit 60""))"),1732.3750000000002)</f>
        <v>1732.375</v>
      </c>
      <c r="L266" s="17">
        <f>IFERROR(__xludf.DUMMYFUNCTION("AVERAGE(QUERY(SORT(GOOGLEFINANCE(B266,""price"",TODAY()-365,TODAY()),1,0),""select Col2 limit 90""))"),1773.7477777777783)</f>
        <v>1773.747778</v>
      </c>
      <c r="M266" s="17">
        <f>IFERROR(__xludf.DUMMYFUNCTION("AVERAGE(QUERY(SORT(GOOGLEFINANCE(B266,""price"",TODAY()-365,TODAY()),1,0),""select Col2 limit 120""))"),1779.610416666667)</f>
        <v>1779.610417</v>
      </c>
      <c r="N266" s="19">
        <f>IFERROR(__xludf.DUMMYFUNCTION("AVERAGE(QUERY(SORT(GOOGLEFINANCE(B266,""price"",TODAY()-365,TODAY()),1,0),""select Col2 limit 200""))"),1788.6202499999997)</f>
        <v>1788.62025</v>
      </c>
      <c r="O266" s="20" t="str">
        <f t="shared" si="2"/>
        <v>Avoid</v>
      </c>
      <c r="P266" s="21" t="str">
        <f t="shared" si="3"/>
        <v/>
      </c>
      <c r="Q266" s="21" t="str">
        <f t="shared" si="4"/>
        <v/>
      </c>
      <c r="R266" s="22">
        <f>IFERROR(__xludf.DUMMYFUNCTION("GOOGLEFINANCE(B266, ""pe"")
"),51.45)</f>
        <v>51.45</v>
      </c>
    </row>
    <row r="267">
      <c r="A267" s="9" t="s">
        <v>279</v>
      </c>
      <c r="B267" s="11" t="str">
        <f t="shared" si="1"/>
        <v>NSE:UNOMINDA</v>
      </c>
      <c r="C267" s="12">
        <f>IFERROR(__xludf.DUMMYFUNCTION("GOOGLEFINANCE(B267,""marketcap"")/10000000"),62341.45)</f>
        <v>62341.45</v>
      </c>
      <c r="D267" s="13">
        <f>IFERROR(__xludf.DUMMYFUNCTION("GOOGLEFINANCE(B267,""price"")"),1067.2)</f>
        <v>1067.2</v>
      </c>
      <c r="E267" s="14">
        <f>IFERROR(__xludf.DUMMYFUNCTION("GOOGLEFINANCE(B267,""Volume"")"),106340.0)</f>
        <v>106340</v>
      </c>
      <c r="F267" s="14">
        <f t="array" ref="F267">F266</f>
        <v>14</v>
      </c>
      <c r="G267" s="15" t="str">
        <f>IFERROR(__xludf.DUMMYFUNCTION("IF(E267&gt;AVERAGE(INDEX(GOOGLEFINANCE(B267,""volume"",WORKDAY(TODAY(),-$F$1),TODAY()),,2)),""Breakout"","""")"),"")</f>
        <v/>
      </c>
      <c r="H267" s="16">
        <f>IFERROR(__xludf.DUMMYFUNCTION("GOOGLEFINANCE(B267,""price"")"),1067.2)</f>
        <v>1067.2</v>
      </c>
      <c r="I267" s="17">
        <f>IFERROR(__xludf.DUMMYFUNCTION("AVERAGE(QUERY(SORT(GOOGLEFINANCE(B267,""price"",TODAY()-365,TODAY()),1,0),""select Col2 limit 10""))"),1088.56)</f>
        <v>1088.56</v>
      </c>
      <c r="J267" s="17">
        <f>IFERROR(__xludf.DUMMYFUNCTION("AVERAGE(QUERY(SORT(GOOGLEFINANCE(B267,""price"",TODAY()-365,TODAY()),1,0),""select Col2 limit 30""))"),1082.7099999999998)</f>
        <v>1082.71</v>
      </c>
      <c r="K267" s="18">
        <f>IFERROR(__xludf.DUMMYFUNCTION("AVERAGE(QUERY(SORT(GOOGLEFINANCE(B267,""price"",TODAY()-365,TODAY()),1,0),""select Col2 limit 60""))"),1045.1116666666667)</f>
        <v>1045.111667</v>
      </c>
      <c r="L267" s="17">
        <f>IFERROR(__xludf.DUMMYFUNCTION("AVERAGE(QUERY(SORT(GOOGLEFINANCE(B267,""price"",TODAY()-365,TODAY()),1,0),""select Col2 limit 90""))"),995.4850000000001)</f>
        <v>995.485</v>
      </c>
      <c r="M267" s="17">
        <f>IFERROR(__xludf.DUMMYFUNCTION("AVERAGE(QUERY(SORT(GOOGLEFINANCE(B267,""price"",TODAY()-365,TODAY()),1,0),""select Col2 limit 120""))"),973.6662500000002)</f>
        <v>973.66625</v>
      </c>
      <c r="N267" s="19">
        <f>IFERROR(__xludf.DUMMYFUNCTION("AVERAGE(QUERY(SORT(GOOGLEFINANCE(B267,""price"",TODAY()-365,TODAY()),1,0),""select Col2 limit 200""))"),990.0295000000001)</f>
        <v>990.0295</v>
      </c>
      <c r="O267" s="20" t="str">
        <f t="shared" si="2"/>
        <v>Avoid</v>
      </c>
      <c r="P267" s="21" t="str">
        <f t="shared" si="3"/>
        <v/>
      </c>
      <c r="Q267" s="21" t="str">
        <f t="shared" si="4"/>
        <v/>
      </c>
      <c r="R267" s="22">
        <f>IFERROR(__xludf.DUMMYFUNCTION("GOOGLEFINANCE(B267, ""pe"")
"),72.3)</f>
        <v>72.3</v>
      </c>
    </row>
    <row r="268">
      <c r="A268" s="9" t="s">
        <v>280</v>
      </c>
      <c r="B268" s="11" t="str">
        <f t="shared" si="1"/>
        <v>NSE:IDFCFIRSTB</v>
      </c>
      <c r="C268" s="12">
        <f>IFERROR(__xludf.DUMMYFUNCTION("GOOGLEFINANCE(B268,""marketcap"")/10000000"),52011.1765422)</f>
        <v>52011.17654</v>
      </c>
      <c r="D268" s="13">
        <f>IFERROR(__xludf.DUMMYFUNCTION("GOOGLEFINANCE(B268,""price"")"),71.21)</f>
        <v>71.21</v>
      </c>
      <c r="E268" s="14">
        <f>IFERROR(__xludf.DUMMYFUNCTION("GOOGLEFINANCE(B268,""Volume"")"),2.4817855E7)</f>
        <v>24817855</v>
      </c>
      <c r="F268" s="14">
        <f t="array" ref="F268">F267</f>
        <v>14</v>
      </c>
      <c r="G268" s="15" t="str">
        <f>IFERROR(__xludf.DUMMYFUNCTION("IF(E268&gt;AVERAGE(INDEX(GOOGLEFINANCE(B268,""volume"",WORKDAY(TODAY(),-$F$1),TODAY()),,2)),""Breakout"","""")"),"Breakout")</f>
        <v>Breakout</v>
      </c>
      <c r="H268" s="16">
        <f>IFERROR(__xludf.DUMMYFUNCTION("GOOGLEFINANCE(B268,""price"")"),71.21)</f>
        <v>71.21</v>
      </c>
      <c r="I268" s="17">
        <f>IFERROR(__xludf.DUMMYFUNCTION("AVERAGE(QUERY(SORT(GOOGLEFINANCE(B268,""price"",TODAY()-365,TODAY()),1,0),""select Col2 limit 10""))"),73.03500000000001)</f>
        <v>73.035</v>
      </c>
      <c r="J268" s="17">
        <f>IFERROR(__xludf.DUMMYFUNCTION("AVERAGE(QUERY(SORT(GOOGLEFINANCE(B268,""price"",TODAY()-365,TODAY()),1,0),""select Col2 limit 30""))"),73.64066666666668)</f>
        <v>73.64066667</v>
      </c>
      <c r="K268" s="18">
        <f>IFERROR(__xludf.DUMMYFUNCTION("AVERAGE(QUERY(SORT(GOOGLEFINANCE(B268,""price"",TODAY()-365,TODAY()),1,0),""select Col2 limit 60""))"),71.00900000000001)</f>
        <v>71.009</v>
      </c>
      <c r="L268" s="17">
        <f>IFERROR(__xludf.DUMMYFUNCTION("AVERAGE(QUERY(SORT(GOOGLEFINANCE(B268,""price"",TODAY()-365,TODAY()),1,0),""select Col2 limit 90""))"),67.49233333333335)</f>
        <v>67.49233333</v>
      </c>
      <c r="M268" s="17">
        <f>IFERROR(__xludf.DUMMYFUNCTION("AVERAGE(QUERY(SORT(GOOGLEFINANCE(B268,""price"",TODAY()-365,TODAY()),1,0),""select Col2 limit 120""))"),65.58175)</f>
        <v>65.58175</v>
      </c>
      <c r="N268" s="19">
        <f>IFERROR(__xludf.DUMMYFUNCTION("AVERAGE(QUERY(SORT(GOOGLEFINANCE(B268,""price"",TODAY()-365,TODAY()),1,0),""select Col2 limit 200""))"),65.47689999999999)</f>
        <v>65.4769</v>
      </c>
      <c r="O268" s="20" t="str">
        <f t="shared" si="2"/>
        <v>Avoid</v>
      </c>
      <c r="P268" s="21" t="str">
        <f t="shared" si="3"/>
        <v/>
      </c>
      <c r="Q268" s="21" t="str">
        <f t="shared" si="4"/>
        <v/>
      </c>
      <c r="R268" s="22">
        <f>IFERROR(__xludf.DUMMYFUNCTION("GOOGLEFINANCE(B268, ""pe"")
"),35.08)</f>
        <v>35.08</v>
      </c>
    </row>
    <row r="269">
      <c r="A269" s="9" t="s">
        <v>281</v>
      </c>
      <c r="B269" s="11" t="str">
        <f t="shared" si="1"/>
        <v>NSE:BHARTIHEXA</v>
      </c>
      <c r="C269" s="12">
        <f>IFERROR(__xludf.DUMMYFUNCTION("GOOGLEFINANCE(B269,""marketcap"")/10000000"),89625.0)</f>
        <v>89625</v>
      </c>
      <c r="D269" s="13">
        <f>IFERROR(__xludf.DUMMYFUNCTION("GOOGLEFINANCE(B269,""price"")"),1792.5)</f>
        <v>1792.5</v>
      </c>
      <c r="E269" s="14">
        <f>IFERROR(__xludf.DUMMYFUNCTION("GOOGLEFINANCE(B269,""Volume"")"),40297.0)</f>
        <v>40297</v>
      </c>
      <c r="F269" s="14">
        <f t="array" ref="F269">F268</f>
        <v>14</v>
      </c>
      <c r="G269" s="15" t="str">
        <f>IFERROR(__xludf.DUMMYFUNCTION("IF(E269&gt;AVERAGE(INDEX(GOOGLEFINANCE(B269,""volume"",WORKDAY(TODAY(),-$F$1),TODAY()),,2)),""Breakout"","""")"),"")</f>
        <v/>
      </c>
      <c r="H269" s="16">
        <f>IFERROR(__xludf.DUMMYFUNCTION("GOOGLEFINANCE(B269,""price"")"),1792.5)</f>
        <v>1792.5</v>
      </c>
      <c r="I269" s="17">
        <f>IFERROR(__xludf.DUMMYFUNCTION("AVERAGE(QUERY(SORT(GOOGLEFINANCE(B269,""price"",TODAY()-365,TODAY()),1,0),""select Col2 limit 10""))"),1799.36)</f>
        <v>1799.36</v>
      </c>
      <c r="J269" s="17">
        <f>IFERROR(__xludf.DUMMYFUNCTION("AVERAGE(QUERY(SORT(GOOGLEFINANCE(B269,""price"",TODAY()-365,TODAY()),1,0),""select Col2 limit 30""))"),1828.3166666666662)</f>
        <v>1828.316667</v>
      </c>
      <c r="K269" s="18">
        <f>IFERROR(__xludf.DUMMYFUNCTION("AVERAGE(QUERY(SORT(GOOGLEFINANCE(B269,""price"",TODAY()-365,TODAY()),1,0),""select Col2 limit 60""))"),1789.763333333333)</f>
        <v>1789.763333</v>
      </c>
      <c r="L269" s="17">
        <f>IFERROR(__xludf.DUMMYFUNCTION("AVERAGE(QUERY(SORT(GOOGLEFINANCE(B269,""price"",TODAY()-365,TODAY()),1,0),""select Col2 limit 90""))"),1691.2100000000003)</f>
        <v>1691.21</v>
      </c>
      <c r="M269" s="17">
        <f>IFERROR(__xludf.DUMMYFUNCTION("AVERAGE(QUERY(SORT(GOOGLEFINANCE(B269,""price"",TODAY()-365,TODAY()),1,0),""select Col2 limit 120""))"),1604.9770833333334)</f>
        <v>1604.977083</v>
      </c>
      <c r="N269" s="19">
        <f>IFERROR(__xludf.DUMMYFUNCTION("AVERAGE(QUERY(SORT(GOOGLEFINANCE(B269,""price"",TODAY()-365,TODAY()),1,0),""select Col2 limit 200""))"),1530.5282499999992)</f>
        <v>1530.52825</v>
      </c>
      <c r="O269" s="20" t="str">
        <f t="shared" si="2"/>
        <v>Avoid</v>
      </c>
      <c r="P269" s="21" t="str">
        <f t="shared" si="3"/>
        <v>10 DMA</v>
      </c>
      <c r="Q269" s="21" t="str">
        <f t="shared" si="4"/>
        <v/>
      </c>
      <c r="R269" s="22">
        <f>IFERROR(__xludf.DUMMYFUNCTION("GOOGLEFINANCE(B269, ""pe"")
"),60.06)</f>
        <v>60.06</v>
      </c>
    </row>
    <row r="270">
      <c r="A270" s="9" t="s">
        <v>282</v>
      </c>
      <c r="B270" s="11" t="str">
        <f t="shared" si="1"/>
        <v>NSE:ABCAPITAL</v>
      </c>
      <c r="C270" s="12">
        <f>IFERROR(__xludf.DUMMYFUNCTION("GOOGLEFINANCE(B270,""marketcap"")/10000000"),67168.4895)</f>
        <v>67168.4895</v>
      </c>
      <c r="D270" s="13">
        <f>IFERROR(__xludf.DUMMYFUNCTION("GOOGLEFINANCE(B270,""price"")"),257.1)</f>
        <v>257.1</v>
      </c>
      <c r="E270" s="14">
        <f>IFERROR(__xludf.DUMMYFUNCTION("GOOGLEFINANCE(B270,""Volume"")"),2782983.0)</f>
        <v>2782983</v>
      </c>
      <c r="F270" s="14">
        <f t="array" ref="F270">F269</f>
        <v>14</v>
      </c>
      <c r="G270" s="15" t="str">
        <f>IFERROR(__xludf.DUMMYFUNCTION("IF(E270&gt;AVERAGE(INDEX(GOOGLEFINANCE(B270,""volume"",WORKDAY(TODAY(),-$F$1),TODAY()),,2)),""Breakout"","""")"),"")</f>
        <v/>
      </c>
      <c r="H270" s="16">
        <f>IFERROR(__xludf.DUMMYFUNCTION("GOOGLEFINANCE(B270,""price"")"),257.1)</f>
        <v>257.1</v>
      </c>
      <c r="I270" s="17">
        <f>IFERROR(__xludf.DUMMYFUNCTION("AVERAGE(QUERY(SORT(GOOGLEFINANCE(B270,""price"",TODAY()-365,TODAY()),1,0),""select Col2 limit 10""))"),268.525)</f>
        <v>268.525</v>
      </c>
      <c r="J270" s="17">
        <f>IFERROR(__xludf.DUMMYFUNCTION("AVERAGE(QUERY(SORT(GOOGLEFINANCE(B270,""price"",TODAY()-365,TODAY()),1,0),""select Col2 limit 30""))"),268.7236666666666)</f>
        <v>268.7236667</v>
      </c>
      <c r="K270" s="18">
        <f>IFERROR(__xludf.DUMMYFUNCTION("AVERAGE(QUERY(SORT(GOOGLEFINANCE(B270,""price"",TODAY()-365,TODAY()),1,0),""select Col2 limit 60""))"),244.11300000000003)</f>
        <v>244.113</v>
      </c>
      <c r="L270" s="17">
        <f>IFERROR(__xludf.DUMMYFUNCTION("AVERAGE(QUERY(SORT(GOOGLEFINANCE(B270,""price"",TODAY()-365,TODAY()),1,0),""select Col2 limit 90""))"),225.60411111111114)</f>
        <v>225.6041111</v>
      </c>
      <c r="M270" s="17">
        <f>IFERROR(__xludf.DUMMYFUNCTION("AVERAGE(QUERY(SORT(GOOGLEFINANCE(B270,""price"",TODAY()-365,TODAY()),1,0),""select Col2 limit 120""))"),209.57949999999997)</f>
        <v>209.5795</v>
      </c>
      <c r="N270" s="19">
        <f>IFERROR(__xludf.DUMMYFUNCTION("AVERAGE(QUERY(SORT(GOOGLEFINANCE(B270,""price"",TODAY()-365,TODAY()),1,0),""select Col2 limit 200""))"),203.73660000000004)</f>
        <v>203.7366</v>
      </c>
      <c r="O270" s="20" t="str">
        <f t="shared" si="2"/>
        <v>Avoid</v>
      </c>
      <c r="P270" s="21" t="str">
        <f t="shared" si="3"/>
        <v/>
      </c>
      <c r="Q270" s="21" t="str">
        <f t="shared" si="4"/>
        <v/>
      </c>
      <c r="R270" s="22">
        <f>IFERROR(__xludf.DUMMYFUNCTION("GOOGLEFINANCE(B270, ""pe"")
"),20.53)</f>
        <v>20.53</v>
      </c>
    </row>
    <row r="271">
      <c r="A271" s="9" t="s">
        <v>283</v>
      </c>
      <c r="B271" s="11" t="str">
        <f t="shared" si="1"/>
        <v>NSE:THERMAX</v>
      </c>
      <c r="C271" s="12">
        <f>IFERROR(__xludf.DUMMYFUNCTION("GOOGLEFINANCE(B271,""marketcap"")/10000000"),42167.0789919)</f>
        <v>42167.07899</v>
      </c>
      <c r="D271" s="13">
        <f>IFERROR(__xludf.DUMMYFUNCTION("GOOGLEFINANCE(B271,""price"")"),3738.2)</f>
        <v>3738.2</v>
      </c>
      <c r="E271" s="14">
        <f>IFERROR(__xludf.DUMMYFUNCTION("GOOGLEFINANCE(B271,""Volume"")"),18631.0)</f>
        <v>18631</v>
      </c>
      <c r="F271" s="14">
        <f t="array" ref="F271">F270</f>
        <v>14</v>
      </c>
      <c r="G271" s="15" t="str">
        <f>IFERROR(__xludf.DUMMYFUNCTION("IF(E271&gt;AVERAGE(INDEX(GOOGLEFINANCE(B271,""volume"",WORKDAY(TODAY(),-$F$1),TODAY()),,2)),""Breakout"","""")"),"")</f>
        <v/>
      </c>
      <c r="H271" s="16">
        <f>IFERROR(__xludf.DUMMYFUNCTION("GOOGLEFINANCE(B271,""price"")"),3738.2)</f>
        <v>3738.2</v>
      </c>
      <c r="I271" s="17">
        <f>IFERROR(__xludf.DUMMYFUNCTION("AVERAGE(QUERY(SORT(GOOGLEFINANCE(B271,""price"",TODAY()-365,TODAY()),1,0),""select Col2 limit 10""))"),3764.9899999999993)</f>
        <v>3764.99</v>
      </c>
      <c r="J271" s="17">
        <f>IFERROR(__xludf.DUMMYFUNCTION("AVERAGE(QUERY(SORT(GOOGLEFINANCE(B271,""price"",TODAY()-365,TODAY()),1,0),""select Col2 limit 30""))"),3555.736666666667)</f>
        <v>3555.736667</v>
      </c>
      <c r="K271" s="18">
        <f>IFERROR(__xludf.DUMMYFUNCTION("AVERAGE(QUERY(SORT(GOOGLEFINANCE(B271,""price"",TODAY()-365,TODAY()),1,0),""select Col2 limit 60""))"),3496.6700000000005)</f>
        <v>3496.67</v>
      </c>
      <c r="L271" s="17">
        <f>IFERROR(__xludf.DUMMYFUNCTION("AVERAGE(QUERY(SORT(GOOGLEFINANCE(B271,""price"",TODAY()-365,TODAY()),1,0),""select Col2 limit 90""))"),3470.2372222222234)</f>
        <v>3470.237222</v>
      </c>
      <c r="M271" s="17">
        <f>IFERROR(__xludf.DUMMYFUNCTION("AVERAGE(QUERY(SORT(GOOGLEFINANCE(B271,""price"",TODAY()-365,TODAY()),1,0),""select Col2 limit 120""))"),3433.492083333334)</f>
        <v>3433.492083</v>
      </c>
      <c r="N271" s="19">
        <f>IFERROR(__xludf.DUMMYFUNCTION("AVERAGE(QUERY(SORT(GOOGLEFINANCE(B271,""price"",TODAY()-365,TODAY()),1,0),""select Col2 limit 200""))"),3905.0932499999985)</f>
        <v>3905.09325</v>
      </c>
      <c r="O271" s="20" t="str">
        <f t="shared" si="2"/>
        <v>Avoid</v>
      </c>
      <c r="P271" s="21" t="str">
        <f t="shared" si="3"/>
        <v>10 DMA</v>
      </c>
      <c r="Q271" s="21" t="str">
        <f t="shared" si="4"/>
        <v/>
      </c>
      <c r="R271" s="22">
        <f>IFERROR(__xludf.DUMMYFUNCTION("GOOGLEFINANCE(B271, ""pe"")
"),66.48)</f>
        <v>66.48</v>
      </c>
    </row>
    <row r="272">
      <c r="A272" s="9" t="s">
        <v>284</v>
      </c>
      <c r="B272" s="11" t="str">
        <f t="shared" si="1"/>
        <v>NSE:GMRINFRA</v>
      </c>
      <c r="C272" s="12" t="str">
        <f>IFERROR(__xludf.DUMMYFUNCTION("GOOGLEFINANCE(B272,""marketcap"")/10000000"),"#N/A")</f>
        <v>#N/A</v>
      </c>
      <c r="D272" s="13" t="str">
        <f>IFERROR(__xludf.DUMMYFUNCTION("GOOGLEFINANCE(B272,""price"")"),"#N/A")</f>
        <v>#N/A</v>
      </c>
      <c r="E272" s="14" t="str">
        <f>IFERROR(__xludf.DUMMYFUNCTION("GOOGLEFINANCE(B272,""Volume"")"),"#N/A")</f>
        <v>#N/A</v>
      </c>
      <c r="F272" s="14">
        <f t="array" ref="F272">F271</f>
        <v>14</v>
      </c>
      <c r="G272" s="15" t="str">
        <f>IFERROR(__xludf.DUMMYFUNCTION("IF(E272&gt;AVERAGE(INDEX(GOOGLEFINANCE(B272,""volume"",WORKDAY(TODAY(),-$F$1),TODAY()),,2)),""Breakout"","""")"),"#N/A")</f>
        <v>#N/A</v>
      </c>
      <c r="H272" s="16" t="str">
        <f>IFERROR(__xludf.DUMMYFUNCTION("GOOGLEFINANCE(B272,""price"")"),"#N/A")</f>
        <v>#N/A</v>
      </c>
      <c r="I272" s="17" t="str">
        <f>IFERROR(__xludf.DUMMYFUNCTION("AVERAGE(QUERY(SORT(GOOGLEFINANCE(B272,""price"",TODAY()-365,TODAY()),1,0),""select Col2 limit 10""))"),"#N/A")</f>
        <v>#N/A</v>
      </c>
      <c r="J272" s="17" t="str">
        <f>IFERROR(__xludf.DUMMYFUNCTION("AVERAGE(QUERY(SORT(GOOGLEFINANCE(B272,""price"",TODAY()-365,TODAY()),1,0),""select Col2 limit 30""))"),"#N/A")</f>
        <v>#N/A</v>
      </c>
      <c r="K272" s="18" t="str">
        <f>IFERROR(__xludf.DUMMYFUNCTION("AVERAGE(QUERY(SORT(GOOGLEFINANCE(B272,""price"",TODAY()-365,TODAY()),1,0),""select Col2 limit 60""))"),"#N/A")</f>
        <v>#N/A</v>
      </c>
      <c r="L272" s="17" t="str">
        <f>IFERROR(__xludf.DUMMYFUNCTION("AVERAGE(QUERY(SORT(GOOGLEFINANCE(B272,""price"",TODAY()-365,TODAY()),1,0),""select Col2 limit 90""))"),"#N/A")</f>
        <v>#N/A</v>
      </c>
      <c r="M272" s="17" t="str">
        <f>IFERROR(__xludf.DUMMYFUNCTION("AVERAGE(QUERY(SORT(GOOGLEFINANCE(B272,""price"",TODAY()-365,TODAY()),1,0),""select Col2 limit 120""))"),"#N/A")</f>
        <v>#N/A</v>
      </c>
      <c r="N272" s="19" t="str">
        <f>IFERROR(__xludf.DUMMYFUNCTION("AVERAGE(QUERY(SORT(GOOGLEFINANCE(B272,""price"",TODAY()-365,TODAY()),1,0),""select Col2 limit 200""))"),"#N/A")</f>
        <v>#N/A</v>
      </c>
      <c r="O272" s="20" t="str">
        <f t="shared" si="2"/>
        <v>#N/A</v>
      </c>
      <c r="P272" s="21" t="str">
        <f t="shared" si="3"/>
        <v>#N/A</v>
      </c>
      <c r="Q272" s="21" t="str">
        <f t="shared" si="4"/>
        <v>#N/A</v>
      </c>
      <c r="R272" s="22" t="str">
        <f>IFERROR(__xludf.DUMMYFUNCTION("GOOGLEFINANCE(B272, ""pe"")
"),"#N/A")</f>
        <v>#N/A</v>
      </c>
    </row>
    <row r="273">
      <c r="A273" s="9" t="s">
        <v>285</v>
      </c>
      <c r="B273" s="11" t="str">
        <f t="shared" si="1"/>
        <v>NSE:SJVN</v>
      </c>
      <c r="C273" s="12">
        <f>IFERROR(__xludf.DUMMYFUNCTION("GOOGLEFINANCE(B273,""marketcap"")/10000000"),37781.0488901)</f>
        <v>37781.04889</v>
      </c>
      <c r="D273" s="13">
        <f>IFERROR(__xludf.DUMMYFUNCTION("GOOGLEFINANCE(B273,""price"")"),95.92)</f>
        <v>95.92</v>
      </c>
      <c r="E273" s="14">
        <f>IFERROR(__xludf.DUMMYFUNCTION("GOOGLEFINANCE(B273,""Volume"")"),2277603.0)</f>
        <v>2277603</v>
      </c>
      <c r="F273" s="14">
        <f t="array" ref="F273">F272</f>
        <v>14</v>
      </c>
      <c r="G273" s="15" t="str">
        <f>IFERROR(__xludf.DUMMYFUNCTION("IF(E273&gt;AVERAGE(INDEX(GOOGLEFINANCE(B273,""volume"",WORKDAY(TODAY(),-$F$1),TODAY()),,2)),""Breakout"","""")"),"")</f>
        <v/>
      </c>
      <c r="H273" s="16">
        <f>IFERROR(__xludf.DUMMYFUNCTION("GOOGLEFINANCE(B273,""price"")"),95.92)</f>
        <v>95.92</v>
      </c>
      <c r="I273" s="17" t="str">
        <f>IFERROR(__xludf.DUMMYFUNCTION("AVERAGE(QUERY(SORT(GOOGLEFINANCE(B273,""price"",TODAY()-365,TODAY()),1,0),""select Col2 limit 10""))"),"#N/A")</f>
        <v>#N/A</v>
      </c>
      <c r="J273" s="17" t="str">
        <f>IFERROR(__xludf.DUMMYFUNCTION("AVERAGE(QUERY(SORT(GOOGLEFINANCE(B273,""price"",TODAY()-365,TODAY()),1,0),""select Col2 limit 30""))"),"#N/A")</f>
        <v>#N/A</v>
      </c>
      <c r="K273" s="18" t="str">
        <f>IFERROR(__xludf.DUMMYFUNCTION("AVERAGE(QUERY(SORT(GOOGLEFINANCE(B273,""price"",TODAY()-365,TODAY()),1,0),""select Col2 limit 60""))"),"#N/A")</f>
        <v>#N/A</v>
      </c>
      <c r="L273" s="17" t="str">
        <f>IFERROR(__xludf.DUMMYFUNCTION("AVERAGE(QUERY(SORT(GOOGLEFINANCE(B273,""price"",TODAY()-365,TODAY()),1,0),""select Col2 limit 90""))"),"#N/A")</f>
        <v>#N/A</v>
      </c>
      <c r="M273" s="17" t="str">
        <f>IFERROR(__xludf.DUMMYFUNCTION("AVERAGE(QUERY(SORT(GOOGLEFINANCE(B273,""price"",TODAY()-365,TODAY()),1,0),""select Col2 limit 120""))"),"#N/A")</f>
        <v>#N/A</v>
      </c>
      <c r="N273" s="19" t="str">
        <f>IFERROR(__xludf.DUMMYFUNCTION("AVERAGE(QUERY(SORT(GOOGLEFINANCE(B273,""price"",TODAY()-365,TODAY()),1,0),""select Col2 limit 200""))"),"#N/A")</f>
        <v>#N/A</v>
      </c>
      <c r="O273" s="20" t="str">
        <f t="shared" si="2"/>
        <v>#N/A</v>
      </c>
      <c r="P273" s="21" t="str">
        <f t="shared" si="3"/>
        <v>#N/A</v>
      </c>
      <c r="Q273" s="21" t="str">
        <f t="shared" si="4"/>
        <v>#N/A</v>
      </c>
      <c r="R273" s="22">
        <f>IFERROR(__xludf.DUMMYFUNCTION("GOOGLEFINANCE(B273, ""pe"")
"),46.25)</f>
        <v>46.25</v>
      </c>
    </row>
    <row r="274">
      <c r="A274" s="9" t="s">
        <v>286</v>
      </c>
      <c r="B274" s="11" t="str">
        <f t="shared" si="1"/>
        <v>NSE:UBL</v>
      </c>
      <c r="C274" s="12">
        <f>IFERROR(__xludf.DUMMYFUNCTION("GOOGLEFINANCE(B274,""marketcap"")/10000000"),52748.81745)</f>
        <v>52748.81745</v>
      </c>
      <c r="D274" s="13">
        <f>IFERROR(__xludf.DUMMYFUNCTION("GOOGLEFINANCE(B274,""price"")"),2000.3)</f>
        <v>2000.3</v>
      </c>
      <c r="E274" s="14">
        <f>IFERROR(__xludf.DUMMYFUNCTION("GOOGLEFINANCE(B274,""Volume"")"),44338.0)</f>
        <v>44338</v>
      </c>
      <c r="F274" s="14">
        <f t="array" ref="F274">F273</f>
        <v>14</v>
      </c>
      <c r="G274" s="15" t="str">
        <f>IFERROR(__xludf.DUMMYFUNCTION("IF(E274&gt;AVERAGE(INDEX(GOOGLEFINANCE(B274,""volume"",WORKDAY(TODAY(),-$F$1),TODAY()),,2)),""Breakout"","""")"),"")</f>
        <v/>
      </c>
      <c r="H274" s="16">
        <f>IFERROR(__xludf.DUMMYFUNCTION("GOOGLEFINANCE(B274,""price"")"),2000.3)</f>
        <v>2000.3</v>
      </c>
      <c r="I274" s="17">
        <f>IFERROR(__xludf.DUMMYFUNCTION("AVERAGE(QUERY(SORT(GOOGLEFINANCE(B274,""price"",TODAY()-365,TODAY()),1,0),""select Col2 limit 10""))"),2009.0500000000004)</f>
        <v>2009.05</v>
      </c>
      <c r="J274" s="17">
        <f>IFERROR(__xludf.DUMMYFUNCTION("AVERAGE(QUERY(SORT(GOOGLEFINANCE(B274,""price"",TODAY()-365,TODAY()),1,0),""select Col2 limit 30""))"),1980.5166666666664)</f>
        <v>1980.516667</v>
      </c>
      <c r="K274" s="18">
        <f>IFERROR(__xludf.DUMMYFUNCTION("AVERAGE(QUERY(SORT(GOOGLEFINANCE(B274,""price"",TODAY()-365,TODAY()),1,0),""select Col2 limit 60""))"),2021.4866666666671)</f>
        <v>2021.486667</v>
      </c>
      <c r="L274" s="17">
        <f>IFERROR(__xludf.DUMMYFUNCTION("AVERAGE(QUERY(SORT(GOOGLEFINANCE(B274,""price"",TODAY()-365,TODAY()),1,0),""select Col2 limit 90""))"),2028.2494444444446)</f>
        <v>2028.249444</v>
      </c>
      <c r="M274" s="17">
        <f>IFERROR(__xludf.DUMMYFUNCTION("AVERAGE(QUERY(SORT(GOOGLEFINANCE(B274,""price"",TODAY()-365,TODAY()),1,0),""select Col2 limit 120""))"),2024.7541666666666)</f>
        <v>2024.754167</v>
      </c>
      <c r="N274" s="19">
        <f>IFERROR(__xludf.DUMMYFUNCTION("AVERAGE(QUERY(SORT(GOOGLEFINANCE(B274,""price"",TODAY()-365,TODAY()),1,0),""select Col2 limit 200""))"),2011.4927499999988)</f>
        <v>2011.49275</v>
      </c>
      <c r="O274" s="20" t="str">
        <f t="shared" si="2"/>
        <v>Avoid</v>
      </c>
      <c r="P274" s="21" t="str">
        <f t="shared" si="3"/>
        <v>10 DMA</v>
      </c>
      <c r="Q274" s="21" t="str">
        <f t="shared" si="4"/>
        <v/>
      </c>
      <c r="R274" s="22">
        <f>IFERROR(__xludf.DUMMYFUNCTION("GOOGLEFINANCE(B274, ""pe"")
"),117.17)</f>
        <v>117.17</v>
      </c>
    </row>
    <row r="275">
      <c r="A275" s="9" t="s">
        <v>287</v>
      </c>
      <c r="B275" s="11" t="str">
        <f t="shared" si="1"/>
        <v>NSE:BANKINDIA</v>
      </c>
      <c r="C275" s="12">
        <f>IFERROR(__xludf.DUMMYFUNCTION("GOOGLEFINANCE(B275,""marketcap"")/10000000"),51613.5870294)</f>
        <v>51613.58703</v>
      </c>
      <c r="D275" s="13">
        <f>IFERROR(__xludf.DUMMYFUNCTION("GOOGLEFINANCE(B275,""price"")"),113.05)</f>
        <v>113.05</v>
      </c>
      <c r="E275" s="14">
        <f>IFERROR(__xludf.DUMMYFUNCTION("GOOGLEFINANCE(B275,""Volume"")"),4505428.0)</f>
        <v>4505428</v>
      </c>
      <c r="F275" s="14">
        <f t="array" ref="F275">F274</f>
        <v>14</v>
      </c>
      <c r="G275" s="15" t="str">
        <f>IFERROR(__xludf.DUMMYFUNCTION("IF(E275&gt;AVERAGE(INDEX(GOOGLEFINANCE(B275,""volume"",WORKDAY(TODAY(),-$F$1),TODAY()),,2)),""Breakout"","""")"),"")</f>
        <v/>
      </c>
      <c r="H275" s="16">
        <f>IFERROR(__xludf.DUMMYFUNCTION("GOOGLEFINANCE(B275,""price"")"),113.05)</f>
        <v>113.05</v>
      </c>
      <c r="I275" s="17">
        <f>IFERROR(__xludf.DUMMYFUNCTION("AVERAGE(QUERY(SORT(GOOGLEFINANCE(B275,""price"",TODAY()-365,TODAY()),1,0),""select Col2 limit 10""))"),114.877)</f>
        <v>114.877</v>
      </c>
      <c r="J275" s="17">
        <f>IFERROR(__xludf.DUMMYFUNCTION("AVERAGE(QUERY(SORT(GOOGLEFINANCE(B275,""price"",TODAY()-365,TODAY()),1,0),""select Col2 limit 30""))"),116.42799999999998)</f>
        <v>116.428</v>
      </c>
      <c r="K275" s="18">
        <f>IFERROR(__xludf.DUMMYFUNCTION("AVERAGE(QUERY(SORT(GOOGLEFINANCE(B275,""price"",TODAY()-365,TODAY()),1,0),""select Col2 limit 60""))"),117.29983333333332)</f>
        <v>117.2998333</v>
      </c>
      <c r="L275" s="17">
        <f>IFERROR(__xludf.DUMMYFUNCTION("AVERAGE(QUERY(SORT(GOOGLEFINANCE(B275,""price"",TODAY()-365,TODAY()),1,0),""select Col2 limit 90""))"),115.05855555555551)</f>
        <v>115.0585556</v>
      </c>
      <c r="M275" s="17">
        <f>IFERROR(__xludf.DUMMYFUNCTION("AVERAGE(QUERY(SORT(GOOGLEFINANCE(B275,""price"",TODAY()-365,TODAY()),1,0),""select Col2 limit 120""))"),111.5806666666666)</f>
        <v>111.5806667</v>
      </c>
      <c r="N275" s="19">
        <f>IFERROR(__xludf.DUMMYFUNCTION("AVERAGE(QUERY(SORT(GOOGLEFINANCE(B275,""price"",TODAY()-365,TODAY()),1,0),""select Col2 limit 200""))"),109.14089999999999)</f>
        <v>109.1409</v>
      </c>
      <c r="O275" s="20" t="str">
        <f t="shared" si="2"/>
        <v>Avoid</v>
      </c>
      <c r="P275" s="21" t="str">
        <f t="shared" si="3"/>
        <v/>
      </c>
      <c r="Q275" s="21" t="str">
        <f t="shared" si="4"/>
        <v/>
      </c>
      <c r="R275" s="22">
        <f>IFERROR(__xludf.DUMMYFUNCTION("GOOGLEFINANCE(B275, ""pe"")
"),5.41)</f>
        <v>5.41</v>
      </c>
    </row>
    <row r="276">
      <c r="A276" s="9" t="s">
        <v>288</v>
      </c>
      <c r="B276" s="11" t="str">
        <f t="shared" si="1"/>
        <v>NSE:KALYANKJIL</v>
      </c>
      <c r="C276" s="12">
        <f>IFERROR(__xludf.DUMMYFUNCTION("GOOGLEFINANCE(B276,""marketcap"")/10000000"),61315.2021596)</f>
        <v>61315.20216</v>
      </c>
      <c r="D276" s="13">
        <f>IFERROR(__xludf.DUMMYFUNCTION("GOOGLEFINANCE(B276,""price"")"),596.0)</f>
        <v>596</v>
      </c>
      <c r="E276" s="14">
        <f>IFERROR(__xludf.DUMMYFUNCTION("GOOGLEFINANCE(B276,""Volume"")"),1466746.0)</f>
        <v>1466746</v>
      </c>
      <c r="F276" s="14">
        <f t="array" ref="F276">F275</f>
        <v>14</v>
      </c>
      <c r="G276" s="15" t="str">
        <f>IFERROR(__xludf.DUMMYFUNCTION("IF(E276&gt;AVERAGE(INDEX(GOOGLEFINANCE(B276,""volume"",WORKDAY(TODAY(),-$F$1),TODAY()),,2)),""Breakout"","""")"),"")</f>
        <v/>
      </c>
      <c r="H276" s="16">
        <f>IFERROR(__xludf.DUMMYFUNCTION("GOOGLEFINANCE(B276,""price"")"),596.0)</f>
        <v>596</v>
      </c>
      <c r="I276" s="17">
        <f>IFERROR(__xludf.DUMMYFUNCTION("AVERAGE(QUERY(SORT(GOOGLEFINANCE(B276,""price"",TODAY()-365,TODAY()),1,0),""select Col2 limit 10""))"),595.7900000000001)</f>
        <v>595.79</v>
      </c>
      <c r="J276" s="17">
        <f>IFERROR(__xludf.DUMMYFUNCTION("AVERAGE(QUERY(SORT(GOOGLEFINANCE(B276,""price"",TODAY()-365,TODAY()),1,0),""select Col2 limit 30""))"),566.8283333333333)</f>
        <v>566.8283333</v>
      </c>
      <c r="K276" s="18">
        <f>IFERROR(__xludf.DUMMYFUNCTION("AVERAGE(QUERY(SORT(GOOGLEFINANCE(B276,""price"",TODAY()-365,TODAY()),1,0),""select Col2 limit 60""))"),556.6725000000001)</f>
        <v>556.6725</v>
      </c>
      <c r="L276" s="17">
        <f>IFERROR(__xludf.DUMMYFUNCTION("AVERAGE(QUERY(SORT(GOOGLEFINANCE(B276,""price"",TODAY()-365,TODAY()),1,0),""select Col2 limit 90""))"),535.7211111111113)</f>
        <v>535.7211111</v>
      </c>
      <c r="M276" s="17">
        <f>IFERROR(__xludf.DUMMYFUNCTION("AVERAGE(QUERY(SORT(GOOGLEFINANCE(B276,""price"",TODAY()-365,TODAY()),1,0),""select Col2 limit 120""))"),522.8458333333334)</f>
        <v>522.8458333</v>
      </c>
      <c r="N276" s="19">
        <f>IFERROR(__xludf.DUMMYFUNCTION("AVERAGE(QUERY(SORT(GOOGLEFINANCE(B276,""price"",TODAY()-365,TODAY()),1,0),""select Col2 limit 200""))"),587.3884999999999)</f>
        <v>587.3885</v>
      </c>
      <c r="O276" s="20" t="str">
        <f t="shared" si="2"/>
        <v>Avoid</v>
      </c>
      <c r="P276" s="21" t="str">
        <f t="shared" si="3"/>
        <v/>
      </c>
      <c r="Q276" s="21" t="str">
        <f t="shared" si="4"/>
        <v/>
      </c>
      <c r="R276" s="22">
        <f>IFERROR(__xludf.DUMMYFUNCTION("GOOGLEFINANCE(B276, ""pe"")
"),86.03)</f>
        <v>86.03</v>
      </c>
    </row>
    <row r="277">
      <c r="A277" s="9" t="s">
        <v>289</v>
      </c>
      <c r="B277" s="11" t="str">
        <f t="shared" si="1"/>
        <v>NSE:PGHH</v>
      </c>
      <c r="C277" s="12">
        <f>IFERROR(__xludf.DUMMYFUNCTION("GOOGLEFINANCE(B277,""marketcap"")/10000000"),42166.48827)</f>
        <v>42166.48827</v>
      </c>
      <c r="D277" s="13">
        <f>IFERROR(__xludf.DUMMYFUNCTION("GOOGLEFINANCE(B277,""price"")"),12990.0)</f>
        <v>12990</v>
      </c>
      <c r="E277" s="14">
        <f>IFERROR(__xludf.DUMMYFUNCTION("GOOGLEFINANCE(B277,""Volume"")"),1350.0)</f>
        <v>1350</v>
      </c>
      <c r="F277" s="14">
        <f t="array" ref="F277">F276</f>
        <v>14</v>
      </c>
      <c r="G277" s="15" t="str">
        <f>IFERROR(__xludf.DUMMYFUNCTION("IF(E277&gt;AVERAGE(INDEX(GOOGLEFINANCE(B277,""volume"",WORKDAY(TODAY(),-$F$1),TODAY()),,2)),""Breakout"","""")"),"#N/A")</f>
        <v>#N/A</v>
      </c>
      <c r="H277" s="16">
        <f>IFERROR(__xludf.DUMMYFUNCTION("GOOGLEFINANCE(B277,""price"")"),12990.0)</f>
        <v>12990</v>
      </c>
      <c r="I277" s="17">
        <f>IFERROR(__xludf.DUMMYFUNCTION("AVERAGE(QUERY(SORT(GOOGLEFINANCE(B277,""price"",TODAY()-365,TODAY()),1,0),""select Col2 limit 10""))"),13165.7)</f>
        <v>13165.7</v>
      </c>
      <c r="J277" s="17">
        <f>IFERROR(__xludf.DUMMYFUNCTION("AVERAGE(QUERY(SORT(GOOGLEFINANCE(B277,""price"",TODAY()-365,TODAY()),1,0),""select Col2 limit 30""))"),13297.0)</f>
        <v>13297</v>
      </c>
      <c r="K277" s="18">
        <f>IFERROR(__xludf.DUMMYFUNCTION("AVERAGE(QUERY(SORT(GOOGLEFINANCE(B277,""price"",TODAY()-365,TODAY()),1,0),""select Col2 limit 60""))"),13592.2)</f>
        <v>13592.2</v>
      </c>
      <c r="L277" s="17">
        <f>IFERROR(__xludf.DUMMYFUNCTION("AVERAGE(QUERY(SORT(GOOGLEFINANCE(B277,""price"",TODAY()-365,TODAY()),1,0),""select Col2 limit 90""))"),13687.32444444444)</f>
        <v>13687.32444</v>
      </c>
      <c r="M277" s="17">
        <f>IFERROR(__xludf.DUMMYFUNCTION("AVERAGE(QUERY(SORT(GOOGLEFINANCE(B277,""price"",TODAY()-365,TODAY()),1,0),""select Col2 limit 120""))"),13732.009999999998)</f>
        <v>13732.01</v>
      </c>
      <c r="N277" s="19">
        <f>IFERROR(__xludf.DUMMYFUNCTION("AVERAGE(QUERY(SORT(GOOGLEFINANCE(B277,""price"",TODAY()-365,TODAY()),1,0),""select Col2 limit 200""))"),14456.211999999994)</f>
        <v>14456.212</v>
      </c>
      <c r="O277" s="20" t="str">
        <f t="shared" si="2"/>
        <v>Avoid</v>
      </c>
      <c r="P277" s="21" t="str">
        <f t="shared" si="3"/>
        <v/>
      </c>
      <c r="Q277" s="21" t="str">
        <f t="shared" si="4"/>
        <v/>
      </c>
      <c r="R277" s="22">
        <f>IFERROR(__xludf.DUMMYFUNCTION("GOOGLEFINANCE(B277, ""pe"")
"),58.76)</f>
        <v>58.76</v>
      </c>
    </row>
    <row r="278">
      <c r="A278" s="9" t="s">
        <v>290</v>
      </c>
      <c r="B278" s="11" t="str">
        <f t="shared" si="1"/>
        <v>NSE:MPHASIS</v>
      </c>
      <c r="C278" s="12">
        <f>IFERROR(__xludf.DUMMYFUNCTION("GOOGLEFINANCE(B278,""marketcap"")/10000000"),52163.9875861)</f>
        <v>52163.98759</v>
      </c>
      <c r="D278" s="13">
        <f>IFERROR(__xludf.DUMMYFUNCTION("GOOGLEFINANCE(B278,""price"")"),2741.9)</f>
        <v>2741.9</v>
      </c>
      <c r="E278" s="14">
        <f>IFERROR(__xludf.DUMMYFUNCTION("GOOGLEFINANCE(B278,""Volume"")"),1049005.0)</f>
        <v>1049005</v>
      </c>
      <c r="F278" s="14">
        <f t="array" ref="F278">F277</f>
        <v>14</v>
      </c>
      <c r="G278" s="15" t="str">
        <f>IFERROR(__xludf.DUMMYFUNCTION("IF(E278&gt;AVERAGE(INDEX(GOOGLEFINANCE(B278,""volume"",WORKDAY(TODAY(),-$F$1),TODAY()),,2)),""Breakout"","""")"),"Breakout")</f>
        <v>Breakout</v>
      </c>
      <c r="H278" s="16">
        <f>IFERROR(__xludf.DUMMYFUNCTION("GOOGLEFINANCE(B278,""price"")"),2741.9)</f>
        <v>2741.9</v>
      </c>
      <c r="I278" s="17">
        <f>IFERROR(__xludf.DUMMYFUNCTION("AVERAGE(QUERY(SORT(GOOGLEFINANCE(B278,""price"",TODAY()-365,TODAY()),1,0),""select Col2 limit 10""))"),2786.2799999999997)</f>
        <v>2786.28</v>
      </c>
      <c r="J278" s="17">
        <f>IFERROR(__xludf.DUMMYFUNCTION("AVERAGE(QUERY(SORT(GOOGLEFINANCE(B278,""price"",TODAY()-365,TODAY()),1,0),""select Col2 limit 30""))"),2792.5633333333326)</f>
        <v>2792.563333</v>
      </c>
      <c r="K278" s="18">
        <f>IFERROR(__xludf.DUMMYFUNCTION("AVERAGE(QUERY(SORT(GOOGLEFINANCE(B278,""price"",TODAY()-365,TODAY()),1,0),""select Col2 limit 60""))"),2664.3016666666663)</f>
        <v>2664.301667</v>
      </c>
      <c r="L278" s="17">
        <f>IFERROR(__xludf.DUMMYFUNCTION("AVERAGE(QUERY(SORT(GOOGLEFINANCE(B278,""price"",TODAY()-365,TODAY()),1,0),""select Col2 limit 90""))"),2567.350555555556)</f>
        <v>2567.350556</v>
      </c>
      <c r="M278" s="17">
        <f>IFERROR(__xludf.DUMMYFUNCTION("AVERAGE(QUERY(SORT(GOOGLEFINANCE(B278,""price"",TODAY()-365,TODAY()),1,0),""select Col2 limit 120""))"),2560.5720833333335)</f>
        <v>2560.572083</v>
      </c>
      <c r="N278" s="19">
        <f>IFERROR(__xludf.DUMMYFUNCTION("AVERAGE(QUERY(SORT(GOOGLEFINANCE(B278,""price"",TODAY()-365,TODAY()),1,0),""select Col2 limit 200""))"),2714.7455)</f>
        <v>2714.7455</v>
      </c>
      <c r="O278" s="20" t="str">
        <f t="shared" si="2"/>
        <v>Avoid</v>
      </c>
      <c r="P278" s="21" t="str">
        <f t="shared" si="3"/>
        <v/>
      </c>
      <c r="Q278" s="21" t="str">
        <f t="shared" si="4"/>
        <v/>
      </c>
      <c r="R278" s="22">
        <f>IFERROR(__xludf.DUMMYFUNCTION("GOOGLEFINANCE(B278, ""pe"")
"),30.06)</f>
        <v>30.06</v>
      </c>
    </row>
    <row r="279">
      <c r="A279" s="9" t="s">
        <v>291</v>
      </c>
      <c r="B279" s="11" t="str">
        <f t="shared" si="1"/>
        <v>NSE:BDL</v>
      </c>
      <c r="C279" s="12">
        <f>IFERROR(__xludf.DUMMYFUNCTION("GOOGLEFINANCE(B279,""marketcap"")/10000000"),59621.37436)</f>
        <v>59621.37436</v>
      </c>
      <c r="D279" s="13">
        <f>IFERROR(__xludf.DUMMYFUNCTION("GOOGLEFINANCE(B279,""price"")"),1627.0)</f>
        <v>1627</v>
      </c>
      <c r="E279" s="14">
        <f>IFERROR(__xludf.DUMMYFUNCTION("GOOGLEFINANCE(B279,""Volume"")"),633924.0)</f>
        <v>633924</v>
      </c>
      <c r="F279" s="14">
        <f t="array" ref="F279">F278</f>
        <v>14</v>
      </c>
      <c r="G279" s="15" t="str">
        <f>IFERROR(__xludf.DUMMYFUNCTION("IF(E279&gt;AVERAGE(INDEX(GOOGLEFINANCE(B279,""volume"",WORKDAY(TODAY(),-$F$1),TODAY()),,2)),""Breakout"","""")"),"")</f>
        <v/>
      </c>
      <c r="H279" s="16">
        <f>IFERROR(__xludf.DUMMYFUNCTION("GOOGLEFINANCE(B279,""price"")"),1627.0)</f>
        <v>1627</v>
      </c>
      <c r="I279" s="17">
        <f>IFERROR(__xludf.DUMMYFUNCTION("AVERAGE(QUERY(SORT(GOOGLEFINANCE(B279,""price"",TODAY()-365,TODAY()),1,0),""select Col2 limit 10""))"),1735.4599999999998)</f>
        <v>1735.46</v>
      </c>
      <c r="J279" s="17">
        <f>IFERROR(__xludf.DUMMYFUNCTION("AVERAGE(QUERY(SORT(GOOGLEFINANCE(B279,""price"",TODAY()-365,TODAY()),1,0),""select Col2 limit 30""))"),1854.7566666666664)</f>
        <v>1854.756667</v>
      </c>
      <c r="K279" s="18">
        <f>IFERROR(__xludf.DUMMYFUNCTION("AVERAGE(QUERY(SORT(GOOGLEFINANCE(B279,""price"",TODAY()-365,TODAY()),1,0),""select Col2 limit 60""))"),1839.8633333333332)</f>
        <v>1839.863333</v>
      </c>
      <c r="L279" s="17">
        <f>IFERROR(__xludf.DUMMYFUNCTION("AVERAGE(QUERY(SORT(GOOGLEFINANCE(B279,""price"",TODAY()-365,TODAY()),1,0),""select Col2 limit 90""))"),1673.8438888888886)</f>
        <v>1673.843889</v>
      </c>
      <c r="M279" s="17">
        <f>IFERROR(__xludf.DUMMYFUNCTION("AVERAGE(QUERY(SORT(GOOGLEFINANCE(B279,""price"",TODAY()-365,TODAY()),1,0),""select Col2 limit 120""))"),1532.6216666666664)</f>
        <v>1532.621667</v>
      </c>
      <c r="N279" s="19">
        <f>IFERROR(__xludf.DUMMYFUNCTION("AVERAGE(QUERY(SORT(GOOGLEFINANCE(B279,""price"",TODAY()-365,TODAY()),1,0),""select Col2 limit 200""))"),1377.6275)</f>
        <v>1377.6275</v>
      </c>
      <c r="O279" s="20" t="str">
        <f t="shared" si="2"/>
        <v>Avoid</v>
      </c>
      <c r="P279" s="21" t="str">
        <f t="shared" si="3"/>
        <v/>
      </c>
      <c r="Q279" s="21" t="str">
        <f t="shared" si="4"/>
        <v/>
      </c>
      <c r="R279" s="22">
        <f>IFERROR(__xludf.DUMMYFUNCTION("GOOGLEFINANCE(B279, ""pe"")
"),108.5)</f>
        <v>108.5</v>
      </c>
    </row>
    <row r="280">
      <c r="A280" s="9" t="s">
        <v>292</v>
      </c>
      <c r="B280" s="11" t="str">
        <f t="shared" si="1"/>
        <v>NSE:PETRONET</v>
      </c>
      <c r="C280" s="12">
        <f>IFERROR(__xludf.DUMMYFUNCTION("GOOGLEFINANCE(B280,""marketcap"")/10000000"),45630.001831)</f>
        <v>45630.00183</v>
      </c>
      <c r="D280" s="13">
        <f>IFERROR(__xludf.DUMMYFUNCTION("GOOGLEFINANCE(B280,""price"")"),304.1)</f>
        <v>304.1</v>
      </c>
      <c r="E280" s="14">
        <f>IFERROR(__xludf.DUMMYFUNCTION("GOOGLEFINANCE(B280,""Volume"")"),1510458.0)</f>
        <v>1510458</v>
      </c>
      <c r="F280" s="14">
        <f t="array" ref="F280">F279</f>
        <v>14</v>
      </c>
      <c r="G280" s="15" t="str">
        <f>IFERROR(__xludf.DUMMYFUNCTION("IF(E280&gt;AVERAGE(INDEX(GOOGLEFINANCE(B280,""volume"",WORKDAY(TODAY(),-$F$1),TODAY()),,2)),""Breakout"","""")"),"")</f>
        <v/>
      </c>
      <c r="H280" s="16">
        <f>IFERROR(__xludf.DUMMYFUNCTION("GOOGLEFINANCE(B280,""price"")"),304.1)</f>
        <v>304.1</v>
      </c>
      <c r="I280" s="17">
        <f>IFERROR(__xludf.DUMMYFUNCTION("AVERAGE(QUERY(SORT(GOOGLEFINANCE(B280,""price"",TODAY()-365,TODAY()),1,0),""select Col2 limit 10""))"),306.49)</f>
        <v>306.49</v>
      </c>
      <c r="J280" s="17">
        <f>IFERROR(__xludf.DUMMYFUNCTION("AVERAGE(QUERY(SORT(GOOGLEFINANCE(B280,""price"",TODAY()-365,TODAY()),1,0),""select Col2 limit 30""))"),302.2683333333333)</f>
        <v>302.2683333</v>
      </c>
      <c r="K280" s="18">
        <f>IFERROR(__xludf.DUMMYFUNCTION("AVERAGE(QUERY(SORT(GOOGLEFINANCE(B280,""price"",TODAY()-365,TODAY()),1,0),""select Col2 limit 60""))"),307.1066666666666)</f>
        <v>307.1066667</v>
      </c>
      <c r="L280" s="17">
        <f>IFERROR(__xludf.DUMMYFUNCTION("AVERAGE(QUERY(SORT(GOOGLEFINANCE(B280,""price"",TODAY()-365,TODAY()),1,0),""select Col2 limit 90""))"),304.4527777777777)</f>
        <v>304.4527778</v>
      </c>
      <c r="M280" s="17">
        <f>IFERROR(__xludf.DUMMYFUNCTION("AVERAGE(QUERY(SORT(GOOGLEFINANCE(B280,""price"",TODAY()-365,TODAY()),1,0),""select Col2 limit 120""))"),302.3654166666666)</f>
        <v>302.3654167</v>
      </c>
      <c r="N280" s="19">
        <f>IFERROR(__xludf.DUMMYFUNCTION("AVERAGE(QUERY(SORT(GOOGLEFINANCE(B280,""price"",TODAY()-365,TODAY()),1,0),""select Col2 limit 200""))"),315.05024999999983)</f>
        <v>315.05025</v>
      </c>
      <c r="O280" s="20" t="str">
        <f t="shared" si="2"/>
        <v>Avoid</v>
      </c>
      <c r="P280" s="21" t="str">
        <f t="shared" si="3"/>
        <v>10 DMA</v>
      </c>
      <c r="Q280" s="21" t="str">
        <f t="shared" si="4"/>
        <v/>
      </c>
      <c r="R280" s="22">
        <f>IFERROR(__xludf.DUMMYFUNCTION("GOOGLEFINANCE(B280, ""pe"")
"),11.48)</f>
        <v>11.48</v>
      </c>
    </row>
    <row r="281">
      <c r="A281" s="9" t="s">
        <v>293</v>
      </c>
      <c r="B281" s="11" t="str">
        <f t="shared" si="1"/>
        <v>NSE:LTTS</v>
      </c>
      <c r="C281" s="12">
        <f>IFERROR(__xludf.DUMMYFUNCTION("GOOGLEFINANCE(B281,""marketcap"")/10000000"),44964.725622)</f>
        <v>44964.72562</v>
      </c>
      <c r="D281" s="13">
        <f>IFERROR(__xludf.DUMMYFUNCTION("GOOGLEFINANCE(B281,""price"")"),4243.0)</f>
        <v>4243</v>
      </c>
      <c r="E281" s="14">
        <f>IFERROR(__xludf.DUMMYFUNCTION("GOOGLEFINANCE(B281,""Volume"")"),29741.0)</f>
        <v>29741</v>
      </c>
      <c r="F281" s="14">
        <f t="array" ref="F281">F280</f>
        <v>14</v>
      </c>
      <c r="G281" s="15" t="str">
        <f>IFERROR(__xludf.DUMMYFUNCTION("IF(E281&gt;AVERAGE(INDEX(GOOGLEFINANCE(B281,""volume"",WORKDAY(TODAY(),-$F$1),TODAY()),,2)),""Breakout"","""")"),"")</f>
        <v/>
      </c>
      <c r="H281" s="16">
        <f>IFERROR(__xludf.DUMMYFUNCTION("GOOGLEFINANCE(B281,""price"")"),4243.0)</f>
        <v>4243</v>
      </c>
      <c r="I281" s="17">
        <f>IFERROR(__xludf.DUMMYFUNCTION("AVERAGE(QUERY(SORT(GOOGLEFINANCE(B281,""price"",TODAY()-365,TODAY()),1,0),""select Col2 limit 10""))"),4337.78)</f>
        <v>4337.78</v>
      </c>
      <c r="J281" s="17">
        <f>IFERROR(__xludf.DUMMYFUNCTION("AVERAGE(QUERY(SORT(GOOGLEFINANCE(B281,""price"",TODAY()-365,TODAY()),1,0),""select Col2 limit 30""))"),4358.376666666667)</f>
        <v>4358.376667</v>
      </c>
      <c r="K281" s="18">
        <f>IFERROR(__xludf.DUMMYFUNCTION("AVERAGE(QUERY(SORT(GOOGLEFINANCE(B281,""price"",TODAY()-365,TODAY()),1,0),""select Col2 limit 60""))"),4368.37)</f>
        <v>4368.37</v>
      </c>
      <c r="L281" s="17">
        <f>IFERROR(__xludf.DUMMYFUNCTION("AVERAGE(QUERY(SORT(GOOGLEFINANCE(B281,""price"",TODAY()-365,TODAY()),1,0),""select Col2 limit 90""))"),4374.959444444445)</f>
        <v>4374.959444</v>
      </c>
      <c r="M281" s="17">
        <f>IFERROR(__xludf.DUMMYFUNCTION("AVERAGE(QUERY(SORT(GOOGLEFINANCE(B281,""price"",TODAY()-365,TODAY()),1,0),""select Col2 limit 120""))"),4527.782916666667)</f>
        <v>4527.782917</v>
      </c>
      <c r="N281" s="19">
        <f>IFERROR(__xludf.DUMMYFUNCTION("AVERAGE(QUERY(SORT(GOOGLEFINANCE(B281,""price"",TODAY()-365,TODAY()),1,0),""select Col2 limit 200""))"),4774.711750000001)</f>
        <v>4774.71175</v>
      </c>
      <c r="O281" s="20" t="str">
        <f t="shared" si="2"/>
        <v>Avoid</v>
      </c>
      <c r="P281" s="21" t="str">
        <f t="shared" si="3"/>
        <v/>
      </c>
      <c r="Q281" s="21" t="str">
        <f t="shared" si="4"/>
        <v/>
      </c>
      <c r="R281" s="22">
        <f>IFERROR(__xludf.DUMMYFUNCTION("GOOGLEFINANCE(B281, ""pe"")
"),35.48)</f>
        <v>35.48</v>
      </c>
    </row>
    <row r="282">
      <c r="A282" s="9" t="s">
        <v>294</v>
      </c>
      <c r="B282" s="11" t="str">
        <f t="shared" si="1"/>
        <v>NSE:TATACOMM</v>
      </c>
      <c r="C282" s="12">
        <f>IFERROR(__xludf.DUMMYFUNCTION("GOOGLEFINANCE(B282,""marketcap"")/10000000"),48940.1986083)</f>
        <v>48940.19861</v>
      </c>
      <c r="D282" s="13">
        <f>IFERROR(__xludf.DUMMYFUNCTION("GOOGLEFINANCE(B282,""price"")"),1719.0)</f>
        <v>1719</v>
      </c>
      <c r="E282" s="14">
        <f>IFERROR(__xludf.DUMMYFUNCTION("GOOGLEFINANCE(B282,""Volume"")"),218923.0)</f>
        <v>218923</v>
      </c>
      <c r="F282" s="14">
        <f t="array" ref="F282">F281</f>
        <v>14</v>
      </c>
      <c r="G282" s="15" t="str">
        <f>IFERROR(__xludf.DUMMYFUNCTION("IF(E282&gt;AVERAGE(INDEX(GOOGLEFINANCE(B282,""volume"",WORKDAY(TODAY(),-$F$1),TODAY()),,2)),""Breakout"","""")"),"#N/A")</f>
        <v>#N/A</v>
      </c>
      <c r="H282" s="16">
        <f>IFERROR(__xludf.DUMMYFUNCTION("GOOGLEFINANCE(B282,""price"")"),1719.0)</f>
        <v>1719</v>
      </c>
      <c r="I282" s="17">
        <f>IFERROR(__xludf.DUMMYFUNCTION("AVERAGE(QUERY(SORT(GOOGLEFINANCE(B282,""price"",TODAY()-365,TODAY()),1,0),""select Col2 limit 10""))"),1736.8400000000001)</f>
        <v>1736.84</v>
      </c>
      <c r="J282" s="17">
        <f>IFERROR(__xludf.DUMMYFUNCTION("AVERAGE(QUERY(SORT(GOOGLEFINANCE(B282,""price"",TODAY()-365,TODAY()),1,0),""select Col2 limit 30""))"),1720.9166666666665)</f>
        <v>1720.916667</v>
      </c>
      <c r="K282" s="18">
        <f>IFERROR(__xludf.DUMMYFUNCTION("AVERAGE(QUERY(SORT(GOOGLEFINANCE(B282,""price"",TODAY()-365,TODAY()),1,0),""select Col2 limit 60""))"),1684.6699999999998)</f>
        <v>1684.67</v>
      </c>
      <c r="L282" s="17">
        <f>IFERROR(__xludf.DUMMYFUNCTION("AVERAGE(QUERY(SORT(GOOGLEFINANCE(B282,""price"",TODAY()-365,TODAY()),1,0),""select Col2 limit 90""))"),1649.5466666666675)</f>
        <v>1649.546667</v>
      </c>
      <c r="M282" s="17">
        <f>IFERROR(__xludf.DUMMYFUNCTION("AVERAGE(QUERY(SORT(GOOGLEFINANCE(B282,""price"",TODAY()-365,TODAY()),1,0),""select Col2 limit 120""))"),1608.1416666666676)</f>
        <v>1608.141667</v>
      </c>
      <c r="N282" s="19">
        <f>IFERROR(__xludf.DUMMYFUNCTION("AVERAGE(QUERY(SORT(GOOGLEFINANCE(B282,""price"",TODAY()-365,TODAY()),1,0),""select Col2 limit 200""))"),1673.32825)</f>
        <v>1673.32825</v>
      </c>
      <c r="O282" s="20" t="str">
        <f t="shared" si="2"/>
        <v>Avoid</v>
      </c>
      <c r="P282" s="21" t="str">
        <f t="shared" si="3"/>
        <v>30 DMA</v>
      </c>
      <c r="Q282" s="21" t="str">
        <f t="shared" si="4"/>
        <v/>
      </c>
      <c r="R282" s="22">
        <f>IFERROR(__xludf.DUMMYFUNCTION("GOOGLEFINANCE(B282, ""pe"")
"),28.89)</f>
        <v>28.89</v>
      </c>
    </row>
    <row r="283">
      <c r="A283" s="9" t="s">
        <v>295</v>
      </c>
      <c r="B283" s="11" t="str">
        <f t="shared" si="1"/>
        <v>NSE:NYKAA</v>
      </c>
      <c r="C283" s="12">
        <f>IFERROR(__xludf.DUMMYFUNCTION("GOOGLEFINANCE(B283,""marketcap"")/10000000"),60692.5485996)</f>
        <v>60692.5486</v>
      </c>
      <c r="D283" s="13">
        <f>IFERROR(__xludf.DUMMYFUNCTION("GOOGLEFINANCE(B283,""price"")"),212.19)</f>
        <v>212.19</v>
      </c>
      <c r="E283" s="14">
        <f>IFERROR(__xludf.DUMMYFUNCTION("GOOGLEFINANCE(B283,""Volume"")"),927293.0)</f>
        <v>927293</v>
      </c>
      <c r="F283" s="14">
        <f t="array" ref="F283">F282</f>
        <v>14</v>
      </c>
      <c r="G283" s="15" t="str">
        <f>IFERROR(__xludf.DUMMYFUNCTION("IF(E283&gt;AVERAGE(INDEX(GOOGLEFINANCE(B283,""volume"",WORKDAY(TODAY(),-$F$1),TODAY()),,2)),""Breakout"","""")"),"")</f>
        <v/>
      </c>
      <c r="H283" s="16">
        <f>IFERROR(__xludf.DUMMYFUNCTION("GOOGLEFINANCE(B283,""price"")"),212.19)</f>
        <v>212.19</v>
      </c>
      <c r="I283" s="17">
        <f>IFERROR(__xludf.DUMMYFUNCTION("AVERAGE(QUERY(SORT(GOOGLEFINANCE(B283,""price"",TODAY()-365,TODAY()),1,0),""select Col2 limit 10""))"),216.37400000000002)</f>
        <v>216.374</v>
      </c>
      <c r="J283" s="17">
        <f>IFERROR(__xludf.DUMMYFUNCTION("AVERAGE(QUERY(SORT(GOOGLEFINANCE(B283,""price"",TODAY()-365,TODAY()),1,0),""select Col2 limit 30""))"),208.0776666666667)</f>
        <v>208.0776667</v>
      </c>
      <c r="K283" s="18">
        <f>IFERROR(__xludf.DUMMYFUNCTION("AVERAGE(QUERY(SORT(GOOGLEFINANCE(B283,""price"",TODAY()-365,TODAY()),1,0),""select Col2 limit 60""))"),203.13599999999997)</f>
        <v>203.136</v>
      </c>
      <c r="L283" s="17">
        <f>IFERROR(__xludf.DUMMYFUNCTION("AVERAGE(QUERY(SORT(GOOGLEFINANCE(B283,""price"",TODAY()-365,TODAY()),1,0),""select Col2 limit 90""))"),195.72455555555558)</f>
        <v>195.7245556</v>
      </c>
      <c r="M283" s="17">
        <f>IFERROR(__xludf.DUMMYFUNCTION("AVERAGE(QUERY(SORT(GOOGLEFINANCE(B283,""price"",TODAY()-365,TODAY()),1,0),""select Col2 limit 120""))"),188.73408333333342)</f>
        <v>188.7340833</v>
      </c>
      <c r="N283" s="19">
        <f>IFERROR(__xludf.DUMMYFUNCTION("AVERAGE(QUERY(SORT(GOOGLEFINANCE(B283,""price"",TODAY()-365,TODAY()),1,0),""select Col2 limit 200""))"),182.97525000000005)</f>
        <v>182.97525</v>
      </c>
      <c r="O283" s="20" t="str">
        <f t="shared" si="2"/>
        <v>Avoid</v>
      </c>
      <c r="P283" s="21" t="str">
        <f t="shared" si="3"/>
        <v/>
      </c>
      <c r="Q283" s="21" t="str">
        <f t="shared" si="4"/>
        <v/>
      </c>
      <c r="R283" s="22">
        <f>IFERROR(__xludf.DUMMYFUNCTION("GOOGLEFINANCE(B283, ""pe"")
"),922.0)</f>
        <v>922</v>
      </c>
    </row>
    <row r="284">
      <c r="A284" s="9" t="s">
        <v>296</v>
      </c>
      <c r="B284" s="11" t="str">
        <f t="shared" si="1"/>
        <v>NSE:ACC</v>
      </c>
      <c r="C284" s="12">
        <f>IFERROR(__xludf.DUMMYFUNCTION("GOOGLEFINANCE(B284,""marketcap"")/10000000"),34753.776187)</f>
        <v>34753.77619</v>
      </c>
      <c r="D284" s="13">
        <f>IFERROR(__xludf.DUMMYFUNCTION("GOOGLEFINANCE(B284,""price"")"),1850.0)</f>
        <v>1850</v>
      </c>
      <c r="E284" s="14">
        <f>IFERROR(__xludf.DUMMYFUNCTION("GOOGLEFINANCE(B284,""Volume"")"),398053.0)</f>
        <v>398053</v>
      </c>
      <c r="F284" s="14">
        <f t="array" ref="F284">F283</f>
        <v>14</v>
      </c>
      <c r="G284" s="15" t="str">
        <f>IFERROR(__xludf.DUMMYFUNCTION("IF(E284&gt;AVERAGE(INDEX(GOOGLEFINANCE(B284,""volume"",WORKDAY(TODAY(),-$F$1),TODAY()),,2)),""Breakout"","""")"),"Breakout")</f>
        <v>Breakout</v>
      </c>
      <c r="H284" s="16">
        <f>IFERROR(__xludf.DUMMYFUNCTION("GOOGLEFINANCE(B284,""price"")"),1850.0)</f>
        <v>1850</v>
      </c>
      <c r="I284" s="17">
        <f>IFERROR(__xludf.DUMMYFUNCTION("AVERAGE(QUERY(SORT(GOOGLEFINANCE(B284,""price"",TODAY()-365,TODAY()),1,0),""select Col2 limit 10""))"),1952.3400000000001)</f>
        <v>1952.34</v>
      </c>
      <c r="J284" s="17">
        <f>IFERROR(__xludf.DUMMYFUNCTION("AVERAGE(QUERY(SORT(GOOGLEFINANCE(B284,""price"",TODAY()-365,TODAY()),1,0),""select Col2 limit 30""))"),1922.8566666666661)</f>
        <v>1922.856667</v>
      </c>
      <c r="K284" s="18">
        <f>IFERROR(__xludf.DUMMYFUNCTION("AVERAGE(QUERY(SORT(GOOGLEFINANCE(B284,""price"",TODAY()-365,TODAY()),1,0),""select Col2 limit 60""))"),1907.3999999999994)</f>
        <v>1907.4</v>
      </c>
      <c r="L284" s="17">
        <f>IFERROR(__xludf.DUMMYFUNCTION("AVERAGE(QUERY(SORT(GOOGLEFINANCE(B284,""price"",TODAY()-365,TODAY()),1,0),""select Col2 limit 90""))"),1926.166666666667)</f>
        <v>1926.166667</v>
      </c>
      <c r="M284" s="17">
        <f>IFERROR(__xludf.DUMMYFUNCTION("AVERAGE(QUERY(SORT(GOOGLEFINANCE(B284,""price"",TODAY()-365,TODAY()),1,0),""select Col2 limit 120""))"),1920.9254166666672)</f>
        <v>1920.925417</v>
      </c>
      <c r="N284" s="19">
        <f>IFERROR(__xludf.DUMMYFUNCTION("AVERAGE(QUERY(SORT(GOOGLEFINANCE(B284,""price"",TODAY()-365,TODAY()),1,0),""select Col2 limit 200""))"),2021.5507500000008)</f>
        <v>2021.55075</v>
      </c>
      <c r="O284" s="20" t="str">
        <f t="shared" si="2"/>
        <v>Avoid</v>
      </c>
      <c r="P284" s="21" t="str">
        <f t="shared" si="3"/>
        <v/>
      </c>
      <c r="Q284" s="21" t="str">
        <f t="shared" si="4"/>
        <v/>
      </c>
      <c r="R284" s="22">
        <f>IFERROR(__xludf.DUMMYFUNCTION("GOOGLEFINANCE(B284, ""pe"")
"),14.42)</f>
        <v>14.42</v>
      </c>
    </row>
    <row r="285">
      <c r="A285" s="9" t="s">
        <v>297</v>
      </c>
      <c r="B285" s="11" t="str">
        <f t="shared" si="1"/>
        <v>NSE:VOLTAS</v>
      </c>
      <c r="C285" s="12">
        <f>IFERROR(__xludf.DUMMYFUNCTION("GOOGLEFINANCE(B285,""marketcap"")/10000000"),43385.6002483)</f>
        <v>43385.60025</v>
      </c>
      <c r="D285" s="13">
        <f>IFERROR(__xludf.DUMMYFUNCTION("GOOGLEFINANCE(B285,""price"")"),1307.2)</f>
        <v>1307.2</v>
      </c>
      <c r="E285" s="14">
        <f>IFERROR(__xludf.DUMMYFUNCTION("GOOGLEFINANCE(B285,""Volume"")"),384357.0)</f>
        <v>384357</v>
      </c>
      <c r="F285" s="14">
        <f t="array" ref="F285">F284</f>
        <v>14</v>
      </c>
      <c r="G285" s="15" t="str">
        <f>IFERROR(__xludf.DUMMYFUNCTION("IF(E285&gt;AVERAGE(INDEX(GOOGLEFINANCE(B285,""volume"",WORKDAY(TODAY(),-$F$1),TODAY()),,2)),""Breakout"","""")"),"")</f>
        <v/>
      </c>
      <c r="H285" s="16">
        <f>IFERROR(__xludf.DUMMYFUNCTION("GOOGLEFINANCE(B285,""price"")"),1307.2)</f>
        <v>1307.2</v>
      </c>
      <c r="I285" s="17">
        <f>IFERROR(__xludf.DUMMYFUNCTION("AVERAGE(QUERY(SORT(GOOGLEFINANCE(B285,""price"",TODAY()-365,TODAY()),1,0),""select Col2 limit 10""))"),1370.87)</f>
        <v>1370.87</v>
      </c>
      <c r="J285" s="17">
        <f>IFERROR(__xludf.DUMMYFUNCTION("AVERAGE(QUERY(SORT(GOOGLEFINANCE(B285,""price"",TODAY()-365,TODAY()),1,0),""select Col2 limit 30""))"),1341.4566666666665)</f>
        <v>1341.456667</v>
      </c>
      <c r="K285" s="18">
        <f>IFERROR(__xludf.DUMMYFUNCTION("AVERAGE(QUERY(SORT(GOOGLEFINANCE(B285,""price"",TODAY()-365,TODAY()),1,0),""select Col2 limit 60""))"),1300.4366666666667)</f>
        <v>1300.436667</v>
      </c>
      <c r="L285" s="17">
        <f>IFERROR(__xludf.DUMMYFUNCTION("AVERAGE(QUERY(SORT(GOOGLEFINANCE(B285,""price"",TODAY()-365,TODAY()),1,0),""select Col2 limit 90""))"),1314.7555555555555)</f>
        <v>1314.755556</v>
      </c>
      <c r="M285" s="17">
        <f>IFERROR(__xludf.DUMMYFUNCTION("AVERAGE(QUERY(SORT(GOOGLEFINANCE(B285,""price"",TODAY()-365,TODAY()),1,0),""select Col2 limit 120""))"),1319.3954166666665)</f>
        <v>1319.395417</v>
      </c>
      <c r="N285" s="19">
        <f>IFERROR(__xludf.DUMMYFUNCTION("AVERAGE(QUERY(SORT(GOOGLEFINANCE(B285,""price"",TODAY()-365,TODAY()),1,0),""select Col2 limit 200""))"),1475.5355)</f>
        <v>1475.5355</v>
      </c>
      <c r="O285" s="20" t="str">
        <f t="shared" si="2"/>
        <v>Avoid</v>
      </c>
      <c r="P285" s="21" t="str">
        <f t="shared" si="3"/>
        <v>90 DMA</v>
      </c>
      <c r="Q285" s="21" t="str">
        <f t="shared" si="4"/>
        <v/>
      </c>
      <c r="R285" s="22">
        <f>IFERROR(__xludf.DUMMYFUNCTION("GOOGLEFINANCE(B285, ""pe"")
"),51.79)</f>
        <v>51.79</v>
      </c>
    </row>
    <row r="286">
      <c r="A286" s="9" t="s">
        <v>298</v>
      </c>
      <c r="B286" s="11" t="str">
        <f t="shared" si="1"/>
        <v>NSE:KPITTECH</v>
      </c>
      <c r="C286" s="12">
        <f>IFERROR(__xludf.DUMMYFUNCTION("GOOGLEFINANCE(B286,""marketcap"")/10000000"),32353.6259297)</f>
        <v>32353.62593</v>
      </c>
      <c r="D286" s="13">
        <f>IFERROR(__xludf.DUMMYFUNCTION("GOOGLEFINANCE(B286,""price"")"),1197.5)</f>
        <v>1197.5</v>
      </c>
      <c r="E286" s="14">
        <f>IFERROR(__xludf.DUMMYFUNCTION("GOOGLEFINANCE(B286,""Volume"")"),753639.0)</f>
        <v>753639</v>
      </c>
      <c r="F286" s="14">
        <f t="array" ref="F286">F285</f>
        <v>14</v>
      </c>
      <c r="G286" s="15" t="str">
        <f>IFERROR(__xludf.DUMMYFUNCTION("IF(E286&gt;AVERAGE(INDEX(GOOGLEFINANCE(B286,""volume"",WORKDAY(TODAY(),-$F$1),TODAY()),,2)),""Breakout"","""")"),"#N/A")</f>
        <v>#N/A</v>
      </c>
      <c r="H286" s="16">
        <f>IFERROR(__xludf.DUMMYFUNCTION("GOOGLEFINANCE(B286,""price"")"),1197.5)</f>
        <v>1197.5</v>
      </c>
      <c r="I286" s="17">
        <f>IFERROR(__xludf.DUMMYFUNCTION("AVERAGE(QUERY(SORT(GOOGLEFINANCE(B286,""price"",TODAY()-365,TODAY()),1,0),""select Col2 limit 10""))"),1267.6299999999999)</f>
        <v>1267.63</v>
      </c>
      <c r="J286" s="17">
        <f>IFERROR(__xludf.DUMMYFUNCTION("AVERAGE(QUERY(SORT(GOOGLEFINANCE(B286,""price"",TODAY()-365,TODAY()),1,0),""select Col2 limit 30""))"),1294.0366666666666)</f>
        <v>1294.036667</v>
      </c>
      <c r="K286" s="18">
        <f>IFERROR(__xludf.DUMMYFUNCTION("AVERAGE(QUERY(SORT(GOOGLEFINANCE(B286,""price"",TODAY()-365,TODAY()),1,0),""select Col2 limit 60""))"),1310.9416666666666)</f>
        <v>1310.941667</v>
      </c>
      <c r="L286" s="17">
        <f>IFERROR(__xludf.DUMMYFUNCTION("AVERAGE(QUERY(SORT(GOOGLEFINANCE(B286,""price"",TODAY()-365,TODAY()),1,0),""select Col2 limit 90""))"),1282.9761111111113)</f>
        <v>1282.976111</v>
      </c>
      <c r="M286" s="17">
        <f>IFERROR(__xludf.DUMMYFUNCTION("AVERAGE(QUERY(SORT(GOOGLEFINANCE(B286,""price"",TODAY()-365,TODAY()),1,0),""select Col2 limit 120""))"),1293.7770833333334)</f>
        <v>1293.777083</v>
      </c>
      <c r="N286" s="19">
        <f>IFERROR(__xludf.DUMMYFUNCTION("AVERAGE(QUERY(SORT(GOOGLEFINANCE(B286,""price"",TODAY()-365,TODAY()),1,0),""select Col2 limit 200""))"),1363.0697500000006)</f>
        <v>1363.06975</v>
      </c>
      <c r="O286" s="20" t="str">
        <f t="shared" si="2"/>
        <v>Avoid</v>
      </c>
      <c r="P286" s="21" t="str">
        <f t="shared" si="3"/>
        <v/>
      </c>
      <c r="Q286" s="21" t="str">
        <f t="shared" si="4"/>
        <v/>
      </c>
      <c r="R286" s="22">
        <f>IFERROR(__xludf.DUMMYFUNCTION("GOOGLEFINANCE(B286, ""pe"")
"),38.76)</f>
        <v>38.76</v>
      </c>
    </row>
    <row r="287">
      <c r="A287" s="9" t="s">
        <v>299</v>
      </c>
      <c r="B287" s="11" t="str">
        <f t="shared" si="1"/>
        <v>NSE:FEDERALBNK</v>
      </c>
      <c r="C287" s="12">
        <f>IFERROR(__xludf.DUMMYFUNCTION("GOOGLEFINANCE(B287,""marketcap"")/10000000"),51322.6120081)</f>
        <v>51322.61201</v>
      </c>
      <c r="D287" s="13">
        <f>IFERROR(__xludf.DUMMYFUNCTION("GOOGLEFINANCE(B287,""price"")"),208.77)</f>
        <v>208.77</v>
      </c>
      <c r="E287" s="14">
        <f>IFERROR(__xludf.DUMMYFUNCTION("GOOGLEFINANCE(B287,""Volume"")"),4472482.0)</f>
        <v>4472482</v>
      </c>
      <c r="F287" s="14">
        <f t="array" ref="F287">F286</f>
        <v>14</v>
      </c>
      <c r="G287" s="15" t="str">
        <f>IFERROR(__xludf.DUMMYFUNCTION("IF(E287&gt;AVERAGE(INDEX(GOOGLEFINANCE(B287,""volume"",WORKDAY(TODAY(),-$F$1),TODAY()),,2)),""Breakout"","""")"),"")</f>
        <v/>
      </c>
      <c r="H287" s="16">
        <f>IFERROR(__xludf.DUMMYFUNCTION("GOOGLEFINANCE(B287,""price"")"),208.77)</f>
        <v>208.77</v>
      </c>
      <c r="I287" s="17">
        <f>IFERROR(__xludf.DUMMYFUNCTION("AVERAGE(QUERY(SORT(GOOGLEFINANCE(B287,""price"",TODAY()-365,TODAY()),1,0),""select Col2 limit 10""))"),212.08200000000002)</f>
        <v>212.082</v>
      </c>
      <c r="J287" s="17">
        <f>IFERROR(__xludf.DUMMYFUNCTION("AVERAGE(QUERY(SORT(GOOGLEFINANCE(B287,""price"",TODAY()-365,TODAY()),1,0),""select Col2 limit 30""))"),211.24633333333338)</f>
        <v>211.2463333</v>
      </c>
      <c r="K287" s="18">
        <f>IFERROR(__xludf.DUMMYFUNCTION("AVERAGE(QUERY(SORT(GOOGLEFINANCE(B287,""price"",TODAY()-365,TODAY()),1,0),""select Col2 limit 60""))"),206.19500000000002)</f>
        <v>206.195</v>
      </c>
      <c r="L287" s="17">
        <f>IFERROR(__xludf.DUMMYFUNCTION("AVERAGE(QUERY(SORT(GOOGLEFINANCE(B287,""price"",TODAY()-365,TODAY()),1,0),""select Col2 limit 90""))"),201.89344444444444)</f>
        <v>201.8934444</v>
      </c>
      <c r="M287" s="17">
        <f>IFERROR(__xludf.DUMMYFUNCTION("AVERAGE(QUERY(SORT(GOOGLEFINANCE(B287,""price"",TODAY()-365,TODAY()),1,0),""select Col2 limit 120""))"),196.7809999999999)</f>
        <v>196.781</v>
      </c>
      <c r="N287" s="19">
        <f>IFERROR(__xludf.DUMMYFUNCTION("AVERAGE(QUERY(SORT(GOOGLEFINANCE(B287,""price"",TODAY()-365,TODAY()),1,0),""select Col2 limit 200""))"),197.92539999999985)</f>
        <v>197.9254</v>
      </c>
      <c r="O287" s="20" t="str">
        <f t="shared" si="2"/>
        <v>Avoid</v>
      </c>
      <c r="P287" s="21" t="str">
        <f t="shared" si="3"/>
        <v/>
      </c>
      <c r="Q287" s="21" t="str">
        <f t="shared" si="4"/>
        <v/>
      </c>
      <c r="R287" s="22">
        <f>IFERROR(__xludf.DUMMYFUNCTION("GOOGLEFINANCE(B287, ""pe"")
"),12.41)</f>
        <v>12.41</v>
      </c>
    </row>
    <row r="288">
      <c r="A288" s="9" t="s">
        <v>300</v>
      </c>
      <c r="B288" s="11" t="str">
        <f t="shared" si="1"/>
        <v>NSE:POWERINDIA</v>
      </c>
      <c r="C288" s="12">
        <f>IFERROR(__xludf.DUMMYFUNCTION("GOOGLEFINANCE(B288,""marketcap"")/10000000"),85757.22064)</f>
        <v>85757.22064</v>
      </c>
      <c r="D288" s="13">
        <f>IFERROR(__xludf.DUMMYFUNCTION("GOOGLEFINANCE(B288,""price"")"),19240.0)</f>
        <v>19240</v>
      </c>
      <c r="E288" s="14">
        <f>IFERROR(__xludf.DUMMYFUNCTION("GOOGLEFINANCE(B288,""Volume"")"),43575.0)</f>
        <v>43575</v>
      </c>
      <c r="F288" s="14">
        <f t="array" ref="F288">F287</f>
        <v>14</v>
      </c>
      <c r="G288" s="15" t="str">
        <f>IFERROR(__xludf.DUMMYFUNCTION("IF(E288&gt;AVERAGE(INDEX(GOOGLEFINANCE(B288,""volume"",WORKDAY(TODAY(),-$F$1),TODAY()),,2)),""Breakout"","""")"),"")</f>
        <v/>
      </c>
      <c r="H288" s="16">
        <f>IFERROR(__xludf.DUMMYFUNCTION("GOOGLEFINANCE(B288,""price"")"),19240.0)</f>
        <v>19240</v>
      </c>
      <c r="I288" s="17">
        <f>IFERROR(__xludf.DUMMYFUNCTION("AVERAGE(QUERY(SORT(GOOGLEFINANCE(B288,""price"",TODAY()-365,TODAY()),1,0),""select Col2 limit 10""))"),19241.5)</f>
        <v>19241.5</v>
      </c>
      <c r="J288" s="17">
        <f>IFERROR(__xludf.DUMMYFUNCTION("AVERAGE(QUERY(SORT(GOOGLEFINANCE(B288,""price"",TODAY()-365,TODAY()),1,0),""select Col2 limit 30""))"),19231.833333333332)</f>
        <v>19231.83333</v>
      </c>
      <c r="K288" s="18">
        <f>IFERROR(__xludf.DUMMYFUNCTION("AVERAGE(QUERY(SORT(GOOGLEFINANCE(B288,""price"",TODAY()-365,TODAY()),1,0),""select Col2 limit 60""))"),18134.366666666665)</f>
        <v>18134.36667</v>
      </c>
      <c r="L288" s="17">
        <f>IFERROR(__xludf.DUMMYFUNCTION("AVERAGE(QUERY(SORT(GOOGLEFINANCE(B288,""price"",TODAY()-365,TODAY()),1,0),""select Col2 limit 90""))"),16344.336666666668)</f>
        <v>16344.33667</v>
      </c>
      <c r="M288" s="17">
        <f>IFERROR(__xludf.DUMMYFUNCTION("AVERAGE(QUERY(SORT(GOOGLEFINANCE(B288,""price"",TODAY()-365,TODAY()),1,0),""select Col2 limit 120""))"),15242.37833333334)</f>
        <v>15242.37833</v>
      </c>
      <c r="N288" s="19">
        <f>IFERROR(__xludf.DUMMYFUNCTION("AVERAGE(QUERY(SORT(GOOGLEFINANCE(B288,""price"",TODAY()-365,TODAY()),1,0),""select Col2 limit 200""))"),14491.403500000008)</f>
        <v>14491.4035</v>
      </c>
      <c r="O288" s="20" t="str">
        <f t="shared" si="2"/>
        <v>Avoid</v>
      </c>
      <c r="P288" s="21" t="str">
        <f t="shared" si="3"/>
        <v>10 DMA</v>
      </c>
      <c r="Q288" s="21" t="str">
        <f t="shared" si="4"/>
        <v/>
      </c>
      <c r="R288" s="22">
        <f>IFERROR(__xludf.DUMMYFUNCTION("GOOGLEFINANCE(B288, ""pe"")
"),212.93)</f>
        <v>212.93</v>
      </c>
    </row>
    <row r="289">
      <c r="A289" s="9" t="s">
        <v>301</v>
      </c>
      <c r="B289" s="11" t="str">
        <f t="shared" si="1"/>
        <v>NSE:HONAUT</v>
      </c>
      <c r="C289" s="12">
        <f>IFERROR(__xludf.DUMMYFUNCTION("GOOGLEFINANCE(B289,""marketcap"")/10000000"),34574.7756915)</f>
        <v>34574.77569</v>
      </c>
      <c r="D289" s="13">
        <f>IFERROR(__xludf.DUMMYFUNCTION("GOOGLEFINANCE(B289,""price"")"),39055.0)</f>
        <v>39055</v>
      </c>
      <c r="E289" s="14">
        <f>IFERROR(__xludf.DUMMYFUNCTION("GOOGLEFINANCE(B289,""Volume"")"),1065.0)</f>
        <v>1065</v>
      </c>
      <c r="F289" s="14">
        <f t="array" ref="F289">F288</f>
        <v>14</v>
      </c>
      <c r="G289" s="15" t="str">
        <f>IFERROR(__xludf.DUMMYFUNCTION("IF(E289&gt;AVERAGE(INDEX(GOOGLEFINANCE(B289,""volume"",WORKDAY(TODAY(),-$F$1),TODAY()),,2)),""Breakout"","""")"),"")</f>
        <v/>
      </c>
      <c r="H289" s="16">
        <f>IFERROR(__xludf.DUMMYFUNCTION("GOOGLEFINANCE(B289,""price"")"),39055.0)</f>
        <v>39055</v>
      </c>
      <c r="I289" s="17">
        <f>IFERROR(__xludf.DUMMYFUNCTION("AVERAGE(QUERY(SORT(GOOGLEFINANCE(B289,""price"",TODAY()-365,TODAY()),1,0),""select Col2 limit 10""))"),40404.5)</f>
        <v>40404.5</v>
      </c>
      <c r="J289" s="17">
        <f>IFERROR(__xludf.DUMMYFUNCTION("AVERAGE(QUERY(SORT(GOOGLEFINANCE(B289,""price"",TODAY()-365,TODAY()),1,0),""select Col2 limit 30""))"),39616.5)</f>
        <v>39616.5</v>
      </c>
      <c r="K289" s="18">
        <f>IFERROR(__xludf.DUMMYFUNCTION("AVERAGE(QUERY(SORT(GOOGLEFINANCE(B289,""price"",TODAY()-365,TODAY()),1,0),""select Col2 limit 60""))"),38547.166666666664)</f>
        <v>38547.16667</v>
      </c>
      <c r="L289" s="17">
        <f>IFERROR(__xludf.DUMMYFUNCTION("AVERAGE(QUERY(SORT(GOOGLEFINANCE(B289,""price"",TODAY()-365,TODAY()),1,0),""select Col2 limit 90""))"),37028.21388888888)</f>
        <v>37028.21389</v>
      </c>
      <c r="M289" s="17">
        <f>IFERROR(__xludf.DUMMYFUNCTION("AVERAGE(QUERY(SORT(GOOGLEFINANCE(B289,""price"",TODAY()-365,TODAY()),1,0),""select Col2 limit 120""))"),36681.84208333331)</f>
        <v>36681.84208</v>
      </c>
      <c r="N289" s="19">
        <f>IFERROR(__xludf.DUMMYFUNCTION("AVERAGE(QUERY(SORT(GOOGLEFINANCE(B289,""price"",TODAY()-365,TODAY()),1,0),""select Col2 limit 200""))"),39445.206249999974)</f>
        <v>39445.20625</v>
      </c>
      <c r="O289" s="20" t="str">
        <f t="shared" si="2"/>
        <v>Avoid</v>
      </c>
      <c r="P289" s="21" t="str">
        <f t="shared" si="3"/>
        <v>200 DMA</v>
      </c>
      <c r="Q289" s="21" t="str">
        <f t="shared" si="4"/>
        <v/>
      </c>
      <c r="R289" s="22">
        <f>IFERROR(__xludf.DUMMYFUNCTION("GOOGLEFINANCE(B289, ""pe"")
"),66.03)</f>
        <v>66.03</v>
      </c>
    </row>
    <row r="290">
      <c r="A290" s="9" t="s">
        <v>302</v>
      </c>
      <c r="B290" s="11" t="str">
        <f t="shared" si="1"/>
        <v>NSE:AUBANK</v>
      </c>
      <c r="C290" s="12">
        <f>IFERROR(__xludf.DUMMYFUNCTION("GOOGLEFINANCE(B290,""marketcap"")/10000000"),54698.214242)</f>
        <v>54698.21424</v>
      </c>
      <c r="D290" s="13">
        <f>IFERROR(__xludf.DUMMYFUNCTION("GOOGLEFINANCE(B290,""price"")"),733.8)</f>
        <v>733.8</v>
      </c>
      <c r="E290" s="14">
        <f>IFERROR(__xludf.DUMMYFUNCTION("GOOGLEFINANCE(B290,""Volume"")"),876445.0)</f>
        <v>876445</v>
      </c>
      <c r="F290" s="14">
        <f t="array" ref="F290">F289</f>
        <v>14</v>
      </c>
      <c r="G290" s="15" t="str">
        <f>IFERROR(__xludf.DUMMYFUNCTION("IF(E290&gt;AVERAGE(INDEX(GOOGLEFINANCE(B290,""volume"",WORKDAY(TODAY(),-$F$1),TODAY()),,2)),""Breakout"","""")"),"")</f>
        <v/>
      </c>
      <c r="H290" s="16">
        <f>IFERROR(__xludf.DUMMYFUNCTION("GOOGLEFINANCE(B290,""price"")"),733.8)</f>
        <v>733.8</v>
      </c>
      <c r="I290" s="17">
        <f>IFERROR(__xludf.DUMMYFUNCTION("AVERAGE(QUERY(SORT(GOOGLEFINANCE(B290,""price"",TODAY()-365,TODAY()),1,0),""select Col2 limit 10""))"),769.89)</f>
        <v>769.89</v>
      </c>
      <c r="J290" s="17">
        <f>IFERROR(__xludf.DUMMYFUNCTION("AVERAGE(QUERY(SORT(GOOGLEFINANCE(B290,""price"",TODAY()-365,TODAY()),1,0),""select Col2 limit 30""))"),796.0183333333333)</f>
        <v>796.0183333</v>
      </c>
      <c r="K290" s="18">
        <f>IFERROR(__xludf.DUMMYFUNCTION("AVERAGE(QUERY(SORT(GOOGLEFINANCE(B290,""price"",TODAY()-365,TODAY()),1,0),""select Col2 limit 60""))"),753.5624999999999)</f>
        <v>753.5625</v>
      </c>
      <c r="L290" s="17">
        <f>IFERROR(__xludf.DUMMYFUNCTION("AVERAGE(QUERY(SORT(GOOGLEFINANCE(B290,""price"",TODAY()-365,TODAY()),1,0),""select Col2 limit 90""))"),696.7933333333334)</f>
        <v>696.7933333</v>
      </c>
      <c r="M290" s="17">
        <f>IFERROR(__xludf.DUMMYFUNCTION("AVERAGE(QUERY(SORT(GOOGLEFINANCE(B290,""price"",TODAY()-365,TODAY()),1,0),""select Col2 limit 120""))"),660.8941666666667)</f>
        <v>660.8941667</v>
      </c>
      <c r="N290" s="19">
        <f>IFERROR(__xludf.DUMMYFUNCTION("AVERAGE(QUERY(SORT(GOOGLEFINANCE(B290,""price"",TODAY()-365,TODAY()),1,0),""select Col2 limit 200""))"),637.9274999999999)</f>
        <v>637.9275</v>
      </c>
      <c r="O290" s="20" t="str">
        <f t="shared" si="2"/>
        <v>Avoid</v>
      </c>
      <c r="P290" s="21" t="str">
        <f t="shared" si="3"/>
        <v/>
      </c>
      <c r="Q290" s="21" t="str">
        <f t="shared" si="4"/>
        <v/>
      </c>
      <c r="R290" s="22">
        <f>IFERROR(__xludf.DUMMYFUNCTION("GOOGLEFINANCE(B290, ""pe"")
"),25.98)</f>
        <v>25.98</v>
      </c>
    </row>
    <row r="291">
      <c r="A291" s="9" t="s">
        <v>303</v>
      </c>
      <c r="B291" s="11" t="str">
        <f t="shared" si="1"/>
        <v>NSE:COROMANDEL</v>
      </c>
      <c r="C291" s="12">
        <f>IFERROR(__xludf.DUMMYFUNCTION("GOOGLEFINANCE(B291,""marketcap"")/10000000"),71279.0672)</f>
        <v>71279.0672</v>
      </c>
      <c r="D291" s="13">
        <f>IFERROR(__xludf.DUMMYFUNCTION("GOOGLEFINANCE(B291,""price"")"),2420.0)</f>
        <v>2420</v>
      </c>
      <c r="E291" s="14">
        <f>IFERROR(__xludf.DUMMYFUNCTION("GOOGLEFINANCE(B291,""Volume"")"),157847.0)</f>
        <v>157847</v>
      </c>
      <c r="F291" s="14">
        <f t="array" ref="F291">F290</f>
        <v>14</v>
      </c>
      <c r="G291" s="15" t="str">
        <f>IFERROR(__xludf.DUMMYFUNCTION("IF(E291&gt;AVERAGE(INDEX(GOOGLEFINANCE(B291,""volume"",WORKDAY(TODAY(),-$F$1),TODAY()),,2)),""Breakout"","""")"),"")</f>
        <v/>
      </c>
      <c r="H291" s="16">
        <f>IFERROR(__xludf.DUMMYFUNCTION("GOOGLEFINANCE(B291,""price"")"),2420.0)</f>
        <v>2420</v>
      </c>
      <c r="I291" s="17">
        <f>IFERROR(__xludf.DUMMYFUNCTION("AVERAGE(QUERY(SORT(GOOGLEFINANCE(B291,""price"",TODAY()-365,TODAY()),1,0),""select Col2 limit 10""))"),2366.28)</f>
        <v>2366.28</v>
      </c>
      <c r="J291" s="17">
        <f>IFERROR(__xludf.DUMMYFUNCTION("AVERAGE(QUERY(SORT(GOOGLEFINANCE(B291,""price"",TODAY()-365,TODAY()),1,0),""select Col2 limit 30""))"),2329.7833333333333)</f>
        <v>2329.783333</v>
      </c>
      <c r="K291" s="18">
        <f>IFERROR(__xludf.DUMMYFUNCTION("AVERAGE(QUERY(SORT(GOOGLEFINANCE(B291,""price"",TODAY()-365,TODAY()),1,0),""select Col2 limit 60""))"),2345.2549999999997)</f>
        <v>2345.255</v>
      </c>
      <c r="L291" s="17">
        <f>IFERROR(__xludf.DUMMYFUNCTION("AVERAGE(QUERY(SORT(GOOGLEFINANCE(B291,""price"",TODAY()-365,TODAY()),1,0),""select Col2 limit 90""))"),2255.465555555557)</f>
        <v>2255.465556</v>
      </c>
      <c r="M291" s="17">
        <f>IFERROR(__xludf.DUMMYFUNCTION("AVERAGE(QUERY(SORT(GOOGLEFINANCE(B291,""price"",TODAY()-365,TODAY()),1,0),""select Col2 limit 120""))"),2131.795000000001)</f>
        <v>2131.795</v>
      </c>
      <c r="N291" s="19">
        <f>IFERROR(__xludf.DUMMYFUNCTION("AVERAGE(QUERY(SORT(GOOGLEFINANCE(B291,""price"",TODAY()-365,TODAY()),1,0),""select Col2 limit 200""))"),1982.4345000000003)</f>
        <v>1982.4345</v>
      </c>
      <c r="O291" s="20" t="str">
        <f t="shared" si="2"/>
        <v>Avoid</v>
      </c>
      <c r="P291" s="21" t="str">
        <f t="shared" si="3"/>
        <v/>
      </c>
      <c r="Q291" s="21" t="str">
        <f t="shared" si="4"/>
        <v/>
      </c>
      <c r="R291" s="22">
        <f>IFERROR(__xludf.DUMMYFUNCTION("GOOGLEFINANCE(B291, ""pe"")
"),31.56)</f>
        <v>31.56</v>
      </c>
    </row>
    <row r="292">
      <c r="A292" s="9" t="s">
        <v>304</v>
      </c>
      <c r="B292" s="11" t="str">
        <f t="shared" si="1"/>
        <v>NSE:MAHABANK</v>
      </c>
      <c r="C292" s="12">
        <f>IFERROR(__xludf.DUMMYFUNCTION("GOOGLEFINANCE(B292,""marketcap"")/10000000"),44056.354444)</f>
        <v>44056.35444</v>
      </c>
      <c r="D292" s="13">
        <f>IFERROR(__xludf.DUMMYFUNCTION("GOOGLEFINANCE(B292,""price"")"),57.24)</f>
        <v>57.24</v>
      </c>
      <c r="E292" s="14">
        <f>IFERROR(__xludf.DUMMYFUNCTION("GOOGLEFINANCE(B292,""Volume"")"),5880007.0)</f>
        <v>5880007</v>
      </c>
      <c r="F292" s="14">
        <f t="array" ref="F292">F291</f>
        <v>14</v>
      </c>
      <c r="G292" s="15" t="str">
        <f>IFERROR(__xludf.DUMMYFUNCTION("IF(E292&gt;AVERAGE(INDEX(GOOGLEFINANCE(B292,""volume"",WORKDAY(TODAY(),-$F$1),TODAY()),,2)),""Breakout"","""")"),"")</f>
        <v/>
      </c>
      <c r="H292" s="16">
        <f>IFERROR(__xludf.DUMMYFUNCTION("GOOGLEFINANCE(B292,""price"")"),57.24)</f>
        <v>57.24</v>
      </c>
      <c r="I292" s="17">
        <f>IFERROR(__xludf.DUMMYFUNCTION("AVERAGE(QUERY(SORT(GOOGLEFINANCE(B292,""price"",TODAY()-365,TODAY()),1,0),""select Col2 limit 10""))"),56.794000000000004)</f>
        <v>56.794</v>
      </c>
      <c r="J292" s="17">
        <f>IFERROR(__xludf.DUMMYFUNCTION("AVERAGE(QUERY(SORT(GOOGLEFINANCE(B292,""price"",TODAY()-365,TODAY()),1,0),""select Col2 limit 30""))"),56.017666666666656)</f>
        <v>56.01766667</v>
      </c>
      <c r="K292" s="18">
        <f>IFERROR(__xludf.DUMMYFUNCTION("AVERAGE(QUERY(SORT(GOOGLEFINANCE(B292,""price"",TODAY()-365,TODAY()),1,0),""select Col2 limit 60""))"),54.33816666666666)</f>
        <v>54.33816667</v>
      </c>
      <c r="L292" s="17">
        <f>IFERROR(__xludf.DUMMYFUNCTION("AVERAGE(QUERY(SORT(GOOGLEFINANCE(B292,""price"",TODAY()-365,TODAY()),1,0),""select Col2 limit 90""))"),52.15388888888889)</f>
        <v>52.15388889</v>
      </c>
      <c r="M292" s="17">
        <f>IFERROR(__xludf.DUMMYFUNCTION("AVERAGE(QUERY(SORT(GOOGLEFINANCE(B292,""price"",TODAY()-365,TODAY()),1,0),""select Col2 limit 120""))"),51.28366666666668)</f>
        <v>51.28366667</v>
      </c>
      <c r="N292" s="19">
        <f>IFERROR(__xludf.DUMMYFUNCTION("AVERAGE(QUERY(SORT(GOOGLEFINANCE(B292,""price"",TODAY()-365,TODAY()),1,0),""select Col2 limit 200""))"),52.13740000000001)</f>
        <v>52.1374</v>
      </c>
      <c r="O292" s="20" t="str">
        <f t="shared" si="2"/>
        <v>Avoid</v>
      </c>
      <c r="P292" s="21" t="str">
        <f t="shared" si="3"/>
        <v/>
      </c>
      <c r="Q292" s="21" t="str">
        <f t="shared" si="4"/>
        <v/>
      </c>
      <c r="R292" s="22">
        <f>IFERROR(__xludf.DUMMYFUNCTION("GOOGLEFINANCE(B292, ""pe"")
"),7.5)</f>
        <v>7.5</v>
      </c>
    </row>
    <row r="293">
      <c r="A293" s="9" t="s">
        <v>305</v>
      </c>
      <c r="B293" s="11" t="str">
        <f t="shared" si="1"/>
        <v>NSE:LTF</v>
      </c>
      <c r="C293" s="12">
        <f>IFERROR(__xludf.DUMMYFUNCTION("GOOGLEFINANCE(B293,""marketcap"")/10000000"),51180.61)</f>
        <v>51180.61</v>
      </c>
      <c r="D293" s="13">
        <f>IFERROR(__xludf.DUMMYFUNCTION("GOOGLEFINANCE(B293,""price"")"),205.96)</f>
        <v>205.96</v>
      </c>
      <c r="E293" s="14">
        <f>IFERROR(__xludf.DUMMYFUNCTION("GOOGLEFINANCE(B293,""Volume"")"),2338948.0)</f>
        <v>2338948</v>
      </c>
      <c r="F293" s="14">
        <f t="array" ref="F293">F292</f>
        <v>14</v>
      </c>
      <c r="G293" s="15" t="str">
        <f>IFERROR(__xludf.DUMMYFUNCTION("IF(E293&gt;AVERAGE(INDEX(GOOGLEFINANCE(B293,""volume"",WORKDAY(TODAY(),-$F$1),TODAY()),,2)),""Breakout"","""")"),"")</f>
        <v/>
      </c>
      <c r="H293" s="16">
        <f>IFERROR(__xludf.DUMMYFUNCTION("GOOGLEFINANCE(B293,""price"")"),205.96)</f>
        <v>205.96</v>
      </c>
      <c r="I293" s="17">
        <f>IFERROR(__xludf.DUMMYFUNCTION("AVERAGE(QUERY(SORT(GOOGLEFINANCE(B293,""price"",TODAY()-365,TODAY()),1,0),""select Col2 limit 10""))"),206.561)</f>
        <v>206.561</v>
      </c>
      <c r="J293" s="17">
        <f>IFERROR(__xludf.DUMMYFUNCTION("AVERAGE(QUERY(SORT(GOOGLEFINANCE(B293,""price"",TODAY()-365,TODAY()),1,0),""select Col2 limit 30""))"),202.77100000000007)</f>
        <v>202.771</v>
      </c>
      <c r="K293" s="18">
        <f>IFERROR(__xludf.DUMMYFUNCTION("AVERAGE(QUERY(SORT(GOOGLEFINANCE(B293,""price"",TODAY()-365,TODAY()),1,0),""select Col2 limit 60""))"),189.33583333333345)</f>
        <v>189.3358333</v>
      </c>
      <c r="L293" s="17">
        <f>IFERROR(__xludf.DUMMYFUNCTION("AVERAGE(QUERY(SORT(GOOGLEFINANCE(B293,""price"",TODAY()-365,TODAY()),1,0),""select Col2 limit 90""))"),179.0445555555556)</f>
        <v>179.0445556</v>
      </c>
      <c r="M293" s="17">
        <f>IFERROR(__xludf.DUMMYFUNCTION("AVERAGE(QUERY(SORT(GOOGLEFINANCE(B293,""price"",TODAY()-365,TODAY()),1,0),""select Col2 limit 120""))"),169.58850000000004)</f>
        <v>169.5885</v>
      </c>
      <c r="N293" s="19">
        <f>IFERROR(__xludf.DUMMYFUNCTION("AVERAGE(QUERY(SORT(GOOGLEFINANCE(B293,""price"",TODAY()-365,TODAY()),1,0),""select Col2 limit 200""))"),160.26499999999996)</f>
        <v>160.265</v>
      </c>
      <c r="O293" s="20" t="str">
        <f t="shared" si="2"/>
        <v>Avoid</v>
      </c>
      <c r="P293" s="21" t="str">
        <f t="shared" si="3"/>
        <v>10 DMA</v>
      </c>
      <c r="Q293" s="21" t="str">
        <f t="shared" si="4"/>
        <v/>
      </c>
      <c r="R293" s="22" t="str">
        <f>IFERROR(__xludf.DUMMYFUNCTION("GOOGLEFINANCE(B293, ""pe"")
"),"#N/A")</f>
        <v>#N/A</v>
      </c>
    </row>
    <row r="294">
      <c r="A294" s="9" t="s">
        <v>306</v>
      </c>
      <c r="B294" s="11" t="str">
        <f t="shared" si="1"/>
        <v>NSE:EXIDEIND</v>
      </c>
      <c r="C294" s="12">
        <f>IFERROR(__xludf.DUMMYFUNCTION("GOOGLEFINANCE(B294,""marketcap"")/10000000"),32618.75)</f>
        <v>32618.75</v>
      </c>
      <c r="D294" s="13">
        <f>IFERROR(__xludf.DUMMYFUNCTION("GOOGLEFINANCE(B294,""price"")"),383.75)</f>
        <v>383.75</v>
      </c>
      <c r="E294" s="14">
        <f>IFERROR(__xludf.DUMMYFUNCTION("GOOGLEFINANCE(B294,""Volume"")"),585350.0)</f>
        <v>585350</v>
      </c>
      <c r="F294" s="14">
        <f t="array" ref="F294">F293</f>
        <v>14</v>
      </c>
      <c r="G294" s="15" t="str">
        <f>IFERROR(__xludf.DUMMYFUNCTION("IF(E294&gt;AVERAGE(INDEX(GOOGLEFINANCE(B294,""volume"",WORKDAY(TODAY(),-$F$1),TODAY()),,2)),""Breakout"","""")"),"")</f>
        <v/>
      </c>
      <c r="H294" s="16">
        <f>IFERROR(__xludf.DUMMYFUNCTION("GOOGLEFINANCE(B294,""price"")"),383.75)</f>
        <v>383.75</v>
      </c>
      <c r="I294" s="17">
        <f>IFERROR(__xludf.DUMMYFUNCTION("AVERAGE(QUERY(SORT(GOOGLEFINANCE(B294,""price"",TODAY()-365,TODAY()),1,0),""select Col2 limit 10""))"),387.03000000000003)</f>
        <v>387.03</v>
      </c>
      <c r="J294" s="17">
        <f>IFERROR(__xludf.DUMMYFUNCTION("AVERAGE(QUERY(SORT(GOOGLEFINANCE(B294,""price"",TODAY()-365,TODAY()),1,0),""select Col2 limit 30""))"),385.04833333333323)</f>
        <v>385.0483333</v>
      </c>
      <c r="K294" s="18">
        <f>IFERROR(__xludf.DUMMYFUNCTION("AVERAGE(QUERY(SORT(GOOGLEFINANCE(B294,""price"",TODAY()-365,TODAY()),1,0),""select Col2 limit 60""))"),384.9116666666665)</f>
        <v>384.9116667</v>
      </c>
      <c r="L294" s="17">
        <f>IFERROR(__xludf.DUMMYFUNCTION("AVERAGE(QUERY(SORT(GOOGLEFINANCE(B294,""price"",TODAY()-365,TODAY()),1,0),""select Col2 limit 90""))"),378.28666666666663)</f>
        <v>378.2866667</v>
      </c>
      <c r="M294" s="17">
        <f>IFERROR(__xludf.DUMMYFUNCTION("AVERAGE(QUERY(SORT(GOOGLEFINANCE(B294,""price"",TODAY()-365,TODAY()),1,0),""select Col2 limit 120""))"),374.01958333333334)</f>
        <v>374.0195833</v>
      </c>
      <c r="N294" s="19">
        <f>IFERROR(__xludf.DUMMYFUNCTION("AVERAGE(QUERY(SORT(GOOGLEFINANCE(B294,""price"",TODAY()-365,TODAY()),1,0),""select Col2 limit 200""))"),399.672)</f>
        <v>399.672</v>
      </c>
      <c r="O294" s="20" t="str">
        <f t="shared" si="2"/>
        <v>Avoid</v>
      </c>
      <c r="P294" s="21" t="str">
        <f t="shared" si="3"/>
        <v>10 DMA</v>
      </c>
      <c r="Q294" s="21" t="str">
        <f t="shared" si="4"/>
        <v/>
      </c>
      <c r="R294" s="22">
        <f>IFERROR(__xludf.DUMMYFUNCTION("GOOGLEFINANCE(B294, ""pe"")
"),41.03)</f>
        <v>41.03</v>
      </c>
    </row>
    <row r="295">
      <c r="A295" s="9" t="s">
        <v>307</v>
      </c>
      <c r="B295" s="11" t="str">
        <f t="shared" si="1"/>
        <v>NSE:PAGEIND</v>
      </c>
      <c r="C295" s="12">
        <f>IFERROR(__xludf.DUMMYFUNCTION("GOOGLEFINANCE(B295,""marketcap"")/10000000"),51804.149215)</f>
        <v>51804.14922</v>
      </c>
      <c r="D295" s="13">
        <f>IFERROR(__xludf.DUMMYFUNCTION("GOOGLEFINANCE(B295,""price"")"),46540.0)</f>
        <v>46540</v>
      </c>
      <c r="E295" s="14">
        <f>IFERROR(__xludf.DUMMYFUNCTION("GOOGLEFINANCE(B295,""Volume"")"),4963.0)</f>
        <v>4963</v>
      </c>
      <c r="F295" s="14">
        <f t="array" ref="F295">F294</f>
        <v>14</v>
      </c>
      <c r="G295" s="15" t="str">
        <f>IFERROR(__xludf.DUMMYFUNCTION("IF(E295&gt;AVERAGE(INDEX(GOOGLEFINANCE(B295,""volume"",WORKDAY(TODAY(),-$F$1),TODAY()),,2)),""Breakout"","""")"),"")</f>
        <v/>
      </c>
      <c r="H295" s="16">
        <f>IFERROR(__xludf.DUMMYFUNCTION("GOOGLEFINANCE(B295,""price"")"),46540.0)</f>
        <v>46540</v>
      </c>
      <c r="I295" s="17">
        <f>IFERROR(__xludf.DUMMYFUNCTION("AVERAGE(QUERY(SORT(GOOGLEFINANCE(B295,""price"",TODAY()-365,TODAY()),1,0),""select Col2 limit 10""))"),47277.5)</f>
        <v>47277.5</v>
      </c>
      <c r="J295" s="17">
        <f>IFERROR(__xludf.DUMMYFUNCTION("AVERAGE(QUERY(SORT(GOOGLEFINANCE(B295,""price"",TODAY()-365,TODAY()),1,0),""select Col2 limit 30""))"),47398.166666666664)</f>
        <v>47398.16667</v>
      </c>
      <c r="K295" s="18">
        <f>IFERROR(__xludf.DUMMYFUNCTION("AVERAGE(QUERY(SORT(GOOGLEFINANCE(B295,""price"",TODAY()-365,TODAY()),1,0),""select Col2 limit 60""))"),46979.25)</f>
        <v>46979.25</v>
      </c>
      <c r="L295" s="17">
        <f>IFERROR(__xludf.DUMMYFUNCTION("AVERAGE(QUERY(SORT(GOOGLEFINANCE(B295,""price"",TODAY()-365,TODAY()),1,0),""select Col2 limit 90""))"),45811.863888888896)</f>
        <v>45811.86389</v>
      </c>
      <c r="M295" s="17">
        <f>IFERROR(__xludf.DUMMYFUNCTION("AVERAGE(QUERY(SORT(GOOGLEFINANCE(B295,""price"",TODAY()-365,TODAY()),1,0),""select Col2 limit 120""))"),44865.082500000004)</f>
        <v>44865.0825</v>
      </c>
      <c r="N295" s="19">
        <f>IFERROR(__xludf.DUMMYFUNCTION("AVERAGE(QUERY(SORT(GOOGLEFINANCE(B295,""price"",TODAY()-365,TODAY()),1,0),""select Col2 limit 200""))"),45261.26699999999)</f>
        <v>45261.267</v>
      </c>
      <c r="O295" s="20" t="str">
        <f t="shared" si="2"/>
        <v>Avoid</v>
      </c>
      <c r="P295" s="21" t="str">
        <f t="shared" si="3"/>
        <v>60 DMA</v>
      </c>
      <c r="Q295" s="21" t="str">
        <f t="shared" si="4"/>
        <v/>
      </c>
      <c r="R295" s="22">
        <f>IFERROR(__xludf.DUMMYFUNCTION("GOOGLEFINANCE(B295, ""pe"")
"),71.24)</f>
        <v>71.24</v>
      </c>
    </row>
    <row r="296">
      <c r="A296" s="9" t="s">
        <v>308</v>
      </c>
      <c r="B296" s="11" t="str">
        <f t="shared" si="1"/>
        <v>NSE:NIACL</v>
      </c>
      <c r="C296" s="12">
        <f>IFERROR(__xludf.DUMMYFUNCTION("GOOGLEFINANCE(B296,""marketcap"")/10000000"),29283.2946333)</f>
        <v>29283.29463</v>
      </c>
      <c r="D296" s="13">
        <f>IFERROR(__xludf.DUMMYFUNCTION("GOOGLEFINANCE(B296,""price"")"),177.8)</f>
        <v>177.8</v>
      </c>
      <c r="E296" s="14">
        <f>IFERROR(__xludf.DUMMYFUNCTION("GOOGLEFINANCE(B296,""Volume"")"),134461.0)</f>
        <v>134461</v>
      </c>
      <c r="F296" s="14">
        <f t="array" ref="F296">F295</f>
        <v>14</v>
      </c>
      <c r="G296" s="15" t="str">
        <f>IFERROR(__xludf.DUMMYFUNCTION("IF(E296&gt;AVERAGE(INDEX(GOOGLEFINANCE(B296,""volume"",WORKDAY(TODAY(),-$F$1),TODAY()),,2)),""Breakout"","""")"),"")</f>
        <v/>
      </c>
      <c r="H296" s="16">
        <f>IFERROR(__xludf.DUMMYFUNCTION("GOOGLEFINANCE(B296,""price"")"),177.8)</f>
        <v>177.8</v>
      </c>
      <c r="I296" s="17" t="str">
        <f>IFERROR(__xludf.DUMMYFUNCTION("AVERAGE(QUERY(SORT(GOOGLEFINANCE(B296,""price"",TODAY()-365,TODAY()),1,0),""select Col2 limit 10""))"),"#N/A")</f>
        <v>#N/A</v>
      </c>
      <c r="J296" s="17" t="str">
        <f>IFERROR(__xludf.DUMMYFUNCTION("AVERAGE(QUERY(SORT(GOOGLEFINANCE(B296,""price"",TODAY()-365,TODAY()),1,0),""select Col2 limit 30""))"),"#N/A")</f>
        <v>#N/A</v>
      </c>
      <c r="K296" s="18" t="str">
        <f>IFERROR(__xludf.DUMMYFUNCTION("AVERAGE(QUERY(SORT(GOOGLEFINANCE(B296,""price"",TODAY()-365,TODAY()),1,0),""select Col2 limit 60""))"),"#N/A")</f>
        <v>#N/A</v>
      </c>
      <c r="L296" s="17" t="str">
        <f>IFERROR(__xludf.DUMMYFUNCTION("AVERAGE(QUERY(SORT(GOOGLEFINANCE(B296,""price"",TODAY()-365,TODAY()),1,0),""select Col2 limit 90""))"),"#N/A")</f>
        <v>#N/A</v>
      </c>
      <c r="M296" s="17" t="str">
        <f>IFERROR(__xludf.DUMMYFUNCTION("AVERAGE(QUERY(SORT(GOOGLEFINANCE(B296,""price"",TODAY()-365,TODAY()),1,0),""select Col2 limit 120""))"),"#N/A")</f>
        <v>#N/A</v>
      </c>
      <c r="N296" s="19" t="str">
        <f>IFERROR(__xludf.DUMMYFUNCTION("AVERAGE(QUERY(SORT(GOOGLEFINANCE(B296,""price"",TODAY()-365,TODAY()),1,0),""select Col2 limit 200""))"),"#N/A")</f>
        <v>#N/A</v>
      </c>
      <c r="O296" s="20" t="str">
        <f t="shared" si="2"/>
        <v>#N/A</v>
      </c>
      <c r="P296" s="21" t="str">
        <f t="shared" si="3"/>
        <v>#N/A</v>
      </c>
      <c r="Q296" s="21" t="str">
        <f t="shared" si="4"/>
        <v>#N/A</v>
      </c>
      <c r="R296" s="22">
        <f>IFERROR(__xludf.DUMMYFUNCTION("GOOGLEFINANCE(B296, ""pe"")
"),28.27)</f>
        <v>28.27</v>
      </c>
    </row>
    <row r="297">
      <c r="A297" s="9" t="s">
        <v>309</v>
      </c>
      <c r="B297" s="11" t="str">
        <f t="shared" si="1"/>
        <v>NSE:GLAXO</v>
      </c>
      <c r="C297" s="12">
        <f>IFERROR(__xludf.DUMMYFUNCTION("GOOGLEFINANCE(B297,""marketcap"")/10000000"),52910.5768071)</f>
        <v>52910.57681</v>
      </c>
      <c r="D297" s="13">
        <f>IFERROR(__xludf.DUMMYFUNCTION("GOOGLEFINANCE(B297,""price"")"),3125.7)</f>
        <v>3125.7</v>
      </c>
      <c r="E297" s="14">
        <f>IFERROR(__xludf.DUMMYFUNCTION("GOOGLEFINANCE(B297,""Volume"")"),21275.0)</f>
        <v>21275</v>
      </c>
      <c r="F297" s="14">
        <f t="array" ref="F297">F296</f>
        <v>14</v>
      </c>
      <c r="G297" s="15" t="str">
        <f>IFERROR(__xludf.DUMMYFUNCTION("IF(E297&gt;AVERAGE(INDEX(GOOGLEFINANCE(B297,""volume"",WORKDAY(TODAY(),-$F$1),TODAY()),,2)),""Breakout"","""")"),"")</f>
        <v/>
      </c>
      <c r="H297" s="16">
        <f>IFERROR(__xludf.DUMMYFUNCTION("GOOGLEFINANCE(B297,""price"")"),3125.7)</f>
        <v>3125.7</v>
      </c>
      <c r="I297" s="17">
        <f>IFERROR(__xludf.DUMMYFUNCTION("AVERAGE(QUERY(SORT(GOOGLEFINANCE(B297,""price"",TODAY()-365,TODAY()),1,0),""select Col2 limit 10""))"),3152.25)</f>
        <v>3152.25</v>
      </c>
      <c r="J297" s="17">
        <f>IFERROR(__xludf.DUMMYFUNCTION("AVERAGE(QUERY(SORT(GOOGLEFINANCE(B297,""price"",TODAY()-365,TODAY()),1,0),""select Col2 limit 30""))"),3240.483333333333)</f>
        <v>3240.483333</v>
      </c>
      <c r="K297" s="18">
        <f>IFERROR(__xludf.DUMMYFUNCTION("AVERAGE(QUERY(SORT(GOOGLEFINANCE(B297,""price"",TODAY()-365,TODAY()),1,0),""select Col2 limit 60""))"),3160.826666666667)</f>
        <v>3160.826667</v>
      </c>
      <c r="L297" s="17">
        <f>IFERROR(__xludf.DUMMYFUNCTION("AVERAGE(QUERY(SORT(GOOGLEFINANCE(B297,""price"",TODAY()-365,TODAY()),1,0),""select Col2 limit 90""))"),3049.1388888888887)</f>
        <v>3049.138889</v>
      </c>
      <c r="M297" s="17">
        <f>IFERROR(__xludf.DUMMYFUNCTION("AVERAGE(QUERY(SORT(GOOGLEFINANCE(B297,""price"",TODAY()-365,TODAY()),1,0),""select Col2 limit 120""))"),2881.3008333333332)</f>
        <v>2881.300833</v>
      </c>
      <c r="N297" s="19">
        <f>IFERROR(__xludf.DUMMYFUNCTION("AVERAGE(QUERY(SORT(GOOGLEFINANCE(B297,""price"",TODAY()-365,TODAY()),1,0),""select Col2 limit 200""))"),2685.689749999999)</f>
        <v>2685.68975</v>
      </c>
      <c r="O297" s="20" t="str">
        <f t="shared" si="2"/>
        <v>Avoid</v>
      </c>
      <c r="P297" s="21" t="str">
        <f t="shared" si="3"/>
        <v>10 DMA</v>
      </c>
      <c r="Q297" s="21" t="str">
        <f t="shared" si="4"/>
        <v/>
      </c>
      <c r="R297" s="22">
        <f>IFERROR(__xludf.DUMMYFUNCTION("GOOGLEFINANCE(B297, ""pe"")
"),57.13)</f>
        <v>57.13</v>
      </c>
    </row>
    <row r="298">
      <c r="A298" s="9" t="s">
        <v>310</v>
      </c>
      <c r="B298" s="11" t="str">
        <f t="shared" si="1"/>
        <v>NSE:TATAELXSI</v>
      </c>
      <c r="C298" s="12">
        <f>IFERROR(__xludf.DUMMYFUNCTION("GOOGLEFINANCE(B298,""marketcap"")/10000000"),37838.216475)</f>
        <v>37838.21648</v>
      </c>
      <c r="D298" s="13">
        <f>IFERROR(__xludf.DUMMYFUNCTION("GOOGLEFINANCE(B298,""price"")"),6091.5)</f>
        <v>6091.5</v>
      </c>
      <c r="E298" s="14">
        <f>IFERROR(__xludf.DUMMYFUNCTION("GOOGLEFINANCE(B298,""Volume"")"),94285.0)</f>
        <v>94285</v>
      </c>
      <c r="F298" s="14">
        <f t="array" ref="F298">F297</f>
        <v>14</v>
      </c>
      <c r="G298" s="15" t="str">
        <f>IFERROR(__xludf.DUMMYFUNCTION("IF(E298&gt;AVERAGE(INDEX(GOOGLEFINANCE(B298,""volume"",WORKDAY(TODAY(),-$F$1),TODAY()),,2)),""Breakout"","""")"),"")</f>
        <v/>
      </c>
      <c r="H298" s="16">
        <f>IFERROR(__xludf.DUMMYFUNCTION("GOOGLEFINANCE(B298,""price"")"),6091.5)</f>
        <v>6091.5</v>
      </c>
      <c r="I298" s="17">
        <f>IFERROR(__xludf.DUMMYFUNCTION("AVERAGE(QUERY(SORT(GOOGLEFINANCE(B298,""price"",TODAY()-365,TODAY()),1,0),""select Col2 limit 10""))"),6216.45)</f>
        <v>6216.45</v>
      </c>
      <c r="J298" s="17">
        <f>IFERROR(__xludf.DUMMYFUNCTION("AVERAGE(QUERY(SORT(GOOGLEFINANCE(B298,""price"",TODAY()-365,TODAY()),1,0),""select Col2 limit 30""))"),6241.416666666667)</f>
        <v>6241.416667</v>
      </c>
      <c r="K298" s="18">
        <f>IFERROR(__xludf.DUMMYFUNCTION("AVERAGE(QUERY(SORT(GOOGLEFINANCE(B298,""price"",TODAY()-365,TODAY()),1,0),""select Col2 limit 60""))"),6249.641666666666)</f>
        <v>6249.641667</v>
      </c>
      <c r="L298" s="17">
        <f>IFERROR(__xludf.DUMMYFUNCTION("AVERAGE(QUERY(SORT(GOOGLEFINANCE(B298,""price"",TODAY()-365,TODAY()),1,0),""select Col2 limit 90""))"),5939.678888888889)</f>
        <v>5939.678889</v>
      </c>
      <c r="M298" s="17">
        <f>IFERROR(__xludf.DUMMYFUNCTION("AVERAGE(QUERY(SORT(GOOGLEFINANCE(B298,""price"",TODAY()-365,TODAY()),1,0),""select Col2 limit 120""))"),5940.330416666667)</f>
        <v>5940.330417</v>
      </c>
      <c r="N298" s="19">
        <f>IFERROR(__xludf.DUMMYFUNCTION("AVERAGE(QUERY(SORT(GOOGLEFINANCE(B298,""price"",TODAY()-365,TODAY()),1,0),""select Col2 limit 200""))"),6320.66375)</f>
        <v>6320.66375</v>
      </c>
      <c r="O298" s="20" t="str">
        <f t="shared" si="2"/>
        <v>Avoid</v>
      </c>
      <c r="P298" s="21" t="str">
        <f t="shared" si="3"/>
        <v/>
      </c>
      <c r="Q298" s="21" t="str">
        <f t="shared" si="4"/>
        <v/>
      </c>
      <c r="R298" s="22">
        <f>IFERROR(__xludf.DUMMYFUNCTION("GOOGLEFINANCE(B298, ""pe"")
"),50.95)</f>
        <v>50.95</v>
      </c>
    </row>
    <row r="299">
      <c r="A299" s="9" t="s">
        <v>311</v>
      </c>
      <c r="B299" s="11" t="str">
        <f t="shared" si="1"/>
        <v>NSE:ESCORTS</v>
      </c>
      <c r="C299" s="12">
        <f>IFERROR(__xludf.DUMMYFUNCTION("GOOGLEFINANCE(B299,""marketcap"")/10000000"),37783.34664)</f>
        <v>37783.34664</v>
      </c>
      <c r="D299" s="13">
        <f>IFERROR(__xludf.DUMMYFUNCTION("GOOGLEFINANCE(B299,""price"")"),3434.1)</f>
        <v>3434.1</v>
      </c>
      <c r="E299" s="14">
        <f>IFERROR(__xludf.DUMMYFUNCTION("GOOGLEFINANCE(B299,""Volume"")"),18307.0)</f>
        <v>18307</v>
      </c>
      <c r="F299" s="14">
        <f t="array" ref="F299">F298</f>
        <v>14</v>
      </c>
      <c r="G299" s="15" t="str">
        <f>IFERROR(__xludf.DUMMYFUNCTION("IF(E299&gt;AVERAGE(INDEX(GOOGLEFINANCE(B299,""volume"",WORKDAY(TODAY(),-$F$1),TODAY()),,2)),""Breakout"","""")"),"")</f>
        <v/>
      </c>
      <c r="H299" s="16">
        <f>IFERROR(__xludf.DUMMYFUNCTION("GOOGLEFINANCE(B299,""price"")"),3434.1)</f>
        <v>3434.1</v>
      </c>
      <c r="I299" s="17">
        <f>IFERROR(__xludf.DUMMYFUNCTION("AVERAGE(QUERY(SORT(GOOGLEFINANCE(B299,""price"",TODAY()-365,TODAY()),1,0),""select Col2 limit 10""))"),3401.13)</f>
        <v>3401.13</v>
      </c>
      <c r="J299" s="17">
        <f>IFERROR(__xludf.DUMMYFUNCTION("AVERAGE(QUERY(SORT(GOOGLEFINANCE(B299,""price"",TODAY()-365,TODAY()),1,0),""select Col2 limit 30""))"),3337.5200000000013)</f>
        <v>3337.52</v>
      </c>
      <c r="K299" s="18">
        <f>IFERROR(__xludf.DUMMYFUNCTION("AVERAGE(QUERY(SORT(GOOGLEFINANCE(B299,""price"",TODAY()-365,TODAY()),1,0),""select Col2 limit 60""))"),3346.9683333333337)</f>
        <v>3346.968333</v>
      </c>
      <c r="L299" s="17">
        <f>IFERROR(__xludf.DUMMYFUNCTION("AVERAGE(QUERY(SORT(GOOGLEFINANCE(B299,""price"",TODAY()-365,TODAY()),1,0),""select Col2 limit 90""))"),3308.862777777779)</f>
        <v>3308.862778</v>
      </c>
      <c r="M299" s="17">
        <f>IFERROR(__xludf.DUMMYFUNCTION("AVERAGE(QUERY(SORT(GOOGLEFINANCE(B299,""price"",TODAY()-365,TODAY()),1,0),""select Col2 limit 120""))"),3253.938750000001)</f>
        <v>3253.93875</v>
      </c>
      <c r="N299" s="19">
        <f>IFERROR(__xludf.DUMMYFUNCTION("AVERAGE(QUERY(SORT(GOOGLEFINANCE(B299,""price"",TODAY()-365,TODAY()),1,0),""select Col2 limit 200""))"),3368.3520000000026)</f>
        <v>3368.352</v>
      </c>
      <c r="O299" s="20" t="str">
        <f t="shared" si="2"/>
        <v>Avoid</v>
      </c>
      <c r="P299" s="21" t="str">
        <f t="shared" si="3"/>
        <v/>
      </c>
      <c r="Q299" s="21" t="str">
        <f t="shared" si="4"/>
        <v/>
      </c>
      <c r="R299" s="22">
        <f>IFERROR(__xludf.DUMMYFUNCTION("GOOGLEFINANCE(B299, ""pe"")
"),33.62)</f>
        <v>33.62</v>
      </c>
    </row>
    <row r="300">
      <c r="A300" s="9" t="s">
        <v>312</v>
      </c>
      <c r="B300" s="11" t="str">
        <f t="shared" si="1"/>
        <v>NSE:PSB</v>
      </c>
      <c r="C300" s="12">
        <f>IFERROR(__xludf.DUMMYFUNCTION("GOOGLEFINANCE(B300,""marketcap"")/10000000"),21229.9903741)</f>
        <v>21229.99037</v>
      </c>
      <c r="D300" s="13">
        <f>IFERROR(__xludf.DUMMYFUNCTION("GOOGLEFINANCE(B300,""price"")"),29.92)</f>
        <v>29.92</v>
      </c>
      <c r="E300" s="14">
        <f>IFERROR(__xludf.DUMMYFUNCTION("GOOGLEFINANCE(B300,""Volume"")"),670298.0)</f>
        <v>670298</v>
      </c>
      <c r="F300" s="14">
        <f t="array" ref="F300">F299</f>
        <v>14</v>
      </c>
      <c r="G300" s="15" t="str">
        <f>IFERROR(__xludf.DUMMYFUNCTION("IF(E300&gt;AVERAGE(INDEX(GOOGLEFINANCE(B300,""volume"",WORKDAY(TODAY(),-$F$1),TODAY()),,2)),""Breakout"","""")"),"")</f>
        <v/>
      </c>
      <c r="H300" s="16">
        <f>IFERROR(__xludf.DUMMYFUNCTION("GOOGLEFINANCE(B300,""price"")"),29.92)</f>
        <v>29.92</v>
      </c>
      <c r="I300" s="17">
        <f>IFERROR(__xludf.DUMMYFUNCTION("AVERAGE(QUERY(SORT(GOOGLEFINANCE(B300,""price"",TODAY()-365,TODAY()),1,0),""select Col2 limit 10""))"),31.651999999999994)</f>
        <v>31.652</v>
      </c>
      <c r="J300" s="17">
        <f>IFERROR(__xludf.DUMMYFUNCTION("AVERAGE(QUERY(SORT(GOOGLEFINANCE(B300,""price"",TODAY()-365,TODAY()),1,0),""select Col2 limit 30""))"),31.55233333333333)</f>
        <v>31.55233333</v>
      </c>
      <c r="K300" s="18">
        <f>IFERROR(__xludf.DUMMYFUNCTION("AVERAGE(QUERY(SORT(GOOGLEFINANCE(B300,""price"",TODAY()-365,TODAY()),1,0),""select Col2 limit 60""))"),31.163000000000004)</f>
        <v>31.163</v>
      </c>
      <c r="L300" s="17">
        <f>IFERROR(__xludf.DUMMYFUNCTION("AVERAGE(QUERY(SORT(GOOGLEFINANCE(B300,""price"",TODAY()-365,TODAY()),1,0),""select Col2 limit 90""))"),31.99044444444445)</f>
        <v>31.99044444</v>
      </c>
      <c r="M300" s="17">
        <f>IFERROR(__xludf.DUMMYFUNCTION("AVERAGE(QUERY(SORT(GOOGLEFINANCE(B300,""price"",TODAY()-365,TODAY()),1,0),""select Col2 limit 120""))"),34.84808333333334)</f>
        <v>34.84808333</v>
      </c>
      <c r="N300" s="19">
        <f>IFERROR(__xludf.DUMMYFUNCTION("AVERAGE(QUERY(SORT(GOOGLEFINANCE(B300,""price"",TODAY()-365,TODAY()),1,0),""select Col2 limit 200""))"),40.872)</f>
        <v>40.872</v>
      </c>
      <c r="O300" s="20" t="str">
        <f t="shared" si="2"/>
        <v>Avoid</v>
      </c>
      <c r="P300" s="21" t="str">
        <f t="shared" si="3"/>
        <v/>
      </c>
      <c r="Q300" s="21" t="str">
        <f t="shared" si="4"/>
        <v/>
      </c>
      <c r="R300" s="22">
        <f>IFERROR(__xludf.DUMMYFUNCTION("GOOGLEFINANCE(B300, ""pe"")
"),18.62)</f>
        <v>18.62</v>
      </c>
    </row>
    <row r="301">
      <c r="A301" s="9" t="s">
        <v>313</v>
      </c>
      <c r="B301" s="11" t="str">
        <f t="shared" si="1"/>
        <v>NSE:3MINDIA</v>
      </c>
      <c r="C301" s="12">
        <f>IFERROR(__xludf.DUMMYFUNCTION("GOOGLEFINANCE(B301,""marketcap"")/10000000"),35180.78238)</f>
        <v>35180.78238</v>
      </c>
      <c r="D301" s="13">
        <f>IFERROR(__xludf.DUMMYFUNCTION("GOOGLEFINANCE(B301,""price"")"),31245.0)</f>
        <v>31245</v>
      </c>
      <c r="E301" s="14">
        <f>IFERROR(__xludf.DUMMYFUNCTION("GOOGLEFINANCE(B301,""Volume"")"),4039.0)</f>
        <v>4039</v>
      </c>
      <c r="F301" s="14">
        <f t="array" ref="F301">F300</f>
        <v>14</v>
      </c>
      <c r="G301" s="15" t="str">
        <f>IFERROR(__xludf.DUMMYFUNCTION("IF(E301&gt;AVERAGE(INDEX(GOOGLEFINANCE(B301,""volume"",WORKDAY(TODAY(),-$F$1),TODAY()),,2)),""Breakout"","""")"),"")</f>
        <v/>
      </c>
      <c r="H301" s="16">
        <f>IFERROR(__xludf.DUMMYFUNCTION("GOOGLEFINANCE(B301,""price"")"),31245.0)</f>
        <v>31245</v>
      </c>
      <c r="I301" s="17">
        <f>IFERROR(__xludf.DUMMYFUNCTION("AVERAGE(QUERY(SORT(GOOGLEFINANCE(B301,""price"",TODAY()-365,TODAY()),1,0),""select Col2 limit 10""))"),30528.5)</f>
        <v>30528.5</v>
      </c>
      <c r="J301" s="17">
        <f>IFERROR(__xludf.DUMMYFUNCTION("AVERAGE(QUERY(SORT(GOOGLEFINANCE(B301,""price"",TODAY()-365,TODAY()),1,0),""select Col2 limit 30""))"),29449.0)</f>
        <v>29449</v>
      </c>
      <c r="K301" s="18">
        <f>IFERROR(__xludf.DUMMYFUNCTION("AVERAGE(QUERY(SORT(GOOGLEFINANCE(B301,""price"",TODAY()-365,TODAY()),1,0),""select Col2 limit 60""))"),29486.916666666668)</f>
        <v>29486.91667</v>
      </c>
      <c r="L301" s="17">
        <f>IFERROR(__xludf.DUMMYFUNCTION("AVERAGE(QUERY(SORT(GOOGLEFINANCE(B301,""price"",TODAY()-365,TODAY()),1,0),""select Col2 limit 90""))"),29321.21777777778)</f>
        <v>29321.21778</v>
      </c>
      <c r="M301" s="17">
        <f>IFERROR(__xludf.DUMMYFUNCTION("AVERAGE(QUERY(SORT(GOOGLEFINANCE(B301,""price"",TODAY()-365,TODAY()),1,0),""select Col2 limit 120""))"),28910.202499999996)</f>
        <v>28910.2025</v>
      </c>
      <c r="N301" s="19">
        <f>IFERROR(__xludf.DUMMYFUNCTION("AVERAGE(QUERY(SORT(GOOGLEFINANCE(B301,""price"",TODAY()-365,TODAY()),1,0),""select Col2 limit 200""))"),30175.50374999998)</f>
        <v>30175.50375</v>
      </c>
      <c r="O301" s="20" t="str">
        <f t="shared" si="2"/>
        <v>Avoid</v>
      </c>
      <c r="P301" s="21" t="str">
        <f t="shared" si="3"/>
        <v/>
      </c>
      <c r="Q301" s="21" t="str">
        <f t="shared" si="4"/>
        <v/>
      </c>
      <c r="R301" s="22">
        <f>IFERROR(__xludf.DUMMYFUNCTION("GOOGLEFINANCE(B301, ""pe"")
"),73.9)</f>
        <v>73.9</v>
      </c>
    </row>
    <row r="302">
      <c r="A302" s="9" t="s">
        <v>314</v>
      </c>
      <c r="B302" s="11" t="str">
        <f t="shared" si="1"/>
        <v>NSE:GUJGASLTD</v>
      </c>
      <c r="C302" s="12">
        <f>IFERROR(__xludf.DUMMYFUNCTION("GOOGLEFINANCE(B302,""marketcap"")/10000000"),31621.1996636)</f>
        <v>31621.19966</v>
      </c>
      <c r="D302" s="13">
        <f>IFERROR(__xludf.DUMMYFUNCTION("GOOGLEFINANCE(B302,""price"")"),459.6)</f>
        <v>459.6</v>
      </c>
      <c r="E302" s="14">
        <f>IFERROR(__xludf.DUMMYFUNCTION("GOOGLEFINANCE(B302,""Volume"")"),59736.0)</f>
        <v>59736</v>
      </c>
      <c r="F302" s="14">
        <f t="array" ref="F302">F301</f>
        <v>14</v>
      </c>
      <c r="G302" s="15" t="str">
        <f>IFERROR(__xludf.DUMMYFUNCTION("IF(E302&gt;AVERAGE(INDEX(GOOGLEFINANCE(B302,""volume"",WORKDAY(TODAY(),-$F$1),TODAY()),,2)),""Breakout"","""")"),"")</f>
        <v/>
      </c>
      <c r="H302" s="16">
        <f>IFERROR(__xludf.DUMMYFUNCTION("GOOGLEFINANCE(B302,""price"")"),459.6)</f>
        <v>459.6</v>
      </c>
      <c r="I302" s="17">
        <f>IFERROR(__xludf.DUMMYFUNCTION("AVERAGE(QUERY(SORT(GOOGLEFINANCE(B302,""price"",TODAY()-365,TODAY()),1,0),""select Col2 limit 10""))"),470.06499999999994)</f>
        <v>470.065</v>
      </c>
      <c r="J302" s="17">
        <f>IFERROR(__xludf.DUMMYFUNCTION("AVERAGE(QUERY(SORT(GOOGLEFINANCE(B302,""price"",TODAY()-365,TODAY()),1,0),""select Col2 limit 30""))"),470.9916666666667)</f>
        <v>470.9916667</v>
      </c>
      <c r="K302" s="18">
        <f>IFERROR(__xludf.DUMMYFUNCTION("AVERAGE(QUERY(SORT(GOOGLEFINANCE(B302,""price"",TODAY()-365,TODAY()),1,0),""select Col2 limit 60""))"),468.8641666666668)</f>
        <v>468.8641667</v>
      </c>
      <c r="L302" s="17">
        <f>IFERROR(__xludf.DUMMYFUNCTION("AVERAGE(QUERY(SORT(GOOGLEFINANCE(B302,""price"",TODAY()-365,TODAY()),1,0),""select Col2 limit 90""))"),453.5122222222225)</f>
        <v>453.5122222</v>
      </c>
      <c r="M302" s="17">
        <f>IFERROR(__xludf.DUMMYFUNCTION("AVERAGE(QUERY(SORT(GOOGLEFINANCE(B302,""price"",TODAY()-365,TODAY()),1,0),""select Col2 limit 120""))"),443.7808333333336)</f>
        <v>443.7808333</v>
      </c>
      <c r="N302" s="19">
        <f>IFERROR(__xludf.DUMMYFUNCTION("AVERAGE(QUERY(SORT(GOOGLEFINANCE(B302,""price"",TODAY()-365,TODAY()),1,0),""select Col2 limit 200""))"),472.35750000000013)</f>
        <v>472.3575</v>
      </c>
      <c r="O302" s="20" t="str">
        <f t="shared" si="2"/>
        <v>Avoid</v>
      </c>
      <c r="P302" s="21" t="str">
        <f t="shared" si="3"/>
        <v/>
      </c>
      <c r="Q302" s="21" t="str">
        <f t="shared" si="4"/>
        <v/>
      </c>
      <c r="R302" s="22">
        <f>IFERROR(__xludf.DUMMYFUNCTION("GOOGLEFINANCE(B302, ""pe"")
"),27.54)</f>
        <v>27.54</v>
      </c>
    </row>
    <row r="303">
      <c r="A303" s="9" t="s">
        <v>315</v>
      </c>
      <c r="B303" s="11" t="str">
        <f t="shared" si="1"/>
        <v>NSE:LICHSGFIN</v>
      </c>
      <c r="C303" s="12">
        <f>IFERROR(__xludf.DUMMYFUNCTION("GOOGLEFINANCE(B303,""marketcap"")/10000000"),32915.878065)</f>
        <v>32915.87807</v>
      </c>
      <c r="D303" s="13">
        <f>IFERROR(__xludf.DUMMYFUNCTION("GOOGLEFINANCE(B303,""price"")"),598.5)</f>
        <v>598.5</v>
      </c>
      <c r="E303" s="14">
        <f>IFERROR(__xludf.DUMMYFUNCTION("GOOGLEFINANCE(B303,""Volume"")"),460546.0)</f>
        <v>460546</v>
      </c>
      <c r="F303" s="14">
        <f t="array" ref="F303">F302</f>
        <v>14</v>
      </c>
      <c r="G303" s="15" t="str">
        <f>IFERROR(__xludf.DUMMYFUNCTION("IF(E303&gt;AVERAGE(INDEX(GOOGLEFINANCE(B303,""volume"",WORKDAY(TODAY(),-$F$1),TODAY()),,2)),""Breakout"","""")"),"")</f>
        <v/>
      </c>
      <c r="H303" s="16">
        <f>IFERROR(__xludf.DUMMYFUNCTION("GOOGLEFINANCE(B303,""price"")"),598.5)</f>
        <v>598.5</v>
      </c>
      <c r="I303" s="17">
        <f>IFERROR(__xludf.DUMMYFUNCTION("AVERAGE(QUERY(SORT(GOOGLEFINANCE(B303,""price"",TODAY()-365,TODAY()),1,0),""select Col2 limit 10""))"),621.47)</f>
        <v>621.47</v>
      </c>
      <c r="J303" s="17">
        <f>IFERROR(__xludf.DUMMYFUNCTION("AVERAGE(QUERY(SORT(GOOGLEFINANCE(B303,""price"",TODAY()-365,TODAY()),1,0),""select Col2 limit 30""))"),610.9116666666666)</f>
        <v>610.9116667</v>
      </c>
      <c r="K303" s="18">
        <f>IFERROR(__xludf.DUMMYFUNCTION("AVERAGE(QUERY(SORT(GOOGLEFINANCE(B303,""price"",TODAY()-365,TODAY()),1,0),""select Col2 limit 60""))"),606.6758333333333)</f>
        <v>606.6758333</v>
      </c>
      <c r="L303" s="17">
        <f>IFERROR(__xludf.DUMMYFUNCTION("AVERAGE(QUERY(SORT(GOOGLEFINANCE(B303,""price"",TODAY()-365,TODAY()),1,0),""select Col2 limit 90""))"),596.7738888888888)</f>
        <v>596.7738889</v>
      </c>
      <c r="M303" s="17">
        <f>IFERROR(__xludf.DUMMYFUNCTION("AVERAGE(QUERY(SORT(GOOGLEFINANCE(B303,""price"",TODAY()-365,TODAY()),1,0),""select Col2 limit 120""))"),582.8895833333335)</f>
        <v>582.8895833</v>
      </c>
      <c r="N303" s="19">
        <f>IFERROR(__xludf.DUMMYFUNCTION("AVERAGE(QUERY(SORT(GOOGLEFINANCE(B303,""price"",TODAY()-365,TODAY()),1,0),""select Col2 limit 200""))"),592.0012500000003)</f>
        <v>592.00125</v>
      </c>
      <c r="O303" s="20" t="str">
        <f t="shared" si="2"/>
        <v>Avoid</v>
      </c>
      <c r="P303" s="21" t="str">
        <f t="shared" si="3"/>
        <v/>
      </c>
      <c r="Q303" s="21" t="str">
        <f t="shared" si="4"/>
        <v/>
      </c>
      <c r="R303" s="22">
        <f>IFERROR(__xludf.DUMMYFUNCTION("GOOGLEFINANCE(B303, ""pe"")
"),6.05)</f>
        <v>6.05</v>
      </c>
    </row>
    <row r="304">
      <c r="A304" s="9" t="s">
        <v>316</v>
      </c>
      <c r="B304" s="11" t="str">
        <f t="shared" si="1"/>
        <v>NSE:AWL</v>
      </c>
      <c r="C304" s="12">
        <f>IFERROR(__xludf.DUMMYFUNCTION("GOOGLEFINANCE(B304,""marketcap"")/10000000"),34771.8468711)</f>
        <v>34771.84687</v>
      </c>
      <c r="D304" s="13">
        <f>IFERROR(__xludf.DUMMYFUNCTION("GOOGLEFINANCE(B304,""price"")"),268.9)</f>
        <v>268.9</v>
      </c>
      <c r="E304" s="14">
        <f>IFERROR(__xludf.DUMMYFUNCTION("GOOGLEFINANCE(B304,""Volume"")"),826677.0)</f>
        <v>826677</v>
      </c>
      <c r="F304" s="14">
        <f t="array" ref="F304">F303</f>
        <v>14</v>
      </c>
      <c r="G304" s="15" t="str">
        <f>IFERROR(__xludf.DUMMYFUNCTION("IF(E304&gt;AVERAGE(INDEX(GOOGLEFINANCE(B304,""volume"",WORKDAY(TODAY(),-$F$1),TODAY()),,2)),""Breakout"","""")"),"#N/A")</f>
        <v>#N/A</v>
      </c>
      <c r="H304" s="16">
        <f>IFERROR(__xludf.DUMMYFUNCTION("GOOGLEFINANCE(B304,""price"")"),268.9)</f>
        <v>268.9</v>
      </c>
      <c r="I304" s="17">
        <f>IFERROR(__xludf.DUMMYFUNCTION("AVERAGE(QUERY(SORT(GOOGLEFINANCE(B304,""price"",TODAY()-365,TODAY()),1,0),""select Col2 limit 10""))"),270.62500000000006)</f>
        <v>270.625</v>
      </c>
      <c r="J304" s="17">
        <f>IFERROR(__xludf.DUMMYFUNCTION("AVERAGE(QUERY(SORT(GOOGLEFINANCE(B304,""price"",TODAY()-365,TODAY()),1,0),""select Col2 limit 30""))"),264.95500000000004)</f>
        <v>264.955</v>
      </c>
      <c r="K304" s="18">
        <f>IFERROR(__xludf.DUMMYFUNCTION("AVERAGE(QUERY(SORT(GOOGLEFINANCE(B304,""price"",TODAY()-365,TODAY()),1,0),""select Col2 limit 60""))"),265.5400000000001)</f>
        <v>265.54</v>
      </c>
      <c r="L304" s="17">
        <f>IFERROR(__xludf.DUMMYFUNCTION("AVERAGE(QUERY(SORT(GOOGLEFINANCE(B304,""price"",TODAY()-365,TODAY()),1,0),""select Col2 limit 90""))"),265.3821111111111)</f>
        <v>265.3821111</v>
      </c>
      <c r="M304" s="17">
        <f>IFERROR(__xludf.DUMMYFUNCTION("AVERAGE(QUERY(SORT(GOOGLEFINANCE(B304,""price"",TODAY()-365,TODAY()),1,0),""select Col2 limit 120""))"),263.14775)</f>
        <v>263.14775</v>
      </c>
      <c r="N304" s="19">
        <f>IFERROR(__xludf.DUMMYFUNCTION("AVERAGE(QUERY(SORT(GOOGLEFINANCE(B304,""price"",TODAY()-365,TODAY()),1,0),""select Col2 limit 200""))"),285.64539999999994)</f>
        <v>285.6454</v>
      </c>
      <c r="O304" s="20" t="str">
        <f t="shared" si="2"/>
        <v>Avoid</v>
      </c>
      <c r="P304" s="21" t="str">
        <f t="shared" si="3"/>
        <v>10 DMA</v>
      </c>
      <c r="Q304" s="21" t="str">
        <f t="shared" si="4"/>
        <v/>
      </c>
      <c r="R304" s="22">
        <f>IFERROR(__xludf.DUMMYFUNCTION("GOOGLEFINANCE(B304, ""pe"")
"),30.35)</f>
        <v>30.35</v>
      </c>
    </row>
    <row r="305">
      <c r="A305" s="9" t="s">
        <v>317</v>
      </c>
      <c r="B305" s="11" t="str">
        <f t="shared" si="1"/>
        <v>NSE:APLAPOLLO</v>
      </c>
      <c r="C305" s="12">
        <f>IFERROR(__xludf.DUMMYFUNCTION("GOOGLEFINANCE(B305,""marketcap"")/10000000"),41531.541425)</f>
        <v>41531.54143</v>
      </c>
      <c r="D305" s="13">
        <f>IFERROR(__xludf.DUMMYFUNCTION("GOOGLEFINANCE(B305,""price"")"),1498.0)</f>
        <v>1498</v>
      </c>
      <c r="E305" s="14">
        <f>IFERROR(__xludf.DUMMYFUNCTION("GOOGLEFINANCE(B305,""Volume"")"),1718801.0)</f>
        <v>1718801</v>
      </c>
      <c r="F305" s="14">
        <f t="array" ref="F305">F304</f>
        <v>14</v>
      </c>
      <c r="G305" s="15" t="str">
        <f>IFERROR(__xludf.DUMMYFUNCTION("IF(E305&gt;AVERAGE(INDEX(GOOGLEFINANCE(B305,""volume"",WORKDAY(TODAY(),-$F$1),TODAY()),,2)),""Breakout"","""")"),"Breakout")</f>
        <v>Breakout</v>
      </c>
      <c r="H305" s="16">
        <f>IFERROR(__xludf.DUMMYFUNCTION("GOOGLEFINANCE(B305,""price"")"),1498.0)</f>
        <v>1498</v>
      </c>
      <c r="I305" s="17" t="str">
        <f>IFERROR(__xludf.DUMMYFUNCTION("AVERAGE(QUERY(SORT(GOOGLEFINANCE(B305,""price"",TODAY()-365,TODAY()),1,0),""select Col2 limit 10""))"),"#N/A")</f>
        <v>#N/A</v>
      </c>
      <c r="J305" s="17" t="str">
        <f>IFERROR(__xludf.DUMMYFUNCTION("AVERAGE(QUERY(SORT(GOOGLEFINANCE(B305,""price"",TODAY()-365,TODAY()),1,0),""select Col2 limit 30""))"),"#N/A")</f>
        <v>#N/A</v>
      </c>
      <c r="K305" s="18" t="str">
        <f>IFERROR(__xludf.DUMMYFUNCTION("AVERAGE(QUERY(SORT(GOOGLEFINANCE(B305,""price"",TODAY()-365,TODAY()),1,0),""select Col2 limit 60""))"),"#N/A")</f>
        <v>#N/A</v>
      </c>
      <c r="L305" s="17" t="str">
        <f>IFERROR(__xludf.DUMMYFUNCTION("AVERAGE(QUERY(SORT(GOOGLEFINANCE(B305,""price"",TODAY()-365,TODAY()),1,0),""select Col2 limit 90""))"),"#N/A")</f>
        <v>#N/A</v>
      </c>
      <c r="M305" s="17" t="str">
        <f>IFERROR(__xludf.DUMMYFUNCTION("AVERAGE(QUERY(SORT(GOOGLEFINANCE(B305,""price"",TODAY()-365,TODAY()),1,0),""select Col2 limit 120""))"),"#N/A")</f>
        <v>#N/A</v>
      </c>
      <c r="N305" s="19" t="str">
        <f>IFERROR(__xludf.DUMMYFUNCTION("AVERAGE(QUERY(SORT(GOOGLEFINANCE(B305,""price"",TODAY()-365,TODAY()),1,0),""select Col2 limit 200""))"),"#N/A")</f>
        <v>#N/A</v>
      </c>
      <c r="O305" s="20" t="str">
        <f t="shared" si="2"/>
        <v>#N/A</v>
      </c>
      <c r="P305" s="21" t="str">
        <f t="shared" si="3"/>
        <v>#N/A</v>
      </c>
      <c r="Q305" s="21" t="str">
        <f t="shared" si="4"/>
        <v>#N/A</v>
      </c>
      <c r="R305" s="22">
        <f>IFERROR(__xludf.DUMMYFUNCTION("GOOGLEFINANCE(B305, ""pe"")
"),52.04)</f>
        <v>52.04</v>
      </c>
    </row>
    <row r="306">
      <c r="A306" s="9" t="s">
        <v>318</v>
      </c>
      <c r="B306" s="11" t="str">
        <f t="shared" si="1"/>
        <v>NSE:GET&amp;D</v>
      </c>
      <c r="C306" s="12" t="str">
        <f>IFERROR(__xludf.DUMMYFUNCTION("GOOGLEFINANCE(B306,""marketcap"")/10000000"),"#N/A")</f>
        <v>#N/A</v>
      </c>
      <c r="D306" s="13" t="str">
        <f>IFERROR(__xludf.DUMMYFUNCTION("GOOGLEFINANCE(B306,""price"")"),"#N/A")</f>
        <v>#N/A</v>
      </c>
      <c r="E306" s="14" t="str">
        <f>IFERROR(__xludf.DUMMYFUNCTION("GOOGLEFINANCE(B306,""Volume"")"),"#N/A")</f>
        <v>#N/A</v>
      </c>
      <c r="F306" s="14">
        <f t="array" ref="F306">F305</f>
        <v>14</v>
      </c>
      <c r="G306" s="15" t="str">
        <f>IFERROR(__xludf.DUMMYFUNCTION("IF(E306&gt;AVERAGE(INDEX(GOOGLEFINANCE(B306,""volume"",WORKDAY(TODAY(),-$F$1),TODAY()),,2)),""Breakout"","""")"),"#N/A")</f>
        <v>#N/A</v>
      </c>
      <c r="H306" s="16" t="str">
        <f>IFERROR(__xludf.DUMMYFUNCTION("GOOGLEFINANCE(B306,""price"")"),"#N/A")</f>
        <v>#N/A</v>
      </c>
      <c r="I306" s="17" t="str">
        <f>IFERROR(__xludf.DUMMYFUNCTION("AVERAGE(QUERY(SORT(GOOGLEFINANCE(B306,""price"",TODAY()-365,TODAY()),1,0),""select Col2 limit 10""))"),"#N/A")</f>
        <v>#N/A</v>
      </c>
      <c r="J306" s="17" t="str">
        <f>IFERROR(__xludf.DUMMYFUNCTION("AVERAGE(QUERY(SORT(GOOGLEFINANCE(B306,""price"",TODAY()-365,TODAY()),1,0),""select Col2 limit 30""))"),"#N/A")</f>
        <v>#N/A</v>
      </c>
      <c r="K306" s="18" t="str">
        <f>IFERROR(__xludf.DUMMYFUNCTION("AVERAGE(QUERY(SORT(GOOGLEFINANCE(B306,""price"",TODAY()-365,TODAY()),1,0),""select Col2 limit 60""))"),"#N/A")</f>
        <v>#N/A</v>
      </c>
      <c r="L306" s="17" t="str">
        <f>IFERROR(__xludf.DUMMYFUNCTION("AVERAGE(QUERY(SORT(GOOGLEFINANCE(B306,""price"",TODAY()-365,TODAY()),1,0),""select Col2 limit 90""))"),"#N/A")</f>
        <v>#N/A</v>
      </c>
      <c r="M306" s="17" t="str">
        <f>IFERROR(__xludf.DUMMYFUNCTION("AVERAGE(QUERY(SORT(GOOGLEFINANCE(B306,""price"",TODAY()-365,TODAY()),1,0),""select Col2 limit 120""))"),"#N/A")</f>
        <v>#N/A</v>
      </c>
      <c r="N306" s="19" t="str">
        <f>IFERROR(__xludf.DUMMYFUNCTION("AVERAGE(QUERY(SORT(GOOGLEFINANCE(B306,""price"",TODAY()-365,TODAY()),1,0),""select Col2 limit 200""))"),"#N/A")</f>
        <v>#N/A</v>
      </c>
      <c r="O306" s="20" t="str">
        <f t="shared" si="2"/>
        <v>#N/A</v>
      </c>
      <c r="P306" s="21" t="str">
        <f t="shared" si="3"/>
        <v>#N/A</v>
      </c>
      <c r="Q306" s="21" t="str">
        <f t="shared" si="4"/>
        <v>#N/A</v>
      </c>
      <c r="R306" s="22" t="str">
        <f>IFERROR(__xludf.DUMMYFUNCTION("GOOGLEFINANCE(B306, ""pe"")
"),"#N/A")</f>
        <v>#N/A</v>
      </c>
    </row>
    <row r="307">
      <c r="A307" s="9" t="s">
        <v>319</v>
      </c>
      <c r="B307" s="11" t="str">
        <f t="shared" si="1"/>
        <v>NSE:UPL</v>
      </c>
      <c r="C307" s="12">
        <f>IFERROR(__xludf.DUMMYFUNCTION("GOOGLEFINANCE(B307,""marketcap"")/10000000"),59494.8859688)</f>
        <v>59494.88597</v>
      </c>
      <c r="D307" s="13">
        <f>IFERROR(__xludf.DUMMYFUNCTION("GOOGLEFINANCE(B307,""price"")"),729.8)</f>
        <v>729.8</v>
      </c>
      <c r="E307" s="14">
        <f>IFERROR(__xludf.DUMMYFUNCTION("GOOGLEFINANCE(B307,""Volume"")"),1637921.0)</f>
        <v>1637921</v>
      </c>
      <c r="F307" s="14">
        <f t="array" ref="F307">F306</f>
        <v>14</v>
      </c>
      <c r="G307" s="15" t="str">
        <f>IFERROR(__xludf.DUMMYFUNCTION("IF(E307&gt;AVERAGE(INDEX(GOOGLEFINANCE(B307,""volume"",WORKDAY(TODAY(),-$F$1),TODAY()),,2)),""Breakout"","""")"),"")</f>
        <v/>
      </c>
      <c r="H307" s="16">
        <f>IFERROR(__xludf.DUMMYFUNCTION("GOOGLEFINANCE(B307,""price"")"),729.8)</f>
        <v>729.8</v>
      </c>
      <c r="I307" s="17">
        <f>IFERROR(__xludf.DUMMYFUNCTION("AVERAGE(QUERY(SORT(GOOGLEFINANCE(B307,""price"",TODAY()-365,TODAY()),1,0),""select Col2 limit 10""))"),699.6949999999999)</f>
        <v>699.695</v>
      </c>
      <c r="J307" s="17">
        <f>IFERROR(__xludf.DUMMYFUNCTION("AVERAGE(QUERY(SORT(GOOGLEFINANCE(B307,""price"",TODAY()-365,TODAY()),1,0),""select Col2 limit 30""))"),670.2683333333332)</f>
        <v>670.2683333</v>
      </c>
      <c r="K307" s="18">
        <f>IFERROR(__xludf.DUMMYFUNCTION("AVERAGE(QUERY(SORT(GOOGLEFINANCE(B307,""price"",TODAY()-365,TODAY()),1,0),""select Col2 limit 60""))"),657.4808333333332)</f>
        <v>657.4808333</v>
      </c>
      <c r="L307" s="17">
        <f>IFERROR(__xludf.DUMMYFUNCTION("AVERAGE(QUERY(SORT(GOOGLEFINANCE(B307,""price"",TODAY()-365,TODAY()),1,0),""select Col2 limit 90""))"),655.5161111111108)</f>
        <v>655.5161111</v>
      </c>
      <c r="M307" s="17">
        <f>IFERROR(__xludf.DUMMYFUNCTION("AVERAGE(QUERY(SORT(GOOGLEFINANCE(B307,""price"",TODAY()-365,TODAY()),1,0),""select Col2 limit 120""))"),648.0016666666666)</f>
        <v>648.0016667</v>
      </c>
      <c r="N307" s="19">
        <f>IFERROR(__xludf.DUMMYFUNCTION("AVERAGE(QUERY(SORT(GOOGLEFINANCE(B307,""price"",TODAY()-365,TODAY()),1,0),""select Col2 limit 200""))"),602.9993999999997)</f>
        <v>602.9994</v>
      </c>
      <c r="O307" s="20" t="str">
        <f t="shared" si="2"/>
        <v>Avoid</v>
      </c>
      <c r="P307" s="21" t="str">
        <f t="shared" si="3"/>
        <v/>
      </c>
      <c r="Q307" s="21" t="str">
        <f t="shared" si="4"/>
        <v/>
      </c>
      <c r="R307" s="22">
        <f>IFERROR(__xludf.DUMMYFUNCTION("GOOGLEFINANCE(B307, ""pe"")
"),75.89)</f>
        <v>75.89</v>
      </c>
    </row>
    <row r="308">
      <c r="A308" s="9" t="s">
        <v>320</v>
      </c>
      <c r="B308" s="11" t="str">
        <f t="shared" si="1"/>
        <v>NSE:SONACOMS</v>
      </c>
      <c r="C308" s="12">
        <f>IFERROR(__xludf.DUMMYFUNCTION("GOOGLEFINANCE(B308,""marketcap"")/10000000"),29342.1186344)</f>
        <v>29342.11863</v>
      </c>
      <c r="D308" s="13">
        <f>IFERROR(__xludf.DUMMYFUNCTION("GOOGLEFINANCE(B308,""price"")"),471.75)</f>
        <v>471.75</v>
      </c>
      <c r="E308" s="14">
        <f>IFERROR(__xludf.DUMMYFUNCTION("GOOGLEFINANCE(B308,""Volume"")"),985112.0)</f>
        <v>985112</v>
      </c>
      <c r="F308" s="14">
        <f t="array" ref="F308">F307</f>
        <v>14</v>
      </c>
      <c r="G308" s="15" t="str">
        <f>IFERROR(__xludf.DUMMYFUNCTION("IF(E308&gt;AVERAGE(INDEX(GOOGLEFINANCE(B308,""volume"",WORKDAY(TODAY(),-$F$1),TODAY()),,2)),""Breakout"","""")"),"")</f>
        <v/>
      </c>
      <c r="H308" s="16">
        <f>IFERROR(__xludf.DUMMYFUNCTION("GOOGLEFINANCE(B308,""price"")"),471.75)</f>
        <v>471.75</v>
      </c>
      <c r="I308" s="17">
        <f>IFERROR(__xludf.DUMMYFUNCTION("AVERAGE(QUERY(SORT(GOOGLEFINANCE(B308,""price"",TODAY()-365,TODAY()),1,0),""select Col2 limit 10""))"),473.85)</f>
        <v>473.85</v>
      </c>
      <c r="J308" s="17">
        <f>IFERROR(__xludf.DUMMYFUNCTION("AVERAGE(QUERY(SORT(GOOGLEFINANCE(B308,""price"",TODAY()-365,TODAY()),1,0),""select Col2 limit 30""))"),474.65)</f>
        <v>474.65</v>
      </c>
      <c r="K308" s="18">
        <f>IFERROR(__xludf.DUMMYFUNCTION("AVERAGE(QUERY(SORT(GOOGLEFINANCE(B308,""price"",TODAY()-365,TODAY()),1,0),""select Col2 limit 60""))"),499.8475)</f>
        <v>499.8475</v>
      </c>
      <c r="L308" s="17">
        <f>IFERROR(__xludf.DUMMYFUNCTION("AVERAGE(QUERY(SORT(GOOGLEFINANCE(B308,""price"",TODAY()-365,TODAY()),1,0),""select Col2 limit 90""))"),488.6033333333331)</f>
        <v>488.6033333</v>
      </c>
      <c r="M308" s="17">
        <f>IFERROR(__xludf.DUMMYFUNCTION("AVERAGE(QUERY(SORT(GOOGLEFINANCE(B308,""price"",TODAY()-365,TODAY()),1,0),""select Col2 limit 120""))"),493.02749999999986)</f>
        <v>493.0275</v>
      </c>
      <c r="N308" s="19">
        <f>IFERROR(__xludf.DUMMYFUNCTION("AVERAGE(QUERY(SORT(GOOGLEFINANCE(B308,""price"",TODAY()-365,TODAY()),1,0),""select Col2 limit 200""))"),549.1827499999998)</f>
        <v>549.18275</v>
      </c>
      <c r="O308" s="20" t="str">
        <f t="shared" si="2"/>
        <v>Avoid</v>
      </c>
      <c r="P308" s="21" t="str">
        <f t="shared" si="3"/>
        <v>10 DMA</v>
      </c>
      <c r="Q308" s="21" t="str">
        <f t="shared" si="4"/>
        <v>10 DMA cross best</v>
      </c>
      <c r="R308" s="22">
        <f>IFERROR(__xludf.DUMMYFUNCTION("GOOGLEFINANCE(B308, ""pe"")
"),47.61)</f>
        <v>47.61</v>
      </c>
    </row>
    <row r="309">
      <c r="A309" s="9" t="s">
        <v>321</v>
      </c>
      <c r="B309" s="11" t="str">
        <f t="shared" si="1"/>
        <v>NSE:TATATECH</v>
      </c>
      <c r="C309" s="12">
        <f>IFERROR(__xludf.DUMMYFUNCTION("GOOGLEFINANCE(B309,""marketcap"")/10000000"),28590.26981)</f>
        <v>28590.26981</v>
      </c>
      <c r="D309" s="13">
        <f>IFERROR(__xludf.DUMMYFUNCTION("GOOGLEFINANCE(B309,""price"")"),704.5)</f>
        <v>704.5</v>
      </c>
      <c r="E309" s="14">
        <f>IFERROR(__xludf.DUMMYFUNCTION("GOOGLEFINANCE(B309,""Volume"")"),409630.0)</f>
        <v>409630</v>
      </c>
      <c r="F309" s="14">
        <f t="array" ref="F309">F308</f>
        <v>14</v>
      </c>
      <c r="G309" s="15" t="str">
        <f>IFERROR(__xludf.DUMMYFUNCTION("IF(E309&gt;AVERAGE(INDEX(GOOGLEFINANCE(B309,""volume"",WORKDAY(TODAY(),-$F$1),TODAY()),,2)),""Breakout"","""")"),"")</f>
        <v/>
      </c>
      <c r="H309" s="16">
        <f>IFERROR(__xludf.DUMMYFUNCTION("GOOGLEFINANCE(B309,""price"")"),704.5)</f>
        <v>704.5</v>
      </c>
      <c r="I309" s="17">
        <f>IFERROR(__xludf.DUMMYFUNCTION("AVERAGE(QUERY(SORT(GOOGLEFINANCE(B309,""price"",TODAY()-365,TODAY()),1,0),""select Col2 limit 10""))"),719.5250000000001)</f>
        <v>719.525</v>
      </c>
      <c r="J309" s="17">
        <f>IFERROR(__xludf.DUMMYFUNCTION("AVERAGE(QUERY(SORT(GOOGLEFINANCE(B309,""price"",TODAY()-365,TODAY()),1,0),""select Col2 limit 30""))"),714.1216666666667)</f>
        <v>714.1216667</v>
      </c>
      <c r="K309" s="18">
        <f>IFERROR(__xludf.DUMMYFUNCTION("AVERAGE(QUERY(SORT(GOOGLEFINANCE(B309,""price"",TODAY()-365,TODAY()),1,0),""select Col2 limit 60""))"),726.9533333333331)</f>
        <v>726.9533333</v>
      </c>
      <c r="L309" s="17">
        <f>IFERROR(__xludf.DUMMYFUNCTION("AVERAGE(QUERY(SORT(GOOGLEFINANCE(B309,""price"",TODAY()-365,TODAY()),1,0),""select Col2 limit 90""))"),707.9211111111109)</f>
        <v>707.9211111</v>
      </c>
      <c r="M309" s="17">
        <f>IFERROR(__xludf.DUMMYFUNCTION("AVERAGE(QUERY(SORT(GOOGLEFINANCE(B309,""price"",TODAY()-365,TODAY()),1,0),""select Col2 limit 120""))"),712.2154166666664)</f>
        <v>712.2154167</v>
      </c>
      <c r="N309" s="19">
        <f>IFERROR(__xludf.DUMMYFUNCTION("AVERAGE(QUERY(SORT(GOOGLEFINANCE(B309,""price"",TODAY()-365,TODAY()),1,0),""select Col2 limit 200""))"),803.8534999999999)</f>
        <v>803.8535</v>
      </c>
      <c r="O309" s="20" t="str">
        <f t="shared" si="2"/>
        <v>Avoid</v>
      </c>
      <c r="P309" s="21" t="str">
        <f t="shared" si="3"/>
        <v>90 DMA</v>
      </c>
      <c r="Q309" s="21" t="str">
        <f t="shared" si="4"/>
        <v/>
      </c>
      <c r="R309" s="22">
        <f>IFERROR(__xludf.DUMMYFUNCTION("GOOGLEFINANCE(B309, ""pe"")
"),41.8)</f>
        <v>41.8</v>
      </c>
    </row>
    <row r="310">
      <c r="A310" s="9" t="s">
        <v>322</v>
      </c>
      <c r="B310" s="11" t="str">
        <f t="shared" si="1"/>
        <v>NSE:IRB</v>
      </c>
      <c r="C310" s="12">
        <f>IFERROR(__xludf.DUMMYFUNCTION("GOOGLEFINANCE(B310,""marketcap"")/10000000"),27658.6149592)</f>
        <v>27658.61496</v>
      </c>
      <c r="D310" s="13">
        <f>IFERROR(__xludf.DUMMYFUNCTION("GOOGLEFINANCE(B310,""price"")"),45.84)</f>
        <v>45.84</v>
      </c>
      <c r="E310" s="14">
        <f>IFERROR(__xludf.DUMMYFUNCTION("GOOGLEFINANCE(B310,""Volume"")"),3546867.0)</f>
        <v>3546867</v>
      </c>
      <c r="F310" s="14">
        <f t="array" ref="F310">F309</f>
        <v>14</v>
      </c>
      <c r="G310" s="15" t="str">
        <f>IFERROR(__xludf.DUMMYFUNCTION("IF(E310&gt;AVERAGE(INDEX(GOOGLEFINANCE(B310,""volume"",WORKDAY(TODAY(),-$F$1),TODAY()),,2)),""Breakout"","""")"),"")</f>
        <v/>
      </c>
      <c r="H310" s="16">
        <f>IFERROR(__xludf.DUMMYFUNCTION("GOOGLEFINANCE(B310,""price"")"),45.84)</f>
        <v>45.84</v>
      </c>
      <c r="I310" s="17">
        <f>IFERROR(__xludf.DUMMYFUNCTION("AVERAGE(QUERY(SORT(GOOGLEFINANCE(B310,""price"",TODAY()-365,TODAY()),1,0),""select Col2 limit 10""))"),48.119)</f>
        <v>48.119</v>
      </c>
      <c r="J310" s="17">
        <f>IFERROR(__xludf.DUMMYFUNCTION("AVERAGE(QUERY(SORT(GOOGLEFINANCE(B310,""price"",TODAY()-365,TODAY()),1,0),""select Col2 limit 30""))"),48.85133333333333)</f>
        <v>48.85133333</v>
      </c>
      <c r="K310" s="18">
        <f>IFERROR(__xludf.DUMMYFUNCTION("AVERAGE(QUERY(SORT(GOOGLEFINANCE(B310,""price"",TODAY()-365,TODAY()),1,0),""select Col2 limit 60""))"),49.230500000000006)</f>
        <v>49.2305</v>
      </c>
      <c r="L310" s="17">
        <f>IFERROR(__xludf.DUMMYFUNCTION("AVERAGE(QUERY(SORT(GOOGLEFINANCE(B310,""price"",TODAY()-365,TODAY()),1,0),""select Col2 limit 90""))"),48.16744444444445)</f>
        <v>48.16744444</v>
      </c>
      <c r="M310" s="17">
        <f>IFERROR(__xludf.DUMMYFUNCTION("AVERAGE(QUERY(SORT(GOOGLEFINANCE(B310,""price"",TODAY()-365,TODAY()),1,0),""select Col2 limit 120""))"),48.25283333333334)</f>
        <v>48.25283333</v>
      </c>
      <c r="N310" s="19">
        <f>IFERROR(__xludf.DUMMYFUNCTION("AVERAGE(QUERY(SORT(GOOGLEFINANCE(B310,""price"",TODAY()-365,TODAY()),1,0),""select Col2 limit 200""))"),50.853649999999995)</f>
        <v>50.85365</v>
      </c>
      <c r="O310" s="20" t="str">
        <f t="shared" si="2"/>
        <v>Avoid</v>
      </c>
      <c r="P310" s="21" t="str">
        <f t="shared" si="3"/>
        <v/>
      </c>
      <c r="Q310" s="21" t="str">
        <f t="shared" si="4"/>
        <v/>
      </c>
      <c r="R310" s="22">
        <f>IFERROR(__xludf.DUMMYFUNCTION("GOOGLEFINANCE(B310, ""pe"")
"),4.28)</f>
        <v>4.28</v>
      </c>
    </row>
    <row r="311">
      <c r="A311" s="9" t="s">
        <v>323</v>
      </c>
      <c r="B311" s="11" t="str">
        <f t="shared" si="1"/>
        <v>NSE:AIAENG</v>
      </c>
      <c r="C311" s="12">
        <f>IFERROR(__xludf.DUMMYFUNCTION("GOOGLEFINANCE(B311,""marketcap"")/10000000"),30422.44388)</f>
        <v>30422.44388</v>
      </c>
      <c r="D311" s="13">
        <f>IFERROR(__xludf.DUMMYFUNCTION("GOOGLEFINANCE(B311,""price"")"),3260.0)</f>
        <v>3260</v>
      </c>
      <c r="E311" s="14">
        <f>IFERROR(__xludf.DUMMYFUNCTION("GOOGLEFINANCE(B311,""Volume"")"),9947.0)</f>
        <v>9947</v>
      </c>
      <c r="F311" s="14">
        <f t="array" ref="F311">F310</f>
        <v>14</v>
      </c>
      <c r="G311" s="15" t="str">
        <f>IFERROR(__xludf.DUMMYFUNCTION("IF(E311&gt;AVERAGE(INDEX(GOOGLEFINANCE(B311,""volume"",WORKDAY(TODAY(),-$F$1),TODAY()),,2)),""Breakout"","""")"),"")</f>
        <v/>
      </c>
      <c r="H311" s="16">
        <f>IFERROR(__xludf.DUMMYFUNCTION("GOOGLEFINANCE(B311,""price"")"),3260.0)</f>
        <v>3260</v>
      </c>
      <c r="I311" s="17">
        <f>IFERROR(__xludf.DUMMYFUNCTION("AVERAGE(QUERY(SORT(GOOGLEFINANCE(B311,""price"",TODAY()-365,TODAY()),1,0),""select Col2 limit 10""))"),3356.9800000000005)</f>
        <v>3356.98</v>
      </c>
      <c r="J311" s="17">
        <f>IFERROR(__xludf.DUMMYFUNCTION("AVERAGE(QUERY(SORT(GOOGLEFINANCE(B311,""price"",TODAY()-365,TODAY()),1,0),""select Col2 limit 30""))"),3348.486666666668)</f>
        <v>3348.486667</v>
      </c>
      <c r="K311" s="18">
        <f>IFERROR(__xludf.DUMMYFUNCTION("AVERAGE(QUERY(SORT(GOOGLEFINANCE(B311,""price"",TODAY()-365,TODAY()),1,0),""select Col2 limit 60""))"),3349.286666666667)</f>
        <v>3349.286667</v>
      </c>
      <c r="L311" s="17">
        <f>IFERROR(__xludf.DUMMYFUNCTION("AVERAGE(QUERY(SORT(GOOGLEFINANCE(B311,""price"",TODAY()-365,TODAY()),1,0),""select Col2 limit 90""))"),3305.7244444444445)</f>
        <v>3305.724444</v>
      </c>
      <c r="M311" s="17">
        <f>IFERROR(__xludf.DUMMYFUNCTION("AVERAGE(QUERY(SORT(GOOGLEFINANCE(B311,""price"",TODAY()-365,TODAY()),1,0),""select Col2 limit 120""))"),3326.3191666666667)</f>
        <v>3326.319167</v>
      </c>
      <c r="N311" s="19">
        <f>IFERROR(__xludf.DUMMYFUNCTION("AVERAGE(QUERY(SORT(GOOGLEFINANCE(B311,""price"",TODAY()-365,TODAY()),1,0),""select Col2 limit 200""))"),3447.4355)</f>
        <v>3447.4355</v>
      </c>
      <c r="O311" s="20" t="str">
        <f t="shared" si="2"/>
        <v>Avoid</v>
      </c>
      <c r="P311" s="21" t="str">
        <f t="shared" si="3"/>
        <v/>
      </c>
      <c r="Q311" s="21" t="str">
        <f t="shared" si="4"/>
        <v/>
      </c>
      <c r="R311" s="22">
        <f>IFERROR(__xludf.DUMMYFUNCTION("GOOGLEFINANCE(B311, ""pe"")
"),28.81)</f>
        <v>28.81</v>
      </c>
    </row>
    <row r="312">
      <c r="A312" s="9" t="s">
        <v>324</v>
      </c>
      <c r="B312" s="11" t="str">
        <f t="shared" si="1"/>
        <v>NSE:NAM-INDIA</v>
      </c>
      <c r="C312" s="12">
        <f>IFERROR(__xludf.DUMMYFUNCTION("GOOGLEFINANCE(B312,""marketcap"")/10000000"),51781.3999)</f>
        <v>51781.3999</v>
      </c>
      <c r="D312" s="13">
        <f>IFERROR(__xludf.DUMMYFUNCTION("GOOGLEFINANCE(B312,""price"")"),814.3)</f>
        <v>814.3</v>
      </c>
      <c r="E312" s="14">
        <f>IFERROR(__xludf.DUMMYFUNCTION("GOOGLEFINANCE(B312,""Volume"")"),376464.0)</f>
        <v>376464</v>
      </c>
      <c r="F312" s="14">
        <f t="array" ref="F312">F311</f>
        <v>14</v>
      </c>
      <c r="G312" s="15" t="str">
        <f>IFERROR(__xludf.DUMMYFUNCTION("IF(E312&gt;AVERAGE(INDEX(GOOGLEFINANCE(B312,""volume"",WORKDAY(TODAY(),-$F$1),TODAY()),,2)),""Breakout"","""")"),"")</f>
        <v/>
      </c>
      <c r="H312" s="16">
        <f>IFERROR(__xludf.DUMMYFUNCTION("GOOGLEFINANCE(B312,""price"")"),814.3)</f>
        <v>814.3</v>
      </c>
      <c r="I312" s="17">
        <f>IFERROR(__xludf.DUMMYFUNCTION("AVERAGE(QUERY(SORT(GOOGLEFINANCE(B312,""price"",TODAY()-365,TODAY()),1,0),""select Col2 limit 10""))"),842.4099999999999)</f>
        <v>842.41</v>
      </c>
      <c r="J312" s="17">
        <f>IFERROR(__xludf.DUMMYFUNCTION("AVERAGE(QUERY(SORT(GOOGLEFINANCE(B312,""price"",TODAY()-365,TODAY()),1,0),""select Col2 limit 30""))"),802.9666666666667)</f>
        <v>802.9666667</v>
      </c>
      <c r="K312" s="18">
        <f>IFERROR(__xludf.DUMMYFUNCTION("AVERAGE(QUERY(SORT(GOOGLEFINANCE(B312,""price"",TODAY()-365,TODAY()),1,0),""select Col2 limit 60""))"),762.4191666666665)</f>
        <v>762.4191667</v>
      </c>
      <c r="L312" s="17">
        <f>IFERROR(__xludf.DUMMYFUNCTION("AVERAGE(QUERY(SORT(GOOGLEFINANCE(B312,""price"",TODAY()-365,TODAY()),1,0),""select Col2 limit 90""))"),705.5811111111108)</f>
        <v>705.5811111</v>
      </c>
      <c r="M312" s="17">
        <f>IFERROR(__xludf.DUMMYFUNCTION("AVERAGE(QUERY(SORT(GOOGLEFINANCE(B312,""price"",TODAY()-365,TODAY()),1,0),""select Col2 limit 120""))"),665.4962499999999)</f>
        <v>665.49625</v>
      </c>
      <c r="N312" s="19">
        <f>IFERROR(__xludf.DUMMYFUNCTION("AVERAGE(QUERY(SORT(GOOGLEFINANCE(B312,""price"",TODAY()-365,TODAY()),1,0),""select Col2 limit 200""))"),678.1289999999998)</f>
        <v>678.129</v>
      </c>
      <c r="O312" s="20" t="str">
        <f t="shared" si="2"/>
        <v>Avoid</v>
      </c>
      <c r="P312" s="21" t="str">
        <f t="shared" si="3"/>
        <v/>
      </c>
      <c r="Q312" s="21" t="str">
        <f t="shared" si="4"/>
        <v/>
      </c>
      <c r="R312" s="22">
        <f>IFERROR(__xludf.DUMMYFUNCTION("GOOGLEFINANCE(B312, ""pe"")
"),40.57)</f>
        <v>40.57</v>
      </c>
    </row>
    <row r="313">
      <c r="A313" s="9" t="s">
        <v>325</v>
      </c>
      <c r="B313" s="11" t="str">
        <f t="shared" si="1"/>
        <v>NSE:BIOCON</v>
      </c>
      <c r="C313" s="12">
        <f>IFERROR(__xludf.DUMMYFUNCTION("GOOGLEFINANCE(B313,""marketcap"")/10000000"),52301.6015354)</f>
        <v>52301.60154</v>
      </c>
      <c r="D313" s="13">
        <f>IFERROR(__xludf.DUMMYFUNCTION("GOOGLEFINANCE(B313,""price"")"),390.15)</f>
        <v>390.15</v>
      </c>
      <c r="E313" s="14">
        <f>IFERROR(__xludf.DUMMYFUNCTION("GOOGLEFINANCE(B313,""Volume"")"),2860244.0)</f>
        <v>2860244</v>
      </c>
      <c r="F313" s="14">
        <f t="array" ref="F313">F312</f>
        <v>14</v>
      </c>
      <c r="G313" s="15" t="str">
        <f>IFERROR(__xludf.DUMMYFUNCTION("IF(E313&gt;AVERAGE(INDEX(GOOGLEFINANCE(B313,""volume"",WORKDAY(TODAY(),-$F$1),TODAY()),,2)),""Breakout"","""")"),"#N/A")</f>
        <v>#N/A</v>
      </c>
      <c r="H313" s="16">
        <f>IFERROR(__xludf.DUMMYFUNCTION("GOOGLEFINANCE(B313,""price"")"),390.15)</f>
        <v>390.15</v>
      </c>
      <c r="I313" s="17">
        <f>IFERROR(__xludf.DUMMYFUNCTION("AVERAGE(QUERY(SORT(GOOGLEFINANCE(B313,""price"",TODAY()-365,TODAY()),1,0),""select Col2 limit 10""))"),393.09000000000003)</f>
        <v>393.09</v>
      </c>
      <c r="J313" s="17">
        <f>IFERROR(__xludf.DUMMYFUNCTION("AVERAGE(QUERY(SORT(GOOGLEFINANCE(B313,""price"",TODAY()-365,TODAY()),1,0),""select Col2 limit 30""))"),371.43333333333334)</f>
        <v>371.4333333</v>
      </c>
      <c r="K313" s="18">
        <f>IFERROR(__xludf.DUMMYFUNCTION("AVERAGE(QUERY(SORT(GOOGLEFINANCE(B313,""price"",TODAY()-365,TODAY()),1,0),""select Col2 limit 60""))"),354.4508333333334)</f>
        <v>354.4508333</v>
      </c>
      <c r="L313" s="17">
        <f>IFERROR(__xludf.DUMMYFUNCTION("AVERAGE(QUERY(SORT(GOOGLEFINANCE(B313,""price"",TODAY()-365,TODAY()),1,0),""select Col2 limit 90""))"),346.7066666666666)</f>
        <v>346.7066667</v>
      </c>
      <c r="M313" s="17">
        <f>IFERROR(__xludf.DUMMYFUNCTION("AVERAGE(QUERY(SORT(GOOGLEFINANCE(B313,""price"",TODAY()-365,TODAY()),1,0),""select Col2 limit 120""))"),346.0254166666666)</f>
        <v>346.0254167</v>
      </c>
      <c r="N313" s="19">
        <f>IFERROR(__xludf.DUMMYFUNCTION("AVERAGE(QUERY(SORT(GOOGLEFINANCE(B313,""price"",TODAY()-365,TODAY()),1,0),""select Col2 limit 200""))"),348.73149999999987)</f>
        <v>348.7315</v>
      </c>
      <c r="O313" s="20" t="str">
        <f t="shared" si="2"/>
        <v>Avoid</v>
      </c>
      <c r="P313" s="21" t="str">
        <f t="shared" si="3"/>
        <v>10 DMA</v>
      </c>
      <c r="Q313" s="21" t="str">
        <f t="shared" si="4"/>
        <v/>
      </c>
      <c r="R313" s="22">
        <f>IFERROR(__xludf.DUMMYFUNCTION("GOOGLEFINANCE(B313, ""pe"")
"),46.34)</f>
        <v>46.34</v>
      </c>
    </row>
    <row r="314">
      <c r="A314" s="9" t="s">
        <v>326</v>
      </c>
      <c r="B314" s="11" t="str">
        <f t="shared" si="1"/>
        <v>NSE:GLENMARK</v>
      </c>
      <c r="C314" s="12">
        <f>IFERROR(__xludf.DUMMYFUNCTION("GOOGLEFINANCE(B314,""marketcap"")/10000000"),61282.7284838)</f>
        <v>61282.72848</v>
      </c>
      <c r="D314" s="13">
        <f>IFERROR(__xludf.DUMMYFUNCTION("GOOGLEFINANCE(B314,""price"")"),2172.0)</f>
        <v>2172</v>
      </c>
      <c r="E314" s="14">
        <f>IFERROR(__xludf.DUMMYFUNCTION("GOOGLEFINANCE(B314,""Volume"")"),795117.0)</f>
        <v>795117</v>
      </c>
      <c r="F314" s="14">
        <f t="array" ref="F314">F313</f>
        <v>14</v>
      </c>
      <c r="G314" s="15" t="str">
        <f>IFERROR(__xludf.DUMMYFUNCTION("IF(E314&gt;AVERAGE(INDEX(GOOGLEFINANCE(B314,""volume"",WORKDAY(TODAY(),-$F$1),TODAY()),,2)),""Breakout"","""")"),"")</f>
        <v/>
      </c>
      <c r="H314" s="16">
        <f>IFERROR(__xludf.DUMMYFUNCTION("GOOGLEFINANCE(B314,""price"")"),2172.0)</f>
        <v>2172</v>
      </c>
      <c r="I314" s="17">
        <f>IFERROR(__xludf.DUMMYFUNCTION("AVERAGE(QUERY(SORT(GOOGLEFINANCE(B314,""price"",TODAY()-365,TODAY()),1,0),""select Col2 limit 10""))"),2187.33)</f>
        <v>2187.33</v>
      </c>
      <c r="J314" s="17">
        <f>IFERROR(__xludf.DUMMYFUNCTION("AVERAGE(QUERY(SORT(GOOGLEFINANCE(B314,""price"",TODAY()-365,TODAY()),1,0),""select Col2 limit 30""))"),1905.3633333333332)</f>
        <v>1905.363333</v>
      </c>
      <c r="K314" s="18">
        <f>IFERROR(__xludf.DUMMYFUNCTION("AVERAGE(QUERY(SORT(GOOGLEFINANCE(B314,""price"",TODAY()-365,TODAY()),1,0),""select Col2 limit 60""))"),1690.116666666666)</f>
        <v>1690.116667</v>
      </c>
      <c r="L314" s="17">
        <f>IFERROR(__xludf.DUMMYFUNCTION("AVERAGE(QUERY(SORT(GOOGLEFINANCE(B314,""price"",TODAY()-365,TODAY()),1,0),""select Col2 limit 90""))"),1606.1649999999995)</f>
        <v>1606.165</v>
      </c>
      <c r="M314" s="17">
        <f>IFERROR(__xludf.DUMMYFUNCTION("AVERAGE(QUERY(SORT(GOOGLEFINANCE(B314,""price"",TODAY()-365,TODAY()),1,0),""select Col2 limit 120""))"),1553.6170833333333)</f>
        <v>1553.617083</v>
      </c>
      <c r="N314" s="19">
        <f>IFERROR(__xludf.DUMMYFUNCTION("AVERAGE(QUERY(SORT(GOOGLEFINANCE(B314,""price"",TODAY()-365,TODAY()),1,0),""select Col2 limit 200""))"),1568.4440000000004)</f>
        <v>1568.444</v>
      </c>
      <c r="O314" s="20" t="str">
        <f t="shared" si="2"/>
        <v>Avoid</v>
      </c>
      <c r="P314" s="21" t="str">
        <f t="shared" si="3"/>
        <v>10 DMA</v>
      </c>
      <c r="Q314" s="21" t="str">
        <f t="shared" si="4"/>
        <v/>
      </c>
      <c r="R314" s="22">
        <f>IFERROR(__xludf.DUMMYFUNCTION("GOOGLEFINANCE(B314, ""pe"")
"),58.44)</f>
        <v>58.44</v>
      </c>
    </row>
    <row r="315">
      <c r="A315" s="9" t="s">
        <v>327</v>
      </c>
      <c r="B315" s="11" t="str">
        <f t="shared" si="1"/>
        <v>NSE:KEI</v>
      </c>
      <c r="C315" s="12">
        <f>IFERROR(__xludf.DUMMYFUNCTION("GOOGLEFINANCE(B315,""marketcap"")/10000000"),37310.4232554)</f>
        <v>37310.42326</v>
      </c>
      <c r="D315" s="13">
        <f>IFERROR(__xludf.DUMMYFUNCTION("GOOGLEFINANCE(B315,""price"")"),3883.0)</f>
        <v>3883</v>
      </c>
      <c r="E315" s="14">
        <f>IFERROR(__xludf.DUMMYFUNCTION("GOOGLEFINANCE(B315,""Volume"")"),151713.0)</f>
        <v>151713</v>
      </c>
      <c r="F315" s="14">
        <f t="array" ref="F315">F314</f>
        <v>14</v>
      </c>
      <c r="G315" s="15" t="str">
        <f>IFERROR(__xludf.DUMMYFUNCTION("IF(E315&gt;AVERAGE(INDEX(GOOGLEFINANCE(B315,""volume"",WORKDAY(TODAY(),-$F$1),TODAY()),,2)),""Breakout"","""")"),"")</f>
        <v/>
      </c>
      <c r="H315" s="16">
        <f>IFERROR(__xludf.DUMMYFUNCTION("GOOGLEFINANCE(B315,""price"")"),3883.0)</f>
        <v>3883</v>
      </c>
      <c r="I315" s="17">
        <f>IFERROR(__xludf.DUMMYFUNCTION("AVERAGE(QUERY(SORT(GOOGLEFINANCE(B315,""price"",TODAY()-365,TODAY()),1,0),""select Col2 limit 10""))"),3909.8799999999997)</f>
        <v>3909.88</v>
      </c>
      <c r="J315" s="17">
        <f>IFERROR(__xludf.DUMMYFUNCTION("AVERAGE(QUERY(SORT(GOOGLEFINANCE(B315,""price"",TODAY()-365,TODAY()),1,0),""select Col2 limit 30""))"),3789.74)</f>
        <v>3789.74</v>
      </c>
      <c r="K315" s="18">
        <f>IFERROR(__xludf.DUMMYFUNCTION("AVERAGE(QUERY(SORT(GOOGLEFINANCE(B315,""price"",TODAY()-365,TODAY()),1,0),""select Col2 limit 60""))"),3652.5316666666668)</f>
        <v>3652.531667</v>
      </c>
      <c r="L315" s="17">
        <f>IFERROR(__xludf.DUMMYFUNCTION("AVERAGE(QUERY(SORT(GOOGLEFINANCE(B315,""price"",TODAY()-365,TODAY()),1,0),""select Col2 limit 90""))"),3394.9788888888893)</f>
        <v>3394.978889</v>
      </c>
      <c r="M315" s="17">
        <f>IFERROR(__xludf.DUMMYFUNCTION("AVERAGE(QUERY(SORT(GOOGLEFINANCE(B315,""price"",TODAY()-365,TODAY()),1,0),""select Col2 limit 120""))"),3429.2945833333342)</f>
        <v>3429.294583</v>
      </c>
      <c r="N315" s="19">
        <f>IFERROR(__xludf.DUMMYFUNCTION("AVERAGE(QUERY(SORT(GOOGLEFINANCE(B315,""price"",TODAY()-365,TODAY()),1,0),""select Col2 limit 200""))"),3736.0877500000015)</f>
        <v>3736.08775</v>
      </c>
      <c r="O315" s="20" t="str">
        <f t="shared" si="2"/>
        <v>Avoid</v>
      </c>
      <c r="P315" s="21" t="str">
        <f t="shared" si="3"/>
        <v>10 DMA</v>
      </c>
      <c r="Q315" s="21" t="str">
        <f t="shared" si="4"/>
        <v/>
      </c>
      <c r="R315" s="22">
        <f>IFERROR(__xludf.DUMMYFUNCTION("GOOGLEFINANCE(B315, ""pe"")
"),49.32)</f>
        <v>49.32</v>
      </c>
    </row>
    <row r="316">
      <c r="A316" s="9" t="s">
        <v>328</v>
      </c>
      <c r="B316" s="11" t="str">
        <f t="shared" si="1"/>
        <v>NSE:DEEPAKNTR</v>
      </c>
      <c r="C316" s="12">
        <f>IFERROR(__xludf.DUMMYFUNCTION("GOOGLEFINANCE(B316,""marketcap"")/10000000"),25914.67)</f>
        <v>25914.67</v>
      </c>
      <c r="D316" s="13">
        <f>IFERROR(__xludf.DUMMYFUNCTION("GOOGLEFINANCE(B316,""price"")"),1898.9)</f>
        <v>1898.9</v>
      </c>
      <c r="E316" s="14">
        <f>IFERROR(__xludf.DUMMYFUNCTION("GOOGLEFINANCE(B316,""Volume"")"),47640.0)</f>
        <v>47640</v>
      </c>
      <c r="F316" s="14">
        <f t="array" ref="F316">F315</f>
        <v>14</v>
      </c>
      <c r="G316" s="15" t="str">
        <f>IFERROR(__xludf.DUMMYFUNCTION("IF(E316&gt;AVERAGE(INDEX(GOOGLEFINANCE(B316,""volume"",WORKDAY(TODAY(),-$F$1),TODAY()),,2)),""Breakout"","""")"),"")</f>
        <v/>
      </c>
      <c r="H316" s="16">
        <f>IFERROR(__xludf.DUMMYFUNCTION("GOOGLEFINANCE(B316,""price"")"),1898.9)</f>
        <v>1898.9</v>
      </c>
      <c r="I316" s="17">
        <f>IFERROR(__xludf.DUMMYFUNCTION("AVERAGE(QUERY(SORT(GOOGLEFINANCE(B316,""price"",TODAY()-365,TODAY()),1,0),""select Col2 limit 10""))"),1942.5499999999997)</f>
        <v>1942.55</v>
      </c>
      <c r="J316" s="17">
        <f>IFERROR(__xludf.DUMMYFUNCTION("AVERAGE(QUERY(SORT(GOOGLEFINANCE(B316,""price"",TODAY()-365,TODAY()),1,0),""select Col2 limit 30""))"),1946.1966666666665)</f>
        <v>1946.196667</v>
      </c>
      <c r="K316" s="18">
        <f>IFERROR(__xludf.DUMMYFUNCTION("AVERAGE(QUERY(SORT(GOOGLEFINANCE(B316,""price"",TODAY()-365,TODAY()),1,0),""select Col2 limit 60""))"),1974.9966666666667)</f>
        <v>1974.996667</v>
      </c>
      <c r="L316" s="17">
        <f>IFERROR(__xludf.DUMMYFUNCTION("AVERAGE(QUERY(SORT(GOOGLEFINANCE(B316,""price"",TODAY()-365,TODAY()),1,0),""select Col2 limit 90""))"),1975.8861111111119)</f>
        <v>1975.886111</v>
      </c>
      <c r="M316" s="17">
        <f>IFERROR(__xludf.DUMMYFUNCTION("AVERAGE(QUERY(SORT(GOOGLEFINANCE(B316,""price"",TODAY()-365,TODAY()),1,0),""select Col2 limit 120""))"),1997.0341666666673)</f>
        <v>1997.034167</v>
      </c>
      <c r="N316" s="19">
        <f>IFERROR(__xludf.DUMMYFUNCTION("AVERAGE(QUERY(SORT(GOOGLEFINANCE(B316,""price"",TODAY()-365,TODAY()),1,0),""select Col2 limit 200""))"),2243.30325)</f>
        <v>2243.30325</v>
      </c>
      <c r="O316" s="20" t="str">
        <f t="shared" si="2"/>
        <v>Avoid</v>
      </c>
      <c r="P316" s="21" t="str">
        <f t="shared" si="3"/>
        <v/>
      </c>
      <c r="Q316" s="21" t="str">
        <f t="shared" si="4"/>
        <v/>
      </c>
      <c r="R316" s="22">
        <f>IFERROR(__xludf.DUMMYFUNCTION("GOOGLEFINANCE(B316, ""pe"")
"),37.16)</f>
        <v>37.16</v>
      </c>
    </row>
    <row r="317">
      <c r="A317" s="9" t="s">
        <v>329</v>
      </c>
      <c r="B317" s="11" t="str">
        <f t="shared" si="1"/>
        <v>NSE:ENDURANCE</v>
      </c>
      <c r="C317" s="12">
        <f>IFERROR(__xludf.DUMMYFUNCTION("GOOGLEFINANCE(B317,""marketcap"")/10000000"),35980.1362383)</f>
        <v>35980.13624</v>
      </c>
      <c r="D317" s="13">
        <f>IFERROR(__xludf.DUMMYFUNCTION("GOOGLEFINANCE(B317,""price"")"),2560.1)</f>
        <v>2560.1</v>
      </c>
      <c r="E317" s="14">
        <f>IFERROR(__xludf.DUMMYFUNCTION("GOOGLEFINANCE(B317,""Volume"")"),20682.0)</f>
        <v>20682</v>
      </c>
      <c r="F317" s="14">
        <f t="array" ref="F317">F316</f>
        <v>14</v>
      </c>
      <c r="G317" s="15" t="str">
        <f>IFERROR(__xludf.DUMMYFUNCTION("IF(E317&gt;AVERAGE(INDEX(GOOGLEFINANCE(B317,""volume"",WORKDAY(TODAY(),-$F$1),TODAY()),,2)),""Breakout"","""")"),"")</f>
        <v/>
      </c>
      <c r="H317" s="16">
        <f>IFERROR(__xludf.DUMMYFUNCTION("GOOGLEFINANCE(B317,""price"")"),2560.1)</f>
        <v>2560.1</v>
      </c>
      <c r="I317" s="17">
        <f>IFERROR(__xludf.DUMMYFUNCTION("AVERAGE(QUERY(SORT(GOOGLEFINANCE(B317,""price"",TODAY()-365,TODAY()),1,0),""select Col2 limit 10""))"),2654.0699999999997)</f>
        <v>2654.07</v>
      </c>
      <c r="J317" s="17">
        <f>IFERROR(__xludf.DUMMYFUNCTION("AVERAGE(QUERY(SORT(GOOGLEFINANCE(B317,""price"",TODAY()-365,TODAY()),1,0),""select Col2 limit 30""))"),2641.7566666666667)</f>
        <v>2641.756667</v>
      </c>
      <c r="K317" s="18">
        <f>IFERROR(__xludf.DUMMYFUNCTION("AVERAGE(QUERY(SORT(GOOGLEFINANCE(B317,""price"",TODAY()-365,TODAY()),1,0),""select Col2 limit 60""))"),2471.315)</f>
        <v>2471.315</v>
      </c>
      <c r="L317" s="17">
        <f>IFERROR(__xludf.DUMMYFUNCTION("AVERAGE(QUERY(SORT(GOOGLEFINANCE(B317,""price"",TODAY()-365,TODAY()),1,0),""select Col2 limit 90""))"),2287.631111111111)</f>
        <v>2287.631111</v>
      </c>
      <c r="M317" s="17">
        <f>IFERROR(__xludf.DUMMYFUNCTION("AVERAGE(QUERY(SORT(GOOGLEFINANCE(B317,""price"",TODAY()-365,TODAY()),1,0),""select Col2 limit 120""))"),2186.283333333333)</f>
        <v>2186.283333</v>
      </c>
      <c r="N317" s="19">
        <f>IFERROR(__xludf.DUMMYFUNCTION("AVERAGE(QUERY(SORT(GOOGLEFINANCE(B317,""price"",TODAY()-365,TODAY()),1,0),""select Col2 limit 200""))"),2220.200249999999)</f>
        <v>2220.20025</v>
      </c>
      <c r="O317" s="20" t="str">
        <f t="shared" si="2"/>
        <v>Avoid</v>
      </c>
      <c r="P317" s="21" t="str">
        <f t="shared" si="3"/>
        <v/>
      </c>
      <c r="Q317" s="21" t="str">
        <f t="shared" si="4"/>
        <v/>
      </c>
      <c r="R317" s="22">
        <f>IFERROR(__xludf.DUMMYFUNCTION("GOOGLEFINANCE(B317, ""pe"")
"),43.15)</f>
        <v>43.15</v>
      </c>
    </row>
    <row r="318">
      <c r="A318" s="9" t="s">
        <v>330</v>
      </c>
      <c r="B318" s="11" t="str">
        <f t="shared" si="1"/>
        <v>NSE:NLCINDIA</v>
      </c>
      <c r="C318" s="12">
        <f>IFERROR(__xludf.DUMMYFUNCTION("GOOGLEFINANCE(B318,""marketcap"")/10000000"),32609.518558)</f>
        <v>32609.51856</v>
      </c>
      <c r="D318" s="13">
        <f>IFERROR(__xludf.DUMMYFUNCTION("GOOGLEFINANCE(B318,""price"")"),235.0)</f>
        <v>235</v>
      </c>
      <c r="E318" s="14">
        <f>IFERROR(__xludf.DUMMYFUNCTION("GOOGLEFINANCE(B318,""Volume"")"),516390.0)</f>
        <v>516390</v>
      </c>
      <c r="F318" s="14">
        <f t="array" ref="F318">F317</f>
        <v>14</v>
      </c>
      <c r="G318" s="15" t="str">
        <f>IFERROR(__xludf.DUMMYFUNCTION("IF(E318&gt;AVERAGE(INDEX(GOOGLEFINANCE(B318,""volume"",WORKDAY(TODAY(),-$F$1),TODAY()),,2)),""Breakout"","""")"),"")</f>
        <v/>
      </c>
      <c r="H318" s="16">
        <f>IFERROR(__xludf.DUMMYFUNCTION("GOOGLEFINANCE(B318,""price"")"),235.0)</f>
        <v>235</v>
      </c>
      <c r="I318" s="17">
        <f>IFERROR(__xludf.DUMMYFUNCTION("AVERAGE(QUERY(SORT(GOOGLEFINANCE(B318,""price"",TODAY()-365,TODAY()),1,0),""select Col2 limit 10""))"),236.86700000000002)</f>
        <v>236.867</v>
      </c>
      <c r="J318" s="17">
        <f>IFERROR(__xludf.DUMMYFUNCTION("AVERAGE(QUERY(SORT(GOOGLEFINANCE(B318,""price"",TODAY()-365,TODAY()),1,0),""select Col2 limit 30""))"),232.91900000000004)</f>
        <v>232.919</v>
      </c>
      <c r="K318" s="18">
        <f>IFERROR(__xludf.DUMMYFUNCTION("AVERAGE(QUERY(SORT(GOOGLEFINANCE(B318,""price"",TODAY()-365,TODAY()),1,0),""select Col2 limit 60""))"),233.6820000000001)</f>
        <v>233.682</v>
      </c>
      <c r="L318" s="17">
        <f>IFERROR(__xludf.DUMMYFUNCTION("AVERAGE(QUERY(SORT(GOOGLEFINANCE(B318,""price"",TODAY()-365,TODAY()),1,0),""select Col2 limit 90""))"),235.0450000000001)</f>
        <v>235.045</v>
      </c>
      <c r="M318" s="17">
        <f>IFERROR(__xludf.DUMMYFUNCTION("AVERAGE(QUERY(SORT(GOOGLEFINANCE(B318,""price"",TODAY()-365,TODAY()),1,0),""select Col2 limit 120""))"),230.31075000000007)</f>
        <v>230.31075</v>
      </c>
      <c r="N318" s="19">
        <f>IFERROR(__xludf.DUMMYFUNCTION("AVERAGE(QUERY(SORT(GOOGLEFINANCE(B318,""price"",TODAY()-365,TODAY()),1,0),""select Col2 limit 200""))"),239.87704999999997)</f>
        <v>239.87705</v>
      </c>
      <c r="O318" s="20" t="str">
        <f t="shared" si="2"/>
        <v>Avoid</v>
      </c>
      <c r="P318" s="21" t="str">
        <f t="shared" si="3"/>
        <v>10 DMA</v>
      </c>
      <c r="Q318" s="21" t="str">
        <f t="shared" si="4"/>
        <v/>
      </c>
      <c r="R318" s="22">
        <f>IFERROR(__xludf.DUMMYFUNCTION("GOOGLEFINANCE(B318, ""pe"")
"),12.0)</f>
        <v>12</v>
      </c>
    </row>
    <row r="319">
      <c r="A319" s="9" t="s">
        <v>331</v>
      </c>
      <c r="B319" s="11" t="str">
        <f t="shared" si="1"/>
        <v>NSE:IGL</v>
      </c>
      <c r="C319" s="12">
        <f>IFERROR(__xludf.DUMMYFUNCTION("GOOGLEFINANCE(B319,""marketcap"")/10000000"),28562.8210001)</f>
        <v>28562.821</v>
      </c>
      <c r="D319" s="13">
        <f>IFERROR(__xludf.DUMMYFUNCTION("GOOGLEFINANCE(B319,""price"")"),204.31)</f>
        <v>204.31</v>
      </c>
      <c r="E319" s="14">
        <f>IFERROR(__xludf.DUMMYFUNCTION("GOOGLEFINANCE(B319,""Volume"")"),2422767.0)</f>
        <v>2422767</v>
      </c>
      <c r="F319" s="14">
        <f t="array" ref="F319">F318</f>
        <v>14</v>
      </c>
      <c r="G319" s="15" t="str">
        <f>IFERROR(__xludf.DUMMYFUNCTION("IF(E319&gt;AVERAGE(INDEX(GOOGLEFINANCE(B319,""volume"",WORKDAY(TODAY(),-$F$1),TODAY()),,2)),""Breakout"","""")"),"")</f>
        <v/>
      </c>
      <c r="H319" s="16">
        <f>IFERROR(__xludf.DUMMYFUNCTION("GOOGLEFINANCE(B319,""price"")"),204.31)</f>
        <v>204.31</v>
      </c>
      <c r="I319" s="17">
        <f>IFERROR(__xludf.DUMMYFUNCTION("AVERAGE(QUERY(SORT(GOOGLEFINANCE(B319,""price"",TODAY()-365,TODAY()),1,0),""select Col2 limit 10""))"),213.60099999999997)</f>
        <v>213.601</v>
      </c>
      <c r="J319" s="17">
        <f>IFERROR(__xludf.DUMMYFUNCTION("AVERAGE(QUERY(SORT(GOOGLEFINANCE(B319,""price"",TODAY()-365,TODAY()),1,0),""select Col2 limit 30""))"),214.36766666666665)</f>
        <v>214.3676667</v>
      </c>
      <c r="K319" s="18">
        <f>IFERROR(__xludf.DUMMYFUNCTION("AVERAGE(QUERY(SORT(GOOGLEFINANCE(B319,""price"",TODAY()-365,TODAY()),1,0),""select Col2 limit 60""))"),210.63250000000002)</f>
        <v>210.6325</v>
      </c>
      <c r="L319" s="17">
        <f>IFERROR(__xludf.DUMMYFUNCTION("AVERAGE(QUERY(SORT(GOOGLEFINANCE(B319,""price"",TODAY()-365,TODAY()),1,0),""select Col2 limit 90""))"),203.72200000000004)</f>
        <v>203.722</v>
      </c>
      <c r="M319" s="17">
        <f>IFERROR(__xludf.DUMMYFUNCTION("AVERAGE(QUERY(SORT(GOOGLEFINANCE(B319,""price"",TODAY()-365,TODAY()),1,0),""select Col2 limit 120""))"),202.6845833333333)</f>
        <v>202.6845833</v>
      </c>
      <c r="N319" s="19">
        <f>IFERROR(__xludf.DUMMYFUNCTION("AVERAGE(QUERY(SORT(GOOGLEFINANCE(B319,""price"",TODAY()-365,TODAY()),1,0),""select Col2 limit 200""))"),204.30145000000007)</f>
        <v>204.30145</v>
      </c>
      <c r="O319" s="20" t="str">
        <f t="shared" si="2"/>
        <v>Avoid</v>
      </c>
      <c r="P319" s="21" t="str">
        <f t="shared" si="3"/>
        <v/>
      </c>
      <c r="Q319" s="21" t="str">
        <f t="shared" si="4"/>
        <v/>
      </c>
      <c r="R319" s="22">
        <f>IFERROR(__xludf.DUMMYFUNCTION("GOOGLEFINANCE(B319, ""pe"")
"),16.65)</f>
        <v>16.65</v>
      </c>
    </row>
    <row r="320">
      <c r="A320" s="9" t="s">
        <v>332</v>
      </c>
      <c r="B320" s="11" t="str">
        <f t="shared" si="1"/>
        <v>NSE:LLOYDSME</v>
      </c>
      <c r="C320" s="12">
        <f>IFERROR(__xludf.DUMMYFUNCTION("GOOGLEFINANCE(B320,""marketcap"")/10000000"),77763.3912131)</f>
        <v>77763.39121</v>
      </c>
      <c r="D320" s="13">
        <f>IFERROR(__xludf.DUMMYFUNCTION("GOOGLEFINANCE(B320,""price"")"),1487.1)</f>
        <v>1487.1</v>
      </c>
      <c r="E320" s="14">
        <f>IFERROR(__xludf.DUMMYFUNCTION("GOOGLEFINANCE(B320,""Volume"")"),93579.0)</f>
        <v>93579</v>
      </c>
      <c r="F320" s="14">
        <f t="array" ref="F320">F319</f>
        <v>14</v>
      </c>
      <c r="G320" s="15" t="str">
        <f>IFERROR(__xludf.DUMMYFUNCTION("IF(E320&gt;AVERAGE(INDEX(GOOGLEFINANCE(B320,""volume"",WORKDAY(TODAY(),-$F$1),TODAY()),,2)),""Breakout"","""")"),"")</f>
        <v/>
      </c>
      <c r="H320" s="16">
        <f>IFERROR(__xludf.DUMMYFUNCTION("GOOGLEFINANCE(B320,""price"")"),1487.1)</f>
        <v>1487.1</v>
      </c>
      <c r="I320" s="17">
        <f>IFERROR(__xludf.DUMMYFUNCTION("AVERAGE(QUERY(SORT(GOOGLEFINANCE(B320,""price"",TODAY()-365,TODAY()),1,0),""select Col2 limit 10""))"),1501.46)</f>
        <v>1501.46</v>
      </c>
      <c r="J320" s="17">
        <f>IFERROR(__xludf.DUMMYFUNCTION("AVERAGE(QUERY(SORT(GOOGLEFINANCE(B320,""price"",TODAY()-365,TODAY()),1,0),""select Col2 limit 30""))"),1514.3766666666668)</f>
        <v>1514.376667</v>
      </c>
      <c r="K320" s="18">
        <f>IFERROR(__xludf.DUMMYFUNCTION("AVERAGE(QUERY(SORT(GOOGLEFINANCE(B320,""price"",TODAY()-365,TODAY()),1,0),""select Col2 limit 60""))"),1437.2983333333334)</f>
        <v>1437.298333</v>
      </c>
      <c r="L320" s="17">
        <f>IFERROR(__xludf.DUMMYFUNCTION("AVERAGE(QUERY(SORT(GOOGLEFINANCE(B320,""price"",TODAY()-365,TODAY()),1,0),""select Col2 limit 90""))"),1375.6961111111111)</f>
        <v>1375.696111</v>
      </c>
      <c r="M320" s="17">
        <f>IFERROR(__xludf.DUMMYFUNCTION("AVERAGE(QUERY(SORT(GOOGLEFINANCE(B320,""price"",TODAY()-365,TODAY()),1,0),""select Col2 limit 120""))"),1318.0962500000003)</f>
        <v>1318.09625</v>
      </c>
      <c r="N320" s="19">
        <f>IFERROR(__xludf.DUMMYFUNCTION("AVERAGE(QUERY(SORT(GOOGLEFINANCE(B320,""price"",TODAY()-365,TODAY()),1,0),""select Col2 limit 200""))"),1237.71325)</f>
        <v>1237.71325</v>
      </c>
      <c r="O320" s="20" t="str">
        <f t="shared" si="2"/>
        <v>Avoid</v>
      </c>
      <c r="P320" s="21" t="str">
        <f t="shared" si="3"/>
        <v>10 DMA</v>
      </c>
      <c r="Q320" s="21" t="str">
        <f t="shared" si="4"/>
        <v/>
      </c>
      <c r="R320" s="22">
        <f>IFERROR(__xludf.DUMMYFUNCTION("GOOGLEFINANCE(B320, ""pe"")
"),57.02)</f>
        <v>57.02</v>
      </c>
    </row>
    <row r="321">
      <c r="A321" s="9" t="s">
        <v>333</v>
      </c>
      <c r="B321" s="11" t="str">
        <f t="shared" si="1"/>
        <v>NSE:COFORGE</v>
      </c>
      <c r="C321" s="12">
        <f>IFERROR(__xludf.DUMMYFUNCTION("GOOGLEFINANCE(B321,""marketcap"")/10000000"),58014.43739)</f>
        <v>58014.43739</v>
      </c>
      <c r="D321" s="13">
        <f>IFERROR(__xludf.DUMMYFUNCTION("GOOGLEFINANCE(B321,""price"")"),1727.8)</f>
        <v>1727.8</v>
      </c>
      <c r="E321" s="14">
        <f>IFERROR(__xludf.DUMMYFUNCTION("GOOGLEFINANCE(B321,""Volume"")"),1266024.0)</f>
        <v>1266024</v>
      </c>
      <c r="F321" s="14">
        <f t="array" ref="F321">F320</f>
        <v>14</v>
      </c>
      <c r="G321" s="15" t="str">
        <f>IFERROR(__xludf.DUMMYFUNCTION("IF(E321&gt;AVERAGE(INDEX(GOOGLEFINANCE(B321,""volume"",WORKDAY(TODAY(),-$F$1),TODAY()),,2)),""Breakout"","""")"),"")</f>
        <v/>
      </c>
      <c r="H321" s="16">
        <f>IFERROR(__xludf.DUMMYFUNCTION("GOOGLEFINANCE(B321,""price"")"),1727.8)</f>
        <v>1727.8</v>
      </c>
      <c r="I321" s="17" t="str">
        <f>IFERROR(__xludf.DUMMYFUNCTION("AVERAGE(QUERY(SORT(GOOGLEFINANCE(B321,""price"",TODAY()-365,TODAY()),1,0),""select Col2 limit 10""))"),"#N/A")</f>
        <v>#N/A</v>
      </c>
      <c r="J321" s="17" t="str">
        <f>IFERROR(__xludf.DUMMYFUNCTION("AVERAGE(QUERY(SORT(GOOGLEFINANCE(B321,""price"",TODAY()-365,TODAY()),1,0),""select Col2 limit 30""))"),"#N/A")</f>
        <v>#N/A</v>
      </c>
      <c r="K321" s="18" t="str">
        <f>IFERROR(__xludf.DUMMYFUNCTION("AVERAGE(QUERY(SORT(GOOGLEFINANCE(B321,""price"",TODAY()-365,TODAY()),1,0),""select Col2 limit 60""))"),"#N/A")</f>
        <v>#N/A</v>
      </c>
      <c r="L321" s="17" t="str">
        <f>IFERROR(__xludf.DUMMYFUNCTION("AVERAGE(QUERY(SORT(GOOGLEFINANCE(B321,""price"",TODAY()-365,TODAY()),1,0),""select Col2 limit 90""))"),"#N/A")</f>
        <v>#N/A</v>
      </c>
      <c r="M321" s="17" t="str">
        <f>IFERROR(__xludf.DUMMYFUNCTION("AVERAGE(QUERY(SORT(GOOGLEFINANCE(B321,""price"",TODAY()-365,TODAY()),1,0),""select Col2 limit 120""))"),"#N/A")</f>
        <v>#N/A</v>
      </c>
      <c r="N321" s="19" t="str">
        <f>IFERROR(__xludf.DUMMYFUNCTION("AVERAGE(QUERY(SORT(GOOGLEFINANCE(B321,""price"",TODAY()-365,TODAY()),1,0),""select Col2 limit 200""))"),"#N/A")</f>
        <v>#N/A</v>
      </c>
      <c r="O321" s="20" t="str">
        <f t="shared" si="2"/>
        <v>#N/A</v>
      </c>
      <c r="P321" s="21" t="str">
        <f t="shared" si="3"/>
        <v>#N/A</v>
      </c>
      <c r="Q321" s="21" t="str">
        <f t="shared" si="4"/>
        <v>#N/A</v>
      </c>
      <c r="R321" s="22">
        <f>IFERROR(__xludf.DUMMYFUNCTION("GOOGLEFINANCE(B321, ""pe"")
"),58.28)</f>
        <v>58.28</v>
      </c>
    </row>
    <row r="322">
      <c r="A322" s="9" t="s">
        <v>334</v>
      </c>
      <c r="B322" s="11" t="str">
        <f t="shared" si="1"/>
        <v>NSE:JUBLFOOD</v>
      </c>
      <c r="C322" s="12">
        <f>IFERROR(__xludf.DUMMYFUNCTION("GOOGLEFINANCE(B322,""marketcap"")/10000000"),42964.4304892)</f>
        <v>42964.43049</v>
      </c>
      <c r="D322" s="13">
        <f>IFERROR(__xludf.DUMMYFUNCTION("GOOGLEFINANCE(B322,""price"")"),653.3)</f>
        <v>653.3</v>
      </c>
      <c r="E322" s="14">
        <f>IFERROR(__xludf.DUMMYFUNCTION("GOOGLEFINANCE(B322,""Volume"")"),315300.0)</f>
        <v>315300</v>
      </c>
      <c r="F322" s="14">
        <f t="array" ref="F322">F321</f>
        <v>14</v>
      </c>
      <c r="G322" s="15" t="str">
        <f>IFERROR(__xludf.DUMMYFUNCTION("IF(E322&gt;AVERAGE(INDEX(GOOGLEFINANCE(B322,""volume"",WORKDAY(TODAY(),-$F$1),TODAY()),,2)),""Breakout"","""")"),"")</f>
        <v/>
      </c>
      <c r="H322" s="16">
        <f>IFERROR(__xludf.DUMMYFUNCTION("GOOGLEFINANCE(B322,""price"")"),653.3)</f>
        <v>653.3</v>
      </c>
      <c r="I322" s="17">
        <f>IFERROR(__xludf.DUMMYFUNCTION("AVERAGE(QUERY(SORT(GOOGLEFINANCE(B322,""price"",TODAY()-365,TODAY()),1,0),""select Col2 limit 10""))"),677.4100000000001)</f>
        <v>677.41</v>
      </c>
      <c r="J322" s="17">
        <f>IFERROR(__xludf.DUMMYFUNCTION("AVERAGE(QUERY(SORT(GOOGLEFINANCE(B322,""price"",TODAY()-365,TODAY()),1,0),""select Col2 limit 30""))"),687.3816666666664)</f>
        <v>687.3816667</v>
      </c>
      <c r="K322" s="18">
        <f>IFERROR(__xludf.DUMMYFUNCTION("AVERAGE(QUERY(SORT(GOOGLEFINANCE(B322,""price"",TODAY()-365,TODAY()),1,0),""select Col2 limit 60""))"),685.8958333333333)</f>
        <v>685.8958333</v>
      </c>
      <c r="L322" s="17">
        <f>IFERROR(__xludf.DUMMYFUNCTION("AVERAGE(QUERY(SORT(GOOGLEFINANCE(B322,""price"",TODAY()-365,TODAY()),1,0),""select Col2 limit 90""))"),677.7244444444443)</f>
        <v>677.7244444</v>
      </c>
      <c r="M322" s="17">
        <f>IFERROR(__xludf.DUMMYFUNCTION("AVERAGE(QUERY(SORT(GOOGLEFINANCE(B322,""price"",TODAY()-365,TODAY()),1,0),""select Col2 limit 120""))"),677.3737499999996)</f>
        <v>677.37375</v>
      </c>
      <c r="N322" s="19">
        <f>IFERROR(__xludf.DUMMYFUNCTION("AVERAGE(QUERY(SORT(GOOGLEFINANCE(B322,""price"",TODAY()-365,TODAY()),1,0),""select Col2 limit 200""))"),669.8179999999996)</f>
        <v>669.818</v>
      </c>
      <c r="O322" s="20" t="str">
        <f t="shared" si="2"/>
        <v>Avoid</v>
      </c>
      <c r="P322" s="21" t="str">
        <f t="shared" si="3"/>
        <v/>
      </c>
      <c r="Q322" s="21" t="str">
        <f t="shared" si="4"/>
        <v/>
      </c>
      <c r="R322" s="22">
        <f>IFERROR(__xludf.DUMMYFUNCTION("GOOGLEFINANCE(B322, ""pe"")
"),191.23)</f>
        <v>191.23</v>
      </c>
    </row>
    <row r="323">
      <c r="A323" s="9" t="s">
        <v>335</v>
      </c>
      <c r="B323" s="11" t="str">
        <f t="shared" si="1"/>
        <v>NSE:FORTIS</v>
      </c>
      <c r="C323" s="12">
        <f>IFERROR(__xludf.DUMMYFUNCTION("GOOGLEFINANCE(B323,""marketcap"")/10000000"),63586.3459725)</f>
        <v>63586.34597</v>
      </c>
      <c r="D323" s="13">
        <f>IFERROR(__xludf.DUMMYFUNCTION("GOOGLEFINANCE(B323,""price"")"),843.05)</f>
        <v>843.05</v>
      </c>
      <c r="E323" s="14">
        <f>IFERROR(__xludf.DUMMYFUNCTION("GOOGLEFINANCE(B323,""Volume"")"),989069.0)</f>
        <v>989069</v>
      </c>
      <c r="F323" s="14">
        <f t="array" ref="F323">F322</f>
        <v>14</v>
      </c>
      <c r="G323" s="15" t="str">
        <f>IFERROR(__xludf.DUMMYFUNCTION("IF(E323&gt;AVERAGE(INDEX(GOOGLEFINANCE(B323,""volume"",WORKDAY(TODAY(),-$F$1),TODAY()),,2)),""Breakout"","""")"),"#N/A")</f>
        <v>#N/A</v>
      </c>
      <c r="H323" s="16">
        <f>IFERROR(__xludf.DUMMYFUNCTION("GOOGLEFINANCE(B323,""price"")"),843.05)</f>
        <v>843.05</v>
      </c>
      <c r="I323" s="17">
        <f>IFERROR(__xludf.DUMMYFUNCTION("AVERAGE(QUERY(SORT(GOOGLEFINANCE(B323,""price"",TODAY()-365,TODAY()),1,0),""select Col2 limit 10""))"),811.26)</f>
        <v>811.26</v>
      </c>
      <c r="J323" s="17">
        <f>IFERROR(__xludf.DUMMYFUNCTION("AVERAGE(QUERY(SORT(GOOGLEFINANCE(B323,""price"",TODAY()-365,TODAY()),1,0),""select Col2 limit 30""))"),788.5999999999999)</f>
        <v>788.6</v>
      </c>
      <c r="K323" s="18">
        <f>IFERROR(__xludf.DUMMYFUNCTION("AVERAGE(QUERY(SORT(GOOGLEFINANCE(B323,""price"",TODAY()-365,TODAY()),1,0),""select Col2 limit 60""))"),750.495)</f>
        <v>750.495</v>
      </c>
      <c r="L323" s="17">
        <f>IFERROR(__xludf.DUMMYFUNCTION("AVERAGE(QUERY(SORT(GOOGLEFINANCE(B323,""price"",TODAY()-365,TODAY()),1,0),""select Col2 limit 90""))"),718.7049999999999)</f>
        <v>718.705</v>
      </c>
      <c r="M323" s="17">
        <f>IFERROR(__xludf.DUMMYFUNCTION("AVERAGE(QUERY(SORT(GOOGLEFINANCE(B323,""price"",TODAY()-365,TODAY()),1,0),""select Col2 limit 120""))"),695.2208333333334)</f>
        <v>695.2208333</v>
      </c>
      <c r="N323" s="19">
        <f>IFERROR(__xludf.DUMMYFUNCTION("AVERAGE(QUERY(SORT(GOOGLEFINANCE(B323,""price"",TODAY()-365,TODAY()),1,0),""select Col2 limit 200""))"),678.7282500000002)</f>
        <v>678.72825</v>
      </c>
      <c r="O323" s="20" t="str">
        <f t="shared" si="2"/>
        <v>Avoid</v>
      </c>
      <c r="P323" s="21" t="str">
        <f t="shared" si="3"/>
        <v/>
      </c>
      <c r="Q323" s="21" t="str">
        <f t="shared" si="4"/>
        <v/>
      </c>
      <c r="R323" s="22">
        <f>IFERROR(__xludf.DUMMYFUNCTION("GOOGLEFINANCE(B323, ""pe"")
"),82.55)</f>
        <v>82.55</v>
      </c>
    </row>
    <row r="324">
      <c r="A324" s="9" t="s">
        <v>336</v>
      </c>
      <c r="B324" s="11" t="str">
        <f t="shared" si="1"/>
        <v>NSE:M&amp;MFIN</v>
      </c>
      <c r="C324" s="12">
        <f>IFERROR(__xludf.DUMMYFUNCTION("GOOGLEFINANCE(B324,""marketcap"")/10000000"),34691.644586)</f>
        <v>34691.64459</v>
      </c>
      <c r="D324" s="13">
        <f>IFERROR(__xludf.DUMMYFUNCTION("GOOGLEFINANCE(B324,""price"")"),250.05)</f>
        <v>250.05</v>
      </c>
      <c r="E324" s="14">
        <f>IFERROR(__xludf.DUMMYFUNCTION("GOOGLEFINANCE(B324,""Volume"")"),3053350.0)</f>
        <v>3053350</v>
      </c>
      <c r="F324" s="14">
        <f t="array" ref="F324">F323</f>
        <v>14</v>
      </c>
      <c r="G324" s="15" t="str">
        <f>IFERROR(__xludf.DUMMYFUNCTION("IF(E324&gt;AVERAGE(INDEX(GOOGLEFINANCE(B324,""volume"",WORKDAY(TODAY(),-$F$1),TODAY()),,2)),""Breakout"","""")"),"Breakout")</f>
        <v>Breakout</v>
      </c>
      <c r="H324" s="16">
        <f>IFERROR(__xludf.DUMMYFUNCTION("GOOGLEFINANCE(B324,""price"")"),250.05)</f>
        <v>250.05</v>
      </c>
      <c r="I324" s="17">
        <f>IFERROR(__xludf.DUMMYFUNCTION("AVERAGE(QUERY(SORT(GOOGLEFINANCE(B324,""price"",TODAY()-365,TODAY()),1,0),""select Col2 limit 10""))"),262.05)</f>
        <v>262.05</v>
      </c>
      <c r="J324" s="17">
        <f>IFERROR(__xludf.DUMMYFUNCTION("AVERAGE(QUERY(SORT(GOOGLEFINANCE(B324,""price"",TODAY()-365,TODAY()),1,0),""select Col2 limit 30""))"),267.825)</f>
        <v>267.825</v>
      </c>
      <c r="K324" s="18">
        <f>IFERROR(__xludf.DUMMYFUNCTION("AVERAGE(QUERY(SORT(GOOGLEFINANCE(B324,""price"",TODAY()-365,TODAY()),1,0),""select Col2 limit 60""))"),262.61050000000006)</f>
        <v>262.6105</v>
      </c>
      <c r="L324" s="17">
        <f>IFERROR(__xludf.DUMMYFUNCTION("AVERAGE(QUERY(SORT(GOOGLEFINANCE(B324,""price"",TODAY()-365,TODAY()),1,0),""select Col2 limit 90""))"),264.2227777777779)</f>
        <v>264.2227778</v>
      </c>
      <c r="M324" s="17">
        <f>IFERROR(__xludf.DUMMYFUNCTION("AVERAGE(QUERY(SORT(GOOGLEFINANCE(B324,""price"",TODAY()-365,TODAY()),1,0),""select Col2 limit 120""))"),265.87233333333336)</f>
        <v>265.8723333</v>
      </c>
      <c r="N324" s="19">
        <f>IFERROR(__xludf.DUMMYFUNCTION("AVERAGE(QUERY(SORT(GOOGLEFINANCE(B324,""price"",TODAY()-365,TODAY()),1,0),""select Col2 limit 200""))"),267.96375)</f>
        <v>267.96375</v>
      </c>
      <c r="O324" s="20" t="str">
        <f t="shared" si="2"/>
        <v>Avoid</v>
      </c>
      <c r="P324" s="21" t="str">
        <f t="shared" si="3"/>
        <v/>
      </c>
      <c r="Q324" s="21" t="str">
        <f t="shared" si="4"/>
        <v/>
      </c>
      <c r="R324" s="22">
        <f>IFERROR(__xludf.DUMMYFUNCTION("GOOGLEFINANCE(B324, ""pe"")
"),13.94)</f>
        <v>13.94</v>
      </c>
    </row>
    <row r="325">
      <c r="A325" s="9" t="s">
        <v>337</v>
      </c>
      <c r="B325" s="11" t="str">
        <f t="shared" si="1"/>
        <v>NSE:METROBRAND</v>
      </c>
      <c r="C325" s="12">
        <f>IFERROR(__xludf.DUMMYFUNCTION("GOOGLEFINANCE(B325,""marketcap"")/10000000"),33230.3332847)</f>
        <v>33230.33328</v>
      </c>
      <c r="D325" s="13">
        <f>IFERROR(__xludf.DUMMYFUNCTION("GOOGLEFINANCE(B325,""price"")"),1215.1)</f>
        <v>1215.1</v>
      </c>
      <c r="E325" s="14">
        <f>IFERROR(__xludf.DUMMYFUNCTION("GOOGLEFINANCE(B325,""Volume"")"),43536.0)</f>
        <v>43536</v>
      </c>
      <c r="F325" s="14">
        <f t="array" ref="F325">F324</f>
        <v>14</v>
      </c>
      <c r="G325" s="15" t="str">
        <f>IFERROR(__xludf.DUMMYFUNCTION("IF(E325&gt;AVERAGE(INDEX(GOOGLEFINANCE(B325,""volume"",WORKDAY(TODAY(),-$F$1),TODAY()),,2)),""Breakout"","""")"),"")</f>
        <v/>
      </c>
      <c r="H325" s="16">
        <f>IFERROR(__xludf.DUMMYFUNCTION("GOOGLEFINANCE(B325,""price"")"),1215.1)</f>
        <v>1215.1</v>
      </c>
      <c r="I325" s="17">
        <f>IFERROR(__xludf.DUMMYFUNCTION("AVERAGE(QUERY(SORT(GOOGLEFINANCE(B325,""price"",TODAY()-365,TODAY()),1,0),""select Col2 limit 10""))"),1202.99)</f>
        <v>1202.99</v>
      </c>
      <c r="J325" s="17">
        <f>IFERROR(__xludf.DUMMYFUNCTION("AVERAGE(QUERY(SORT(GOOGLEFINANCE(B325,""price"",TODAY()-365,TODAY()),1,0),""select Col2 limit 30""))"),1175.8933333333332)</f>
        <v>1175.893333</v>
      </c>
      <c r="K325" s="18">
        <f>IFERROR(__xludf.DUMMYFUNCTION("AVERAGE(QUERY(SORT(GOOGLEFINANCE(B325,""price"",TODAY()-365,TODAY()),1,0),""select Col2 limit 60""))"),1176.25)</f>
        <v>1176.25</v>
      </c>
      <c r="L325" s="17">
        <f>IFERROR(__xludf.DUMMYFUNCTION("AVERAGE(QUERY(SORT(GOOGLEFINANCE(B325,""price"",TODAY()-365,TODAY()),1,0),""select Col2 limit 90""))"),1140.5077777777778)</f>
        <v>1140.507778</v>
      </c>
      <c r="M325" s="17">
        <f>IFERROR(__xludf.DUMMYFUNCTION("AVERAGE(QUERY(SORT(GOOGLEFINANCE(B325,""price"",TODAY()-365,TODAY()),1,0),""select Col2 limit 120""))"),1146.7020833333336)</f>
        <v>1146.702083</v>
      </c>
      <c r="N325" s="19">
        <f>IFERROR(__xludf.DUMMYFUNCTION("AVERAGE(QUERY(SORT(GOOGLEFINANCE(B325,""price"",TODAY()-365,TODAY()),1,0),""select Col2 limit 200""))"),1175.6790000000003)</f>
        <v>1175.679</v>
      </c>
      <c r="O325" s="20" t="str">
        <f t="shared" si="2"/>
        <v>Avoid</v>
      </c>
      <c r="P325" s="21" t="str">
        <f t="shared" si="3"/>
        <v/>
      </c>
      <c r="Q325" s="21" t="str">
        <f t="shared" si="4"/>
        <v/>
      </c>
      <c r="R325" s="22">
        <f>IFERROR(__xludf.DUMMYFUNCTION("GOOGLEFINANCE(B325, ""pe"")
"),95.05)</f>
        <v>95.05</v>
      </c>
    </row>
    <row r="326">
      <c r="A326" s="9" t="s">
        <v>338</v>
      </c>
      <c r="B326" s="11" t="str">
        <f t="shared" si="1"/>
        <v>NSE:FLUOROCHEM</v>
      </c>
      <c r="C326" s="12">
        <f>IFERROR(__xludf.DUMMYFUNCTION("GOOGLEFINANCE(B326,""marketcap"")/10000000"),38371.7045727)</f>
        <v>38371.70457</v>
      </c>
      <c r="D326" s="13">
        <f>IFERROR(__xludf.DUMMYFUNCTION("GOOGLEFINANCE(B326,""price"")"),3505.0)</f>
        <v>3505</v>
      </c>
      <c r="E326" s="14">
        <f>IFERROR(__xludf.DUMMYFUNCTION("GOOGLEFINANCE(B326,""Volume"")"),16234.0)</f>
        <v>16234</v>
      </c>
      <c r="F326" s="14">
        <f t="array" ref="F326">F325</f>
        <v>14</v>
      </c>
      <c r="G326" s="15" t="str">
        <f>IFERROR(__xludf.DUMMYFUNCTION("IF(E326&gt;AVERAGE(INDEX(GOOGLEFINANCE(B326,""volume"",WORKDAY(TODAY(),-$F$1),TODAY()),,2)),""Breakout"","""")"),"")</f>
        <v/>
      </c>
      <c r="H326" s="16">
        <f>IFERROR(__xludf.DUMMYFUNCTION("GOOGLEFINANCE(B326,""price"")"),3505.0)</f>
        <v>3505</v>
      </c>
      <c r="I326" s="17">
        <f>IFERROR(__xludf.DUMMYFUNCTION("AVERAGE(QUERY(SORT(GOOGLEFINANCE(B326,""price"",TODAY()-365,TODAY()),1,0),""select Col2 limit 10""))"),3506.44)</f>
        <v>3506.44</v>
      </c>
      <c r="J326" s="17">
        <f>IFERROR(__xludf.DUMMYFUNCTION("AVERAGE(QUERY(SORT(GOOGLEFINANCE(B326,""price"",TODAY()-365,TODAY()),1,0),""select Col2 limit 30""))"),3497.096666666667)</f>
        <v>3497.096667</v>
      </c>
      <c r="K326" s="18">
        <f>IFERROR(__xludf.DUMMYFUNCTION("AVERAGE(QUERY(SORT(GOOGLEFINANCE(B326,""price"",TODAY()-365,TODAY()),1,0),""select Col2 limit 60""))"),3657.321666666667)</f>
        <v>3657.321667</v>
      </c>
      <c r="L326" s="17">
        <f>IFERROR(__xludf.DUMMYFUNCTION("AVERAGE(QUERY(SORT(GOOGLEFINANCE(B326,""price"",TODAY()-365,TODAY()),1,0),""select Col2 limit 90""))"),3741.9544444444455)</f>
        <v>3741.954444</v>
      </c>
      <c r="M326" s="17">
        <f>IFERROR(__xludf.DUMMYFUNCTION("AVERAGE(QUERY(SORT(GOOGLEFINANCE(B326,""price"",TODAY()-365,TODAY()),1,0),""select Col2 limit 120""))"),3729.3666666666677)</f>
        <v>3729.366667</v>
      </c>
      <c r="N326" s="19">
        <f>IFERROR(__xludf.DUMMYFUNCTION("AVERAGE(QUERY(SORT(GOOGLEFINANCE(B326,""price"",TODAY()-365,TODAY()),1,0),""select Col2 limit 200""))"),3897.7915000000007)</f>
        <v>3897.7915</v>
      </c>
      <c r="O326" s="20" t="str">
        <f t="shared" si="2"/>
        <v>Avoid</v>
      </c>
      <c r="P326" s="21" t="str">
        <f t="shared" si="3"/>
        <v>10 DMA</v>
      </c>
      <c r="Q326" s="21" t="str">
        <f t="shared" si="4"/>
        <v/>
      </c>
      <c r="R326" s="22">
        <f>IFERROR(__xludf.DUMMYFUNCTION("GOOGLEFINANCE(B326, ""pe"")
"),70.54)</f>
        <v>70.54</v>
      </c>
    </row>
    <row r="327">
      <c r="A327" s="9" t="s">
        <v>339</v>
      </c>
      <c r="B327" s="11" t="str">
        <f t="shared" si="1"/>
        <v>NSE:360ONE</v>
      </c>
      <c r="C327" s="12">
        <f>IFERROR(__xludf.DUMMYFUNCTION("GOOGLEFINANCE(B327,""marketcap"")/10000000"),43573.5891)</f>
        <v>43573.5891</v>
      </c>
      <c r="D327" s="13">
        <f>IFERROR(__xludf.DUMMYFUNCTION("GOOGLEFINANCE(B327,""price"")"),1077.5)</f>
        <v>1077.5</v>
      </c>
      <c r="E327" s="14">
        <f>IFERROR(__xludf.DUMMYFUNCTION("GOOGLEFINANCE(B327,""Volume"")"),670756.0)</f>
        <v>670756</v>
      </c>
      <c r="F327" s="14">
        <f t="array" ref="F327">F326</f>
        <v>14</v>
      </c>
      <c r="G327" s="15" t="str">
        <f>IFERROR(__xludf.DUMMYFUNCTION("IF(E327&gt;AVERAGE(INDEX(GOOGLEFINANCE(B327,""volume"",WORKDAY(TODAY(),-$F$1),TODAY()),,2)),""Breakout"","""")"),"")</f>
        <v/>
      </c>
      <c r="H327" s="16">
        <f>IFERROR(__xludf.DUMMYFUNCTION("GOOGLEFINANCE(B327,""price"")"),1077.5)</f>
        <v>1077.5</v>
      </c>
      <c r="I327" s="17">
        <f>IFERROR(__xludf.DUMMYFUNCTION("AVERAGE(QUERY(SORT(GOOGLEFINANCE(B327,""price"",TODAY()-365,TODAY()),1,0),""select Col2 limit 10""))"),1167.77)</f>
        <v>1167.77</v>
      </c>
      <c r="J327" s="17">
        <f>IFERROR(__xludf.DUMMYFUNCTION("AVERAGE(QUERY(SORT(GOOGLEFINANCE(B327,""price"",TODAY()-365,TODAY()),1,0),""select Col2 limit 30""))"),1176.5016666666668)</f>
        <v>1176.501667</v>
      </c>
      <c r="K327" s="18">
        <f>IFERROR(__xludf.DUMMYFUNCTION("AVERAGE(QUERY(SORT(GOOGLEFINANCE(B327,""price"",TODAY()-365,TODAY()),1,0),""select Col2 limit 60""))"),1092.9516666666668)</f>
        <v>1092.951667</v>
      </c>
      <c r="L327" s="17">
        <f>IFERROR(__xludf.DUMMYFUNCTION("AVERAGE(QUERY(SORT(GOOGLEFINANCE(B327,""price"",TODAY()-365,TODAY()),1,0),""select Col2 limit 90""))"),1041.0072222222223)</f>
        <v>1041.007222</v>
      </c>
      <c r="M327" s="17">
        <f>IFERROR(__xludf.DUMMYFUNCTION("AVERAGE(QUERY(SORT(GOOGLEFINANCE(B327,""price"",TODAY()-365,TODAY()),1,0),""select Col2 limit 120""))"),1023.0008333333333)</f>
        <v>1023.000833</v>
      </c>
      <c r="N327" s="19">
        <f>IFERROR(__xludf.DUMMYFUNCTION("AVERAGE(QUERY(SORT(GOOGLEFINANCE(B327,""price"",TODAY()-365,TODAY()),1,0),""select Col2 limit 200""))"),1063.3650000000002)</f>
        <v>1063.365</v>
      </c>
      <c r="O327" s="20" t="str">
        <f t="shared" si="2"/>
        <v>Avoid</v>
      </c>
      <c r="P327" s="21" t="str">
        <f t="shared" si="3"/>
        <v/>
      </c>
      <c r="Q327" s="21" t="str">
        <f t="shared" si="4"/>
        <v/>
      </c>
      <c r="R327" s="22">
        <f>IFERROR(__xludf.DUMMYFUNCTION("GOOGLEFINANCE(B327, ""pe"")
"),40.6)</f>
        <v>40.6</v>
      </c>
    </row>
    <row r="328">
      <c r="A328" s="9" t="s">
        <v>340</v>
      </c>
      <c r="B328" s="11" t="str">
        <f t="shared" si="1"/>
        <v>NSE:EMAMILTD</v>
      </c>
      <c r="C328" s="12">
        <f>IFERROR(__xludf.DUMMYFUNCTION("GOOGLEFINANCE(B328,""marketcap"")/10000000"),24913.2317925)</f>
        <v>24913.23179</v>
      </c>
      <c r="D328" s="13">
        <f>IFERROR(__xludf.DUMMYFUNCTION("GOOGLEFINANCE(B328,""price"")"),570.55)</f>
        <v>570.55</v>
      </c>
      <c r="E328" s="14">
        <f>IFERROR(__xludf.DUMMYFUNCTION("GOOGLEFINANCE(B328,""Volume"")"),98497.0)</f>
        <v>98497</v>
      </c>
      <c r="F328" s="14">
        <f t="array" ref="F328">F327</f>
        <v>14</v>
      </c>
      <c r="G328" s="15" t="str">
        <f>IFERROR(__xludf.DUMMYFUNCTION("IF(E328&gt;AVERAGE(INDEX(GOOGLEFINANCE(B328,""volume"",WORKDAY(TODAY(),-$F$1),TODAY()),,2)),""Breakout"","""")"),"")</f>
        <v/>
      </c>
      <c r="H328" s="16">
        <f>IFERROR(__xludf.DUMMYFUNCTION("GOOGLEFINANCE(B328,""price"")"),570.55)</f>
        <v>570.55</v>
      </c>
      <c r="I328" s="17">
        <f>IFERROR(__xludf.DUMMYFUNCTION("AVERAGE(QUERY(SORT(GOOGLEFINANCE(B328,""price"",TODAY()-365,TODAY()),1,0),""select Col2 limit 10""))"),584.215)</f>
        <v>584.215</v>
      </c>
      <c r="J328" s="17">
        <f>IFERROR(__xludf.DUMMYFUNCTION("AVERAGE(QUERY(SORT(GOOGLEFINANCE(B328,""price"",TODAY()-365,TODAY()),1,0),""select Col2 limit 30""))"),575.6316666666667)</f>
        <v>575.6316667</v>
      </c>
      <c r="K328" s="18">
        <f>IFERROR(__xludf.DUMMYFUNCTION("AVERAGE(QUERY(SORT(GOOGLEFINANCE(B328,""price"",TODAY()-365,TODAY()),1,0),""select Col2 limit 60""))"),589.5891666666668)</f>
        <v>589.5891667</v>
      </c>
      <c r="L328" s="17">
        <f>IFERROR(__xludf.DUMMYFUNCTION("AVERAGE(QUERY(SORT(GOOGLEFINANCE(B328,""price"",TODAY()-365,TODAY()),1,0),""select Col2 limit 90""))"),591.9133333333335)</f>
        <v>591.9133333</v>
      </c>
      <c r="M328" s="17">
        <f>IFERROR(__xludf.DUMMYFUNCTION("AVERAGE(QUERY(SORT(GOOGLEFINANCE(B328,""price"",TODAY()-365,TODAY()),1,0),""select Col2 limit 120""))"),582.6225000000003)</f>
        <v>582.6225</v>
      </c>
      <c r="N328" s="19">
        <f>IFERROR(__xludf.DUMMYFUNCTION("AVERAGE(QUERY(SORT(GOOGLEFINANCE(B328,""price"",TODAY()-365,TODAY()),1,0),""select Col2 limit 200""))"),603.4857500000005)</f>
        <v>603.48575</v>
      </c>
      <c r="O328" s="20" t="str">
        <f t="shared" si="2"/>
        <v>Avoid</v>
      </c>
      <c r="P328" s="21" t="str">
        <f t="shared" si="3"/>
        <v>30 DMA</v>
      </c>
      <c r="Q328" s="21" t="str">
        <f t="shared" si="4"/>
        <v/>
      </c>
      <c r="R328" s="22">
        <f>IFERROR(__xludf.DUMMYFUNCTION("GOOGLEFINANCE(B328, ""pe"")
"),30.88)</f>
        <v>30.88</v>
      </c>
    </row>
    <row r="329">
      <c r="A329" s="9" t="s">
        <v>341</v>
      </c>
      <c r="B329" s="11" t="str">
        <f t="shared" si="1"/>
        <v>NSE:MFSL</v>
      </c>
      <c r="C329" s="12">
        <f>IFERROR(__xludf.DUMMYFUNCTION("GOOGLEFINANCE(B329,""marketcap"")/10000000"),53099.3622854)</f>
        <v>53099.36229</v>
      </c>
      <c r="D329" s="13">
        <f>IFERROR(__xludf.DUMMYFUNCTION("GOOGLEFINANCE(B329,""price"")"),1543.0)</f>
        <v>1543</v>
      </c>
      <c r="E329" s="14">
        <f>IFERROR(__xludf.DUMMYFUNCTION("GOOGLEFINANCE(B329,""Volume"")"),139698.0)</f>
        <v>139698</v>
      </c>
      <c r="F329" s="14">
        <f t="array" ref="F329">F328</f>
        <v>14</v>
      </c>
      <c r="G329" s="15" t="str">
        <f>IFERROR(__xludf.DUMMYFUNCTION("IF(E329&gt;AVERAGE(INDEX(GOOGLEFINANCE(B329,""volume"",WORKDAY(TODAY(),-$F$1),TODAY()),,2)),""Breakout"","""")"),"")</f>
        <v/>
      </c>
      <c r="H329" s="16">
        <f>IFERROR(__xludf.DUMMYFUNCTION("GOOGLEFINANCE(B329,""price"")"),1543.0)</f>
        <v>1543</v>
      </c>
      <c r="I329" s="17" t="str">
        <f>IFERROR(__xludf.DUMMYFUNCTION("AVERAGE(QUERY(SORT(GOOGLEFINANCE(B329,""price"",TODAY()-365,TODAY()),1,0),""select Col2 limit 10""))"),"#N/A")</f>
        <v>#N/A</v>
      </c>
      <c r="J329" s="17" t="str">
        <f>IFERROR(__xludf.DUMMYFUNCTION("AVERAGE(QUERY(SORT(GOOGLEFINANCE(B329,""price"",TODAY()-365,TODAY()),1,0),""select Col2 limit 30""))"),"#N/A")</f>
        <v>#N/A</v>
      </c>
      <c r="K329" s="18" t="str">
        <f>IFERROR(__xludf.DUMMYFUNCTION("AVERAGE(QUERY(SORT(GOOGLEFINANCE(B329,""price"",TODAY()-365,TODAY()),1,0),""select Col2 limit 60""))"),"#N/A")</f>
        <v>#N/A</v>
      </c>
      <c r="L329" s="17" t="str">
        <f>IFERROR(__xludf.DUMMYFUNCTION("AVERAGE(QUERY(SORT(GOOGLEFINANCE(B329,""price"",TODAY()-365,TODAY()),1,0),""select Col2 limit 90""))"),"#N/A")</f>
        <v>#N/A</v>
      </c>
      <c r="M329" s="17" t="str">
        <f>IFERROR(__xludf.DUMMYFUNCTION("AVERAGE(QUERY(SORT(GOOGLEFINANCE(B329,""price"",TODAY()-365,TODAY()),1,0),""select Col2 limit 120""))"),"#N/A")</f>
        <v>#N/A</v>
      </c>
      <c r="N329" s="19" t="str">
        <f>IFERROR(__xludf.DUMMYFUNCTION("AVERAGE(QUERY(SORT(GOOGLEFINANCE(B329,""price"",TODAY()-365,TODAY()),1,0),""select Col2 limit 200""))"),"#N/A")</f>
        <v>#N/A</v>
      </c>
      <c r="O329" s="20" t="str">
        <f t="shared" si="2"/>
        <v>#N/A</v>
      </c>
      <c r="P329" s="21" t="str">
        <f t="shared" si="3"/>
        <v>#N/A</v>
      </c>
      <c r="Q329" s="21" t="str">
        <f t="shared" si="4"/>
        <v>#N/A</v>
      </c>
      <c r="R329" s="22">
        <f>IFERROR(__xludf.DUMMYFUNCTION("GOOGLEFINANCE(B329, ""pe"")
"),160.24)</f>
        <v>160.24</v>
      </c>
    </row>
    <row r="330">
      <c r="A330" s="9" t="s">
        <v>342</v>
      </c>
      <c r="B330" s="11" t="str">
        <f t="shared" si="1"/>
        <v>NSE:NATIONALUM</v>
      </c>
      <c r="C330" s="12">
        <f>IFERROR(__xludf.DUMMYFUNCTION("GOOGLEFINANCE(B330,""marketcap"")/10000000"),34675.5938404)</f>
        <v>34675.59384</v>
      </c>
      <c r="D330" s="13">
        <f>IFERROR(__xludf.DUMMYFUNCTION("GOOGLEFINANCE(B330,""price"")"),188.7)</f>
        <v>188.7</v>
      </c>
      <c r="E330" s="14">
        <f>IFERROR(__xludf.DUMMYFUNCTION("GOOGLEFINANCE(B330,""Volume"")"),4676926.0)</f>
        <v>4676926</v>
      </c>
      <c r="F330" s="14">
        <f t="array" ref="F330">F329</f>
        <v>14</v>
      </c>
      <c r="G330" s="15" t="str">
        <f>IFERROR(__xludf.DUMMYFUNCTION("IF(E330&gt;AVERAGE(INDEX(GOOGLEFINANCE(B330,""volume"",WORKDAY(TODAY(),-$F$1),TODAY()),,2)),""Breakout"","""")"),"")</f>
        <v/>
      </c>
      <c r="H330" s="16">
        <f>IFERROR(__xludf.DUMMYFUNCTION("GOOGLEFINANCE(B330,""price"")"),188.7)</f>
        <v>188.7</v>
      </c>
      <c r="I330" s="17">
        <f>IFERROR(__xludf.DUMMYFUNCTION("AVERAGE(QUERY(SORT(GOOGLEFINANCE(B330,""price"",TODAY()-365,TODAY()),1,0),""select Col2 limit 10""))"),192.74399999999997)</f>
        <v>192.744</v>
      </c>
      <c r="J330" s="17">
        <f>IFERROR(__xludf.DUMMYFUNCTION("AVERAGE(QUERY(SORT(GOOGLEFINANCE(B330,""price"",TODAY()-365,TODAY()),1,0),""select Col2 limit 30""))"),190.20033333333325)</f>
        <v>190.2003333</v>
      </c>
      <c r="K330" s="18">
        <f>IFERROR(__xludf.DUMMYFUNCTION("AVERAGE(QUERY(SORT(GOOGLEFINANCE(B330,""price"",TODAY()-365,TODAY()),1,0),""select Col2 limit 60""))"),183.9385000000001)</f>
        <v>183.9385</v>
      </c>
      <c r="L330" s="17">
        <f>IFERROR(__xludf.DUMMYFUNCTION("AVERAGE(QUERY(SORT(GOOGLEFINANCE(B330,""price"",TODAY()-365,TODAY()),1,0),""select Col2 limit 90""))"),178.04844444444453)</f>
        <v>178.0484444</v>
      </c>
      <c r="M330" s="17">
        <f>IFERROR(__xludf.DUMMYFUNCTION("AVERAGE(QUERY(SORT(GOOGLEFINANCE(B330,""price"",TODAY()-365,TODAY()),1,0),""select Col2 limit 120""))"),180.89108333333346)</f>
        <v>180.8910833</v>
      </c>
      <c r="N330" s="19">
        <f>IFERROR(__xludf.DUMMYFUNCTION("AVERAGE(QUERY(SORT(GOOGLEFINANCE(B330,""price"",TODAY()-365,TODAY()),1,0),""select Col2 limit 200""))"),197.86875000000006)</f>
        <v>197.86875</v>
      </c>
      <c r="O330" s="20" t="str">
        <f t="shared" si="2"/>
        <v>Avoid</v>
      </c>
      <c r="P330" s="21" t="str">
        <f t="shared" si="3"/>
        <v>30 DMA</v>
      </c>
      <c r="Q330" s="21" t="str">
        <f t="shared" si="4"/>
        <v/>
      </c>
      <c r="R330" s="22">
        <f>IFERROR(__xludf.DUMMYFUNCTION("GOOGLEFINANCE(B330, ""pe"")
"),6.58)</f>
        <v>6.58</v>
      </c>
    </row>
    <row r="331">
      <c r="A331" s="9" t="s">
        <v>343</v>
      </c>
      <c r="B331" s="11" t="str">
        <f t="shared" si="1"/>
        <v>NSE:STARHEALTH</v>
      </c>
      <c r="C331" s="12">
        <f>IFERROR(__xludf.DUMMYFUNCTION("GOOGLEFINANCE(B331,""marketcap"")/10000000"),24873.0232257)</f>
        <v>24873.02323</v>
      </c>
      <c r="D331" s="13">
        <f>IFERROR(__xludf.DUMMYFUNCTION("GOOGLEFINANCE(B331,""price"")"),423.15)</f>
        <v>423.15</v>
      </c>
      <c r="E331" s="14">
        <f>IFERROR(__xludf.DUMMYFUNCTION("GOOGLEFINANCE(B331,""Volume"")"),311239.0)</f>
        <v>311239</v>
      </c>
      <c r="F331" s="14">
        <f t="array" ref="F331">F330</f>
        <v>14</v>
      </c>
      <c r="G331" s="15" t="str">
        <f>IFERROR(__xludf.DUMMYFUNCTION("IF(E331&gt;AVERAGE(INDEX(GOOGLEFINANCE(B331,""volume"",WORKDAY(TODAY(),-$F$1),TODAY()),,2)),""Breakout"","""")"),"")</f>
        <v/>
      </c>
      <c r="H331" s="16">
        <f>IFERROR(__xludf.DUMMYFUNCTION("GOOGLEFINANCE(B331,""price"")"),423.15)</f>
        <v>423.15</v>
      </c>
      <c r="I331" s="17">
        <f>IFERROR(__xludf.DUMMYFUNCTION("AVERAGE(QUERY(SORT(GOOGLEFINANCE(B331,""price"",TODAY()-365,TODAY()),1,0),""select Col2 limit 10""))"),434.2)</f>
        <v>434.2</v>
      </c>
      <c r="J331" s="17">
        <f>IFERROR(__xludf.DUMMYFUNCTION("AVERAGE(QUERY(SORT(GOOGLEFINANCE(B331,""price"",TODAY()-365,TODAY()),1,0),""select Col2 limit 30""))"),429.8300000000001)</f>
        <v>429.83</v>
      </c>
      <c r="K331" s="18">
        <f>IFERROR(__xludf.DUMMYFUNCTION("AVERAGE(QUERY(SORT(GOOGLEFINANCE(B331,""price"",TODAY()-365,TODAY()),1,0),""select Col2 limit 60""))"),432.8325000000001)</f>
        <v>432.8325</v>
      </c>
      <c r="L331" s="17">
        <f>IFERROR(__xludf.DUMMYFUNCTION("AVERAGE(QUERY(SORT(GOOGLEFINANCE(B331,""price"",TODAY()-365,TODAY()),1,0),""select Col2 limit 90""))"),411.7622222222225)</f>
        <v>411.7622222</v>
      </c>
      <c r="M331" s="17">
        <f>IFERROR(__xludf.DUMMYFUNCTION("AVERAGE(QUERY(SORT(GOOGLEFINANCE(B331,""price"",TODAY()-365,TODAY()),1,0),""select Col2 limit 120""))"),407.41708333333355)</f>
        <v>407.4170833</v>
      </c>
      <c r="N331" s="19">
        <f>IFERROR(__xludf.DUMMYFUNCTION("AVERAGE(QUERY(SORT(GOOGLEFINANCE(B331,""price"",TODAY()-365,TODAY()),1,0),""select Col2 limit 200""))"),441.69499999999977)</f>
        <v>441.695</v>
      </c>
      <c r="O331" s="20" t="str">
        <f t="shared" si="2"/>
        <v>Avoid</v>
      </c>
      <c r="P331" s="21" t="str">
        <f t="shared" si="3"/>
        <v/>
      </c>
      <c r="Q331" s="21" t="str">
        <f t="shared" si="4"/>
        <v/>
      </c>
      <c r="R331" s="22">
        <f>IFERROR(__xludf.DUMMYFUNCTION("GOOGLEFINANCE(B331, ""pe"")
"),38.96)</f>
        <v>38.96</v>
      </c>
    </row>
    <row r="332">
      <c r="A332" s="9" t="s">
        <v>344</v>
      </c>
      <c r="B332" s="11" t="str">
        <f t="shared" si="1"/>
        <v>NSE:DALBHARAT</v>
      </c>
      <c r="C332" s="12">
        <f>IFERROR(__xludf.DUMMYFUNCTION("GOOGLEFINANCE(B332,""marketcap"")/10000000"),41688.2209576)</f>
        <v>41688.22096</v>
      </c>
      <c r="D332" s="13">
        <f>IFERROR(__xludf.DUMMYFUNCTION("GOOGLEFINANCE(B332,""price"")"),2223.0)</f>
        <v>2223</v>
      </c>
      <c r="E332" s="14">
        <f>IFERROR(__xludf.DUMMYFUNCTION("GOOGLEFINANCE(B332,""Volume"")"),210972.0)</f>
        <v>210972</v>
      </c>
      <c r="F332" s="14">
        <f t="array" ref="F332">F331</f>
        <v>14</v>
      </c>
      <c r="G332" s="15" t="str">
        <f>IFERROR(__xludf.DUMMYFUNCTION("IF(E332&gt;AVERAGE(INDEX(GOOGLEFINANCE(B332,""volume"",WORKDAY(TODAY(),-$F$1),TODAY()),,2)),""Breakout"","""")"),"")</f>
        <v/>
      </c>
      <c r="H332" s="16">
        <f>IFERROR(__xludf.DUMMYFUNCTION("GOOGLEFINANCE(B332,""price"")"),2223.0)</f>
        <v>2223</v>
      </c>
      <c r="I332" s="17">
        <f>IFERROR(__xludf.DUMMYFUNCTION("AVERAGE(QUERY(SORT(GOOGLEFINANCE(B332,""price"",TODAY()-365,TODAY()),1,0),""select Col2 limit 10""))"),2229.8599999999997)</f>
        <v>2229.86</v>
      </c>
      <c r="J332" s="17">
        <f>IFERROR(__xludf.DUMMYFUNCTION("AVERAGE(QUERY(SORT(GOOGLEFINANCE(B332,""price"",TODAY()-365,TODAY()),1,0),""select Col2 limit 30""))"),2168.393333333333)</f>
        <v>2168.393333</v>
      </c>
      <c r="K332" s="18">
        <f>IFERROR(__xludf.DUMMYFUNCTION("AVERAGE(QUERY(SORT(GOOGLEFINANCE(B332,""price"",TODAY()-365,TODAY()),1,0),""select Col2 limit 60""))"),2112.018333333333)</f>
        <v>2112.018333</v>
      </c>
      <c r="L332" s="17">
        <f>IFERROR(__xludf.DUMMYFUNCTION("AVERAGE(QUERY(SORT(GOOGLEFINANCE(B332,""price"",TODAY()-365,TODAY()),1,0),""select Col2 limit 90""))"),2018.7827777777775)</f>
        <v>2018.782778</v>
      </c>
      <c r="M332" s="17">
        <f>IFERROR(__xludf.DUMMYFUNCTION("AVERAGE(QUERY(SORT(GOOGLEFINANCE(B332,""price"",TODAY()-365,TODAY()),1,0),""select Col2 limit 120""))"),1957.0295833333332)</f>
        <v>1957.029583</v>
      </c>
      <c r="N332" s="19">
        <f>IFERROR(__xludf.DUMMYFUNCTION("AVERAGE(QUERY(SORT(GOOGLEFINANCE(B332,""price"",TODAY()-365,TODAY()),1,0),""select Col2 limit 200""))"),1901.4669999999992)</f>
        <v>1901.467</v>
      </c>
      <c r="O332" s="20" t="str">
        <f t="shared" si="2"/>
        <v>Avoid</v>
      </c>
      <c r="P332" s="21" t="str">
        <f t="shared" si="3"/>
        <v>10 DMA</v>
      </c>
      <c r="Q332" s="21" t="str">
        <f t="shared" si="4"/>
        <v/>
      </c>
      <c r="R332" s="22">
        <f>IFERROR(__xludf.DUMMYFUNCTION("GOOGLEFINANCE(B332, ""pe"")
"),44.57)</f>
        <v>44.57</v>
      </c>
    </row>
    <row r="333">
      <c r="A333" s="9" t="s">
        <v>345</v>
      </c>
      <c r="B333" s="11" t="str">
        <f t="shared" si="1"/>
        <v>NSE:JKCEMENT</v>
      </c>
      <c r="C333" s="12">
        <f>IFERROR(__xludf.DUMMYFUNCTION("GOOGLEFINANCE(B333,""marketcap"")/10000000"),50008.0114)</f>
        <v>50008.0114</v>
      </c>
      <c r="D333" s="13">
        <f>IFERROR(__xludf.DUMMYFUNCTION("GOOGLEFINANCE(B333,""price"")"),6477.0)</f>
        <v>6477</v>
      </c>
      <c r="E333" s="14">
        <f>IFERROR(__xludf.DUMMYFUNCTION("GOOGLEFINANCE(B333,""Volume"")"),28395.0)</f>
        <v>28395</v>
      </c>
      <c r="F333" s="14">
        <f t="array" ref="F333">F332</f>
        <v>14</v>
      </c>
      <c r="G333" s="15" t="str">
        <f>IFERROR(__xludf.DUMMYFUNCTION("IF(E333&gt;AVERAGE(INDEX(GOOGLEFINANCE(B333,""volume"",WORKDAY(TODAY(),-$F$1),TODAY()),,2)),""Breakout"","""")"),"")</f>
        <v/>
      </c>
      <c r="H333" s="16">
        <f>IFERROR(__xludf.DUMMYFUNCTION("GOOGLEFINANCE(B333,""price"")"),6477.0)</f>
        <v>6477</v>
      </c>
      <c r="I333" s="17">
        <f>IFERROR(__xludf.DUMMYFUNCTION("AVERAGE(QUERY(SORT(GOOGLEFINANCE(B333,""price"",TODAY()-365,TODAY()),1,0),""select Col2 limit 10""))"),6500.7)</f>
        <v>6500.7</v>
      </c>
      <c r="J333" s="17">
        <f>IFERROR(__xludf.DUMMYFUNCTION("AVERAGE(QUERY(SORT(GOOGLEFINANCE(B333,""price"",TODAY()-365,TODAY()),1,0),""select Col2 limit 30""))"),6234.666666666667)</f>
        <v>6234.666667</v>
      </c>
      <c r="K333" s="18">
        <f>IFERROR(__xludf.DUMMYFUNCTION("AVERAGE(QUERY(SORT(GOOGLEFINANCE(B333,""price"",TODAY()-365,TODAY()),1,0),""select Col2 limit 60""))"),5816.883333333333)</f>
        <v>5816.883333</v>
      </c>
      <c r="L333" s="17">
        <f>IFERROR(__xludf.DUMMYFUNCTION("AVERAGE(QUERY(SORT(GOOGLEFINANCE(B333,""price"",TODAY()-365,TODAY()),1,0),""select Col2 limit 90""))"),5521.41777777778)</f>
        <v>5521.417778</v>
      </c>
      <c r="M333" s="17">
        <f>IFERROR(__xludf.DUMMYFUNCTION("AVERAGE(QUERY(SORT(GOOGLEFINANCE(B333,""price"",TODAY()-365,TODAY()),1,0),""select Col2 limit 120""))"),5295.456666666667)</f>
        <v>5295.456667</v>
      </c>
      <c r="N333" s="19">
        <f>IFERROR(__xludf.DUMMYFUNCTION("AVERAGE(QUERY(SORT(GOOGLEFINANCE(B333,""price"",TODAY()-365,TODAY()),1,0),""select Col2 limit 200""))"),4949.053000000003)</f>
        <v>4949.053</v>
      </c>
      <c r="O333" s="20" t="str">
        <f t="shared" si="2"/>
        <v>Avoid</v>
      </c>
      <c r="P333" s="21" t="str">
        <f t="shared" si="3"/>
        <v>10 DMA</v>
      </c>
      <c r="Q333" s="21" t="str">
        <f t="shared" si="4"/>
        <v/>
      </c>
      <c r="R333" s="22">
        <f>IFERROR(__xludf.DUMMYFUNCTION("GOOGLEFINANCE(B333, ""pe"")
"),49.95)</f>
        <v>49.95</v>
      </c>
    </row>
    <row r="334">
      <c r="A334" s="9" t="s">
        <v>346</v>
      </c>
      <c r="B334" s="11" t="str">
        <f t="shared" si="1"/>
        <v>NSE:BLUESTARCO</v>
      </c>
      <c r="C334" s="12">
        <f>IFERROR(__xludf.DUMMYFUNCTION("GOOGLEFINANCE(B334,""marketcap"")/10000000"),35791.1287839)</f>
        <v>35791.12878</v>
      </c>
      <c r="D334" s="13">
        <f>IFERROR(__xludf.DUMMYFUNCTION("GOOGLEFINANCE(B334,""price"")"),1739.8)</f>
        <v>1739.8</v>
      </c>
      <c r="E334" s="14">
        <f>IFERROR(__xludf.DUMMYFUNCTION("GOOGLEFINANCE(B334,""Volume"")"),72863.0)</f>
        <v>72863</v>
      </c>
      <c r="F334" s="14">
        <f t="array" ref="F334">F333</f>
        <v>14</v>
      </c>
      <c r="G334" s="15" t="str">
        <f>IFERROR(__xludf.DUMMYFUNCTION("IF(E334&gt;AVERAGE(INDEX(GOOGLEFINANCE(B334,""volume"",WORKDAY(TODAY(),-$F$1),TODAY()),,2)),""Breakout"","""")"),"")</f>
        <v/>
      </c>
      <c r="H334" s="16">
        <f>IFERROR(__xludf.DUMMYFUNCTION("GOOGLEFINANCE(B334,""price"")"),1739.8)</f>
        <v>1739.8</v>
      </c>
      <c r="I334" s="17">
        <f>IFERROR(__xludf.DUMMYFUNCTION("AVERAGE(QUERY(SORT(GOOGLEFINANCE(B334,""price"",TODAY()-365,TODAY()),1,0),""select Col2 limit 10""))"),1814.3799999999999)</f>
        <v>1814.38</v>
      </c>
      <c r="J334" s="17">
        <f>IFERROR(__xludf.DUMMYFUNCTION("AVERAGE(QUERY(SORT(GOOGLEFINANCE(B334,""price"",TODAY()-365,TODAY()),1,0),""select Col2 limit 30""))"),1743.943333333333)</f>
        <v>1743.943333</v>
      </c>
      <c r="K334" s="18">
        <f>IFERROR(__xludf.DUMMYFUNCTION("AVERAGE(QUERY(SORT(GOOGLEFINANCE(B334,""price"",TODAY()-365,TODAY()),1,0),""select Col2 limit 60""))"),1667.3966666666663)</f>
        <v>1667.396667</v>
      </c>
      <c r="L334" s="17">
        <f>IFERROR(__xludf.DUMMYFUNCTION("AVERAGE(QUERY(SORT(GOOGLEFINANCE(B334,""price"",TODAY()-365,TODAY()),1,0),""select Col2 limit 90""))"),1782.5522222222216)</f>
        <v>1782.552222</v>
      </c>
      <c r="M334" s="17">
        <f>IFERROR(__xludf.DUMMYFUNCTION("AVERAGE(QUERY(SORT(GOOGLEFINANCE(B334,""price"",TODAY()-365,TODAY()),1,0),""select Col2 limit 120""))"),1831.2941666666654)</f>
        <v>1831.294167</v>
      </c>
      <c r="N334" s="19">
        <f>IFERROR(__xludf.DUMMYFUNCTION("AVERAGE(QUERY(SORT(GOOGLEFINANCE(B334,""price"",TODAY()-365,TODAY()),1,0),""select Col2 limit 200""))"),1879.8727499999995)</f>
        <v>1879.87275</v>
      </c>
      <c r="O334" s="20" t="str">
        <f t="shared" si="2"/>
        <v>Avoid</v>
      </c>
      <c r="P334" s="21" t="str">
        <f t="shared" si="3"/>
        <v>30 DMA</v>
      </c>
      <c r="Q334" s="21" t="str">
        <f t="shared" si="4"/>
        <v/>
      </c>
      <c r="R334" s="22">
        <f>IFERROR(__xludf.DUMMYFUNCTION("GOOGLEFINANCE(B334, ""pe"")
"),60.53)</f>
        <v>60.53</v>
      </c>
    </row>
    <row r="335">
      <c r="A335" s="9" t="s">
        <v>347</v>
      </c>
      <c r="B335" s="11" t="str">
        <f t="shared" si="1"/>
        <v>NSE:APOLLOTYRE</v>
      </c>
      <c r="C335" s="12">
        <f>IFERROR(__xludf.DUMMYFUNCTION("GOOGLEFINANCE(B335,""marketcap"")/10000000"),28862.7963915)</f>
        <v>28862.79639</v>
      </c>
      <c r="D335" s="13">
        <f>IFERROR(__xludf.DUMMYFUNCTION("GOOGLEFINANCE(B335,""price"")"),453.6)</f>
        <v>453.6</v>
      </c>
      <c r="E335" s="14">
        <f>IFERROR(__xludf.DUMMYFUNCTION("GOOGLEFINANCE(B335,""Volume"")"),168067.0)</f>
        <v>168067</v>
      </c>
      <c r="F335" s="14">
        <f t="array" ref="F335">F334</f>
        <v>14</v>
      </c>
      <c r="G335" s="15" t="str">
        <f>IFERROR(__xludf.DUMMYFUNCTION("IF(E335&gt;AVERAGE(INDEX(GOOGLEFINANCE(B335,""volume"",WORKDAY(TODAY(),-$F$1),TODAY()),,2)),""Breakout"","""")"),"")</f>
        <v/>
      </c>
      <c r="H335" s="16">
        <f>IFERROR(__xludf.DUMMYFUNCTION("GOOGLEFINANCE(B335,""price"")"),453.6)</f>
        <v>453.6</v>
      </c>
      <c r="I335" s="17">
        <f>IFERROR(__xludf.DUMMYFUNCTION("AVERAGE(QUERY(SORT(GOOGLEFINANCE(B335,""price"",TODAY()-365,TODAY()),1,0),""select Col2 limit 10""))"),455.36500000000007)</f>
        <v>455.365</v>
      </c>
      <c r="J335" s="17">
        <f>IFERROR(__xludf.DUMMYFUNCTION("AVERAGE(QUERY(SORT(GOOGLEFINANCE(B335,""price"",TODAY()-365,TODAY()),1,0),""select Col2 limit 30""))"),454.52000000000004)</f>
        <v>454.52</v>
      </c>
      <c r="K335" s="18">
        <f>IFERROR(__xludf.DUMMYFUNCTION("AVERAGE(QUERY(SORT(GOOGLEFINANCE(B335,""price"",TODAY()-365,TODAY()),1,0),""select Col2 limit 60""))"),466.36666666666656)</f>
        <v>466.3666667</v>
      </c>
      <c r="L335" s="17">
        <f>IFERROR(__xludf.DUMMYFUNCTION("AVERAGE(QUERY(SORT(GOOGLEFINANCE(B335,""price"",TODAY()-365,TODAY()),1,0),""select Col2 limit 90""))"),456.1783333333332)</f>
        <v>456.1783333</v>
      </c>
      <c r="M335" s="17">
        <f>IFERROR(__xludf.DUMMYFUNCTION("AVERAGE(QUERY(SORT(GOOGLEFINANCE(B335,""price"",TODAY()-365,TODAY()),1,0),""select Col2 limit 120""))"),444.6329166666665)</f>
        <v>444.6329167</v>
      </c>
      <c r="N335" s="19">
        <f>IFERROR(__xludf.DUMMYFUNCTION("AVERAGE(QUERY(SORT(GOOGLEFINANCE(B335,""price"",TODAY()-365,TODAY()),1,0),""select Col2 limit 200""))"),466.4682500000002)</f>
        <v>466.46825</v>
      </c>
      <c r="O335" s="20" t="str">
        <f t="shared" si="2"/>
        <v>Avoid</v>
      </c>
      <c r="P335" s="21" t="str">
        <f t="shared" si="3"/>
        <v>10 DMA</v>
      </c>
      <c r="Q335" s="21" t="str">
        <f t="shared" si="4"/>
        <v/>
      </c>
      <c r="R335" s="22">
        <f>IFERROR(__xludf.DUMMYFUNCTION("GOOGLEFINANCE(B335, ""pe"")
"),25.74)</f>
        <v>25.74</v>
      </c>
    </row>
    <row r="336">
      <c r="A336" s="9" t="s">
        <v>348</v>
      </c>
      <c r="B336" s="11" t="str">
        <f t="shared" si="1"/>
        <v>NSE:CARBORUNIV</v>
      </c>
      <c r="C336" s="12">
        <f>IFERROR(__xludf.DUMMYFUNCTION("GOOGLEFINANCE(B336,""marketcap"")/10000000"),18029.3156835)</f>
        <v>18029.31568</v>
      </c>
      <c r="D336" s="13">
        <f>IFERROR(__xludf.DUMMYFUNCTION("GOOGLEFINANCE(B336,""price"")"),947.1)</f>
        <v>947.1</v>
      </c>
      <c r="E336" s="14">
        <f>IFERROR(__xludf.DUMMYFUNCTION("GOOGLEFINANCE(B336,""Volume"")"),22420.0)</f>
        <v>22420</v>
      </c>
      <c r="F336" s="14">
        <f t="array" ref="F336">F335</f>
        <v>14</v>
      </c>
      <c r="G336" s="15" t="str">
        <f>IFERROR(__xludf.DUMMYFUNCTION("IF(E336&gt;AVERAGE(INDEX(GOOGLEFINANCE(B336,""volume"",WORKDAY(TODAY(),-$F$1),TODAY()),,2)),""Breakout"","""")"),"")</f>
        <v/>
      </c>
      <c r="H336" s="16">
        <f>IFERROR(__xludf.DUMMYFUNCTION("GOOGLEFINANCE(B336,""price"")"),947.1)</f>
        <v>947.1</v>
      </c>
      <c r="I336" s="17">
        <f>IFERROR(__xludf.DUMMYFUNCTION("AVERAGE(QUERY(SORT(GOOGLEFINANCE(B336,""price"",TODAY()-365,TODAY()),1,0),""select Col2 limit 10""))"),985.1600000000001)</f>
        <v>985.16</v>
      </c>
      <c r="J336" s="17">
        <f>IFERROR(__xludf.DUMMYFUNCTION("AVERAGE(QUERY(SORT(GOOGLEFINANCE(B336,""price"",TODAY()-365,TODAY()),1,0),""select Col2 limit 30""))"),973.5600000000002)</f>
        <v>973.56</v>
      </c>
      <c r="K336" s="18">
        <f>IFERROR(__xludf.DUMMYFUNCTION("AVERAGE(QUERY(SORT(GOOGLEFINANCE(B336,""price"",TODAY()-365,TODAY()),1,0),""select Col2 limit 60""))"),976.3808333333335)</f>
        <v>976.3808333</v>
      </c>
      <c r="L336" s="17">
        <f>IFERROR(__xludf.DUMMYFUNCTION("AVERAGE(QUERY(SORT(GOOGLEFINANCE(B336,""price"",TODAY()-365,TODAY()),1,0),""select Col2 limit 90""))"),985.0344444444447)</f>
        <v>985.0344444</v>
      </c>
      <c r="M336" s="17">
        <f>IFERROR(__xludf.DUMMYFUNCTION("AVERAGE(QUERY(SORT(GOOGLEFINANCE(B336,""price"",TODAY()-365,TODAY()),1,0),""select Col2 limit 120""))"),986.0350000000002)</f>
        <v>986.035</v>
      </c>
      <c r="N336" s="19">
        <f>IFERROR(__xludf.DUMMYFUNCTION("AVERAGE(QUERY(SORT(GOOGLEFINANCE(B336,""price"",TODAY()-365,TODAY()),1,0),""select Col2 limit 200""))"),1134.5594999999996)</f>
        <v>1134.5595</v>
      </c>
      <c r="O336" s="20" t="str">
        <f t="shared" si="2"/>
        <v>Avoid</v>
      </c>
      <c r="P336" s="21" t="str">
        <f t="shared" si="3"/>
        <v/>
      </c>
      <c r="Q336" s="21" t="str">
        <f t="shared" si="4"/>
        <v/>
      </c>
      <c r="R336" s="22">
        <f>IFERROR(__xludf.DUMMYFUNCTION("GOOGLEFINANCE(B336, ""pe"")
"),60.88)</f>
        <v>60.88</v>
      </c>
    </row>
    <row r="337">
      <c r="A337" s="9" t="s">
        <v>349</v>
      </c>
      <c r="B337" s="11" t="str">
        <f t="shared" si="1"/>
        <v>NSE:GLAND</v>
      </c>
      <c r="C337" s="12">
        <f>IFERROR(__xludf.DUMMYFUNCTION("GOOGLEFINANCE(B337,""marketcap"")/10000000"),33631.7247364)</f>
        <v>33631.72474</v>
      </c>
      <c r="D337" s="13">
        <f>IFERROR(__xludf.DUMMYFUNCTION("GOOGLEFINANCE(B337,""price"")"),2047.8)</f>
        <v>2047.8</v>
      </c>
      <c r="E337" s="14">
        <f>IFERROR(__xludf.DUMMYFUNCTION("GOOGLEFINANCE(B337,""Volume"")"),114101.0)</f>
        <v>114101</v>
      </c>
      <c r="F337" s="14">
        <f t="array" ref="F337">F336</f>
        <v>14</v>
      </c>
      <c r="G337" s="15" t="str">
        <f>IFERROR(__xludf.DUMMYFUNCTION("IF(E337&gt;AVERAGE(INDEX(GOOGLEFINANCE(B337,""volume"",WORKDAY(TODAY(),-$F$1),TODAY()),,2)),""Breakout"","""")"),"")</f>
        <v/>
      </c>
      <c r="H337" s="16">
        <f>IFERROR(__xludf.DUMMYFUNCTION("GOOGLEFINANCE(B337,""price"")"),2047.8)</f>
        <v>2047.8</v>
      </c>
      <c r="I337" s="17">
        <f>IFERROR(__xludf.DUMMYFUNCTION("AVERAGE(QUERY(SORT(GOOGLEFINANCE(B337,""price"",TODAY()-365,TODAY()),1,0),""select Col2 limit 10""))"),1981.4199999999996)</f>
        <v>1981.42</v>
      </c>
      <c r="J337" s="17">
        <f>IFERROR(__xludf.DUMMYFUNCTION("AVERAGE(QUERY(SORT(GOOGLEFINANCE(B337,""price"",TODAY()-365,TODAY()),1,0),""select Col2 limit 30""))"),1867.7833333333333)</f>
        <v>1867.783333</v>
      </c>
      <c r="K337" s="18">
        <f>IFERROR(__xludf.DUMMYFUNCTION("AVERAGE(QUERY(SORT(GOOGLEFINANCE(B337,""price"",TODAY()-365,TODAY()),1,0),""select Col2 limit 60""))"),1703.305)</f>
        <v>1703.305</v>
      </c>
      <c r="L337" s="17">
        <f>IFERROR(__xludf.DUMMYFUNCTION("AVERAGE(QUERY(SORT(GOOGLEFINANCE(B337,""price"",TODAY()-365,TODAY()),1,0),""select Col2 limit 90""))"),1635.1427777777778)</f>
        <v>1635.142778</v>
      </c>
      <c r="M337" s="17">
        <f>IFERROR(__xludf.DUMMYFUNCTION("AVERAGE(QUERY(SORT(GOOGLEFINANCE(B337,""price"",TODAY()-365,TODAY()),1,0),""select Col2 limit 120""))"),1609.489583333333)</f>
        <v>1609.489583</v>
      </c>
      <c r="N337" s="19">
        <f>IFERROR(__xludf.DUMMYFUNCTION("AVERAGE(QUERY(SORT(GOOGLEFINANCE(B337,""price"",TODAY()-365,TODAY()),1,0),""select Col2 limit 200""))"),1656.5672499999987)</f>
        <v>1656.56725</v>
      </c>
      <c r="O337" s="20" t="str">
        <f t="shared" si="2"/>
        <v>Avoid</v>
      </c>
      <c r="P337" s="21" t="str">
        <f t="shared" si="3"/>
        <v/>
      </c>
      <c r="Q337" s="21" t="str">
        <f t="shared" si="4"/>
        <v/>
      </c>
      <c r="R337" s="22">
        <f>IFERROR(__xludf.DUMMYFUNCTION("GOOGLEFINANCE(B337, ""pe"")
"),48.14)</f>
        <v>48.14</v>
      </c>
    </row>
    <row r="338">
      <c r="A338" s="9" t="s">
        <v>350</v>
      </c>
      <c r="B338" s="11" t="str">
        <f t="shared" si="1"/>
        <v>NSE:MSUMI</v>
      </c>
      <c r="C338" s="12">
        <f>IFERROR(__xludf.DUMMYFUNCTION("GOOGLEFINANCE(B338,""marketcap"")/10000000"),26394.014254)</f>
        <v>26394.01425</v>
      </c>
      <c r="D338" s="13">
        <f>IFERROR(__xludf.DUMMYFUNCTION("GOOGLEFINANCE(B338,""price"")"),39.79)</f>
        <v>39.79</v>
      </c>
      <c r="E338" s="14">
        <f>IFERROR(__xludf.DUMMYFUNCTION("GOOGLEFINANCE(B338,""Volume"")"),2110719.0)</f>
        <v>2110719</v>
      </c>
      <c r="F338" s="14">
        <f t="array" ref="F338">F337</f>
        <v>14</v>
      </c>
      <c r="G338" s="15" t="str">
        <f>IFERROR(__xludf.DUMMYFUNCTION("IF(E338&gt;AVERAGE(INDEX(GOOGLEFINANCE(B338,""volume"",WORKDAY(TODAY(),-$F$1),TODAY()),,2)),""Breakout"","""")"),"#N/A")</f>
        <v>#N/A</v>
      </c>
      <c r="H338" s="16">
        <f>IFERROR(__xludf.DUMMYFUNCTION("GOOGLEFINANCE(B338,""price"")"),39.79)</f>
        <v>39.79</v>
      </c>
      <c r="I338" s="17">
        <f>IFERROR(__xludf.DUMMYFUNCTION("AVERAGE(QUERY(SORT(GOOGLEFINANCE(B338,""price"",TODAY()-365,TODAY()),1,0),""select Col2 limit 10""))"),42.501)</f>
        <v>42.501</v>
      </c>
      <c r="J338" s="17">
        <f>IFERROR(__xludf.DUMMYFUNCTION("AVERAGE(QUERY(SORT(GOOGLEFINANCE(B338,""price"",TODAY()-365,TODAY()),1,0),""select Col2 limit 30""))"),41.253000000000014)</f>
        <v>41.253</v>
      </c>
      <c r="K338" s="18">
        <f>IFERROR(__xludf.DUMMYFUNCTION("AVERAGE(QUERY(SORT(GOOGLEFINANCE(B338,""price"",TODAY()-365,TODAY()),1,0),""select Col2 limit 60""))"),40.1175)</f>
        <v>40.1175</v>
      </c>
      <c r="L338" s="17">
        <f>IFERROR(__xludf.DUMMYFUNCTION("AVERAGE(QUERY(SORT(GOOGLEFINANCE(B338,""price"",TODAY()-365,TODAY()),1,0),""select Col2 limit 90""))"),38.61722222222222)</f>
        <v>38.61722222</v>
      </c>
      <c r="M338" s="17">
        <f>IFERROR(__xludf.DUMMYFUNCTION("AVERAGE(QUERY(SORT(GOOGLEFINANCE(B338,""price"",TODAY()-365,TODAY()),1,0),""select Col2 limit 120""))"),37.55166666666666)</f>
        <v>37.55166667</v>
      </c>
      <c r="N338" s="19">
        <f>IFERROR(__xludf.DUMMYFUNCTION("AVERAGE(QUERY(SORT(GOOGLEFINANCE(B338,""price"",TODAY()-365,TODAY()),1,0),""select Col2 limit 200""))"),38.91909999999998)</f>
        <v>38.9191</v>
      </c>
      <c r="O338" s="20" t="str">
        <f t="shared" si="2"/>
        <v>Avoid</v>
      </c>
      <c r="P338" s="21" t="str">
        <f t="shared" si="3"/>
        <v>60 DMA</v>
      </c>
      <c r="Q338" s="21" t="str">
        <f t="shared" si="4"/>
        <v/>
      </c>
      <c r="R338" s="22">
        <f>IFERROR(__xludf.DUMMYFUNCTION("GOOGLEFINANCE(B338, ""pe"")
"),43.61)</f>
        <v>43.61</v>
      </c>
    </row>
    <row r="339">
      <c r="A339" s="9" t="s">
        <v>351</v>
      </c>
      <c r="B339" s="11" t="str">
        <f t="shared" si="1"/>
        <v>NSE:APARINDS</v>
      </c>
      <c r="C339" s="12">
        <f>IFERROR(__xludf.DUMMYFUNCTION("GOOGLEFINANCE(B339,""marketcap"")/10000000"),35540.920688)</f>
        <v>35540.92069</v>
      </c>
      <c r="D339" s="13">
        <f>IFERROR(__xludf.DUMMYFUNCTION("GOOGLEFINANCE(B339,""price"")"),8830.5)</f>
        <v>8830.5</v>
      </c>
      <c r="E339" s="14">
        <f>IFERROR(__xludf.DUMMYFUNCTION("GOOGLEFINANCE(B339,""Volume"")"),29215.0)</f>
        <v>29215</v>
      </c>
      <c r="F339" s="14">
        <f t="array" ref="F339">F338</f>
        <v>14</v>
      </c>
      <c r="G339" s="15" t="str">
        <f>IFERROR(__xludf.DUMMYFUNCTION("IF(E339&gt;AVERAGE(INDEX(GOOGLEFINANCE(B339,""volume"",WORKDAY(TODAY(),-$F$1),TODAY()),,2)),""Breakout"","""")"),"")</f>
        <v/>
      </c>
      <c r="H339" s="16">
        <f>IFERROR(__xludf.DUMMYFUNCTION("GOOGLEFINANCE(B339,""price"")"),8830.5)</f>
        <v>8830.5</v>
      </c>
      <c r="I339" s="17">
        <f>IFERROR(__xludf.DUMMYFUNCTION("AVERAGE(QUERY(SORT(GOOGLEFINANCE(B339,""price"",TODAY()-365,TODAY()),1,0),""select Col2 limit 10""))"),9025.95)</f>
        <v>9025.95</v>
      </c>
      <c r="J339" s="17">
        <f>IFERROR(__xludf.DUMMYFUNCTION("AVERAGE(QUERY(SORT(GOOGLEFINANCE(B339,""price"",TODAY()-365,TODAY()),1,0),""select Col2 limit 30""))"),8598.583333333334)</f>
        <v>8598.583333</v>
      </c>
      <c r="K339" s="18">
        <f>IFERROR(__xludf.DUMMYFUNCTION("AVERAGE(QUERY(SORT(GOOGLEFINANCE(B339,""price"",TODAY()-365,TODAY()),1,0),""select Col2 limit 60""))"),8016.658333333334)</f>
        <v>8016.658333</v>
      </c>
      <c r="L339" s="17">
        <f>IFERROR(__xludf.DUMMYFUNCTION("AVERAGE(QUERY(SORT(GOOGLEFINANCE(B339,""price"",TODAY()-365,TODAY()),1,0),""select Col2 limit 90""))"),7154.704444444445)</f>
        <v>7154.704444</v>
      </c>
      <c r="M339" s="17">
        <f>IFERROR(__xludf.DUMMYFUNCTION("AVERAGE(QUERY(SORT(GOOGLEFINANCE(B339,""price"",TODAY()-365,TODAY()),1,0),""select Col2 limit 120""))"),6980.851250000001)</f>
        <v>6980.85125</v>
      </c>
      <c r="N339" s="19">
        <f>IFERROR(__xludf.DUMMYFUNCTION("AVERAGE(QUERY(SORT(GOOGLEFINANCE(B339,""price"",TODAY()-365,TODAY()),1,0),""select Col2 limit 200""))"),8143.238749999999)</f>
        <v>8143.23875</v>
      </c>
      <c r="O339" s="20" t="str">
        <f t="shared" si="2"/>
        <v>Avoid</v>
      </c>
      <c r="P339" s="21" t="str">
        <f t="shared" si="3"/>
        <v/>
      </c>
      <c r="Q339" s="21" t="str">
        <f t="shared" si="4"/>
        <v/>
      </c>
      <c r="R339" s="22">
        <f>IFERROR(__xludf.DUMMYFUNCTION("GOOGLEFINANCE(B339, ""pe"")
"),43.27)</f>
        <v>43.27</v>
      </c>
    </row>
    <row r="340">
      <c r="A340" s="9" t="s">
        <v>352</v>
      </c>
      <c r="B340" s="11" t="str">
        <f t="shared" si="1"/>
        <v>NSE:ABFRL</v>
      </c>
      <c r="C340" s="12">
        <f>IFERROR(__xludf.DUMMYFUNCTION("GOOGLEFINANCE(B340,""marketcap"")/10000000"),9005.5698011)</f>
        <v>9005.569801</v>
      </c>
      <c r="D340" s="13">
        <f>IFERROR(__xludf.DUMMYFUNCTION("GOOGLEFINANCE(B340,""price"")"),73.77)</f>
        <v>73.77</v>
      </c>
      <c r="E340" s="14">
        <f>IFERROR(__xludf.DUMMYFUNCTION("GOOGLEFINANCE(B340,""Volume"")"),2010924.0)</f>
        <v>2010924</v>
      </c>
      <c r="F340" s="14">
        <f t="array" ref="F340">F339</f>
        <v>14</v>
      </c>
      <c r="G340" s="15" t="str">
        <f>IFERROR(__xludf.DUMMYFUNCTION("IF(E340&gt;AVERAGE(INDEX(GOOGLEFINANCE(B340,""volume"",WORKDAY(TODAY(),-$F$1),TODAY()),,2)),""Breakout"","""")"),"")</f>
        <v/>
      </c>
      <c r="H340" s="16">
        <f>IFERROR(__xludf.DUMMYFUNCTION("GOOGLEFINANCE(B340,""price"")"),73.77)</f>
        <v>73.77</v>
      </c>
      <c r="I340" s="17">
        <f>IFERROR(__xludf.DUMMYFUNCTION("AVERAGE(QUERY(SORT(GOOGLEFINANCE(B340,""price"",TODAY()-365,TODAY()),1,0),""select Col2 limit 10""))"),75.733)</f>
        <v>75.733</v>
      </c>
      <c r="J340" s="17">
        <f>IFERROR(__xludf.DUMMYFUNCTION("AVERAGE(QUERY(SORT(GOOGLEFINANCE(B340,""price"",TODAY()-365,TODAY()),1,0),""select Col2 limit 30""))"),75.79166666666666)</f>
        <v>75.79166667</v>
      </c>
      <c r="K340" s="18">
        <f>IFERROR(__xludf.DUMMYFUNCTION("AVERAGE(QUERY(SORT(GOOGLEFINANCE(B340,""price"",TODAY()-365,TODAY()),1,0),""select Col2 limit 60""))"),83.31099999999998)</f>
        <v>83.311</v>
      </c>
      <c r="L340" s="17">
        <f>IFERROR(__xludf.DUMMYFUNCTION("AVERAGE(QUERY(SORT(GOOGLEFINANCE(B340,""price"",TODAY()-365,TODAY()),1,0),""select Col2 limit 90""))"),88.23755555555553)</f>
        <v>88.23755556</v>
      </c>
      <c r="M340" s="17">
        <f>IFERROR(__xludf.DUMMYFUNCTION("AVERAGE(QUERY(SORT(GOOGLEFINANCE(B340,""price"",TODAY()-365,TODAY()),1,0),""select Col2 limit 120""))"),90.34583333333327)</f>
        <v>90.34583333</v>
      </c>
      <c r="N340" s="19">
        <f>IFERROR(__xludf.DUMMYFUNCTION("AVERAGE(QUERY(SORT(GOOGLEFINANCE(B340,""price"",TODAY()-365,TODAY()),1,0),""select Col2 limit 200""))"),99.40074999999997)</f>
        <v>99.40075</v>
      </c>
      <c r="O340" s="20" t="str">
        <f t="shared" si="2"/>
        <v>Avoid</v>
      </c>
      <c r="P340" s="21" t="str">
        <f t="shared" si="3"/>
        <v/>
      </c>
      <c r="Q340" s="21" t="str">
        <f t="shared" si="4"/>
        <v/>
      </c>
      <c r="R340" s="22" t="str">
        <f>IFERROR(__xludf.DUMMYFUNCTION("GOOGLEFINANCE(B340, ""pe"")
"),"#N/A")</f>
        <v>#N/A</v>
      </c>
    </row>
    <row r="341">
      <c r="A341" s="9" t="s">
        <v>353</v>
      </c>
      <c r="B341" s="11" t="str">
        <f t="shared" si="1"/>
        <v>NSE:MOTILALOFS</v>
      </c>
      <c r="C341" s="12">
        <f>IFERROR(__xludf.DUMMYFUNCTION("GOOGLEFINANCE(B341,""marketcap"")/10000000"),53913.9965191)</f>
        <v>53913.99652</v>
      </c>
      <c r="D341" s="13">
        <f>IFERROR(__xludf.DUMMYFUNCTION("GOOGLEFINANCE(B341,""price"")"),899.3)</f>
        <v>899.3</v>
      </c>
      <c r="E341" s="14">
        <f>IFERROR(__xludf.DUMMYFUNCTION("GOOGLEFINANCE(B341,""Volume"")"),666695.0)</f>
        <v>666695</v>
      </c>
      <c r="F341" s="14">
        <f t="array" ref="F341">F340</f>
        <v>14</v>
      </c>
      <c r="G341" s="15" t="str">
        <f>IFERROR(__xludf.DUMMYFUNCTION("IF(E341&gt;AVERAGE(INDEX(GOOGLEFINANCE(B341,""volume"",WORKDAY(TODAY(),-$F$1),TODAY()),,2)),""Breakout"","""")"),"")</f>
        <v/>
      </c>
      <c r="H341" s="16">
        <f>IFERROR(__xludf.DUMMYFUNCTION("GOOGLEFINANCE(B341,""price"")"),899.3)</f>
        <v>899.3</v>
      </c>
      <c r="I341" s="17" t="str">
        <f>IFERROR(__xludf.DUMMYFUNCTION("AVERAGE(QUERY(SORT(GOOGLEFINANCE(B341,""price"",TODAY()-365,TODAY()),1,0),""select Col2 limit 10""))"),"#N/A")</f>
        <v>#N/A</v>
      </c>
      <c r="J341" s="17" t="str">
        <f>IFERROR(__xludf.DUMMYFUNCTION("AVERAGE(QUERY(SORT(GOOGLEFINANCE(B341,""price"",TODAY()-365,TODAY()),1,0),""select Col2 limit 30""))"),"#N/A")</f>
        <v>#N/A</v>
      </c>
      <c r="K341" s="18" t="str">
        <f>IFERROR(__xludf.DUMMYFUNCTION("AVERAGE(QUERY(SORT(GOOGLEFINANCE(B341,""price"",TODAY()-365,TODAY()),1,0),""select Col2 limit 60""))"),"#N/A")</f>
        <v>#N/A</v>
      </c>
      <c r="L341" s="17" t="str">
        <f>IFERROR(__xludf.DUMMYFUNCTION("AVERAGE(QUERY(SORT(GOOGLEFINANCE(B341,""price"",TODAY()-365,TODAY()),1,0),""select Col2 limit 90""))"),"#N/A")</f>
        <v>#N/A</v>
      </c>
      <c r="M341" s="17" t="str">
        <f>IFERROR(__xludf.DUMMYFUNCTION("AVERAGE(QUERY(SORT(GOOGLEFINANCE(B341,""price"",TODAY()-365,TODAY()),1,0),""select Col2 limit 120""))"),"#N/A")</f>
        <v>#N/A</v>
      </c>
      <c r="N341" s="19" t="str">
        <f>IFERROR(__xludf.DUMMYFUNCTION("AVERAGE(QUERY(SORT(GOOGLEFINANCE(B341,""price"",TODAY()-365,TODAY()),1,0),""select Col2 limit 200""))"),"#N/A")</f>
        <v>#N/A</v>
      </c>
      <c r="O341" s="20" t="str">
        <f t="shared" si="2"/>
        <v>#N/A</v>
      </c>
      <c r="P341" s="21" t="str">
        <f t="shared" si="3"/>
        <v>#N/A</v>
      </c>
      <c r="Q341" s="21" t="str">
        <f t="shared" si="4"/>
        <v>#N/A</v>
      </c>
      <c r="R341" s="22">
        <f>IFERROR(__xludf.DUMMYFUNCTION("GOOGLEFINANCE(B341, ""pe"")
"),19.67)</f>
        <v>19.67</v>
      </c>
    </row>
    <row r="342">
      <c r="A342" s="9" t="s">
        <v>354</v>
      </c>
      <c r="B342" s="11" t="str">
        <f t="shared" si="1"/>
        <v>NSE:POONAWALLA</v>
      </c>
      <c r="C342" s="12">
        <f>IFERROR(__xludf.DUMMYFUNCTION("GOOGLEFINANCE(B342,""marketcap"")/10000000"),33619.5318786)</f>
        <v>33619.53188</v>
      </c>
      <c r="D342" s="13">
        <f>IFERROR(__xludf.DUMMYFUNCTION("GOOGLEFINANCE(B342,""price"")"),434.65)</f>
        <v>434.65</v>
      </c>
      <c r="E342" s="14">
        <f>IFERROR(__xludf.DUMMYFUNCTION("GOOGLEFINANCE(B342,""Volume"")"),9176267.0)</f>
        <v>9176267</v>
      </c>
      <c r="F342" s="14">
        <f t="array" ref="F342">F341</f>
        <v>14</v>
      </c>
      <c r="G342" s="15" t="str">
        <f>IFERROR(__xludf.DUMMYFUNCTION("IF(E342&gt;AVERAGE(INDEX(GOOGLEFINANCE(B342,""volume"",WORKDAY(TODAY(),-$F$1),TODAY()),,2)),""Breakout"","""")"),"Breakout")</f>
        <v>Breakout</v>
      </c>
      <c r="H342" s="16">
        <f>IFERROR(__xludf.DUMMYFUNCTION("GOOGLEFINANCE(B342,""price"")"),434.65)</f>
        <v>434.65</v>
      </c>
      <c r="I342" s="17">
        <f>IFERROR(__xludf.DUMMYFUNCTION("AVERAGE(QUERY(SORT(GOOGLEFINANCE(B342,""price"",TODAY()-365,TODAY()),1,0),""select Col2 limit 10""))"),446.55)</f>
        <v>446.55</v>
      </c>
      <c r="J342" s="17">
        <f>IFERROR(__xludf.DUMMYFUNCTION("AVERAGE(QUERY(SORT(GOOGLEFINANCE(B342,""price"",TODAY()-365,TODAY()),1,0),""select Col2 limit 30""))"),448.02499999999986)</f>
        <v>448.025</v>
      </c>
      <c r="K342" s="18">
        <f>IFERROR(__xludf.DUMMYFUNCTION("AVERAGE(QUERY(SORT(GOOGLEFINANCE(B342,""price"",TODAY()-365,TODAY()),1,0),""select Col2 limit 60""))"),423.53833333333324)</f>
        <v>423.5383333</v>
      </c>
      <c r="L342" s="17">
        <f>IFERROR(__xludf.DUMMYFUNCTION("AVERAGE(QUERY(SORT(GOOGLEFINANCE(B342,""price"",TODAY()-365,TODAY()),1,0),""select Col2 limit 90""))"),402.11999999999995)</f>
        <v>402.12</v>
      </c>
      <c r="M342" s="17">
        <f>IFERROR(__xludf.DUMMYFUNCTION("AVERAGE(QUERY(SORT(GOOGLEFINANCE(B342,""price"",TODAY()-365,TODAY()),1,0),""select Col2 limit 120""))"),375.1304166666665)</f>
        <v>375.1304167</v>
      </c>
      <c r="N342" s="19">
        <f>IFERROR(__xludf.DUMMYFUNCTION("AVERAGE(QUERY(SORT(GOOGLEFINANCE(B342,""price"",TODAY()-365,TODAY()),1,0),""select Col2 limit 200""))"),363.75849999999974)</f>
        <v>363.7585</v>
      </c>
      <c r="O342" s="20" t="str">
        <f t="shared" si="2"/>
        <v>Avoid</v>
      </c>
      <c r="P342" s="21" t="str">
        <f t="shared" si="3"/>
        <v/>
      </c>
      <c r="Q342" s="21" t="str">
        <f t="shared" si="4"/>
        <v/>
      </c>
      <c r="R342" s="22" t="str">
        <f>IFERROR(__xludf.DUMMYFUNCTION("GOOGLEFINANCE(B342, ""pe"")
"),"#N/A")</f>
        <v>#N/A</v>
      </c>
    </row>
    <row r="343">
      <c r="A343" s="9" t="s">
        <v>355</v>
      </c>
      <c r="B343" s="11" t="str">
        <f t="shared" si="1"/>
        <v>NSE:GODIGIT</v>
      </c>
      <c r="C343" s="12">
        <f>IFERROR(__xludf.DUMMYFUNCTION("GOOGLEFINANCE(B343,""marketcap"")/10000000"),31894.639637)</f>
        <v>31894.63964</v>
      </c>
      <c r="D343" s="13">
        <f>IFERROR(__xludf.DUMMYFUNCTION("GOOGLEFINANCE(B343,""price"")"),344.75)</f>
        <v>344.75</v>
      </c>
      <c r="E343" s="14">
        <f>IFERROR(__xludf.DUMMYFUNCTION("GOOGLEFINANCE(B343,""Volume"")"),405649.0)</f>
        <v>405649</v>
      </c>
      <c r="F343" s="14">
        <f t="array" ref="F343">F342</f>
        <v>14</v>
      </c>
      <c r="G343" s="15" t="str">
        <f>IFERROR(__xludf.DUMMYFUNCTION("IF(E343&gt;AVERAGE(INDEX(GOOGLEFINANCE(B343,""volume"",WORKDAY(TODAY(),-$F$1),TODAY()),,2)),""Breakout"","""")"),"")</f>
        <v/>
      </c>
      <c r="H343" s="16">
        <f>IFERROR(__xludf.DUMMYFUNCTION("GOOGLEFINANCE(B343,""price"")"),344.75)</f>
        <v>344.75</v>
      </c>
      <c r="I343" s="17">
        <f>IFERROR(__xludf.DUMMYFUNCTION("AVERAGE(QUERY(SORT(GOOGLEFINANCE(B343,""price"",TODAY()-365,TODAY()),1,0),""select Col2 limit 10""))"),348.015)</f>
        <v>348.015</v>
      </c>
      <c r="J343" s="17">
        <f>IFERROR(__xludf.DUMMYFUNCTION("AVERAGE(QUERY(SORT(GOOGLEFINANCE(B343,""price"",TODAY()-365,TODAY()),1,0),""select Col2 limit 30""))"),345.29333333333324)</f>
        <v>345.2933333</v>
      </c>
      <c r="K343" s="18">
        <f>IFERROR(__xludf.DUMMYFUNCTION("AVERAGE(QUERY(SORT(GOOGLEFINANCE(B343,""price"",TODAY()-365,TODAY()),1,0),""select Col2 limit 60""))"),322.90833333333336)</f>
        <v>322.9083333</v>
      </c>
      <c r="L343" s="17">
        <f>IFERROR(__xludf.DUMMYFUNCTION("AVERAGE(QUERY(SORT(GOOGLEFINANCE(B343,""price"",TODAY()-365,TODAY()),1,0),""select Col2 limit 90""))"),314.02666666666664)</f>
        <v>314.0266667</v>
      </c>
      <c r="M343" s="17">
        <f>IFERROR(__xludf.DUMMYFUNCTION("AVERAGE(QUERY(SORT(GOOGLEFINANCE(B343,""price"",TODAY()-365,TODAY()),1,0),""select Col2 limit 120""))"),310.00458333333324)</f>
        <v>310.0045833</v>
      </c>
      <c r="N343" s="19">
        <f>IFERROR(__xludf.DUMMYFUNCTION("AVERAGE(QUERY(SORT(GOOGLEFINANCE(B343,""price"",TODAY()-365,TODAY()),1,0),""select Col2 limit 200""))"),323.3915000000001)</f>
        <v>323.3915</v>
      </c>
      <c r="O343" s="20" t="str">
        <f t="shared" si="2"/>
        <v>Avoid</v>
      </c>
      <c r="P343" s="21" t="str">
        <f t="shared" si="3"/>
        <v>10 DMA</v>
      </c>
      <c r="Q343" s="21" t="str">
        <f t="shared" si="4"/>
        <v/>
      </c>
      <c r="R343" s="22">
        <f>IFERROR(__xludf.DUMMYFUNCTION("GOOGLEFINANCE(B343, ""pe"")
"),74.77)</f>
        <v>74.77</v>
      </c>
    </row>
    <row r="344">
      <c r="A344" s="9" t="s">
        <v>356</v>
      </c>
      <c r="B344" s="11" t="str">
        <f t="shared" si="1"/>
        <v>NSE:IPCALAB</v>
      </c>
      <c r="C344" s="12">
        <f>IFERROR(__xludf.DUMMYFUNCTION("GOOGLEFINANCE(B344,""marketcap"")/10000000"),37725.81454)</f>
        <v>37725.81454</v>
      </c>
      <c r="D344" s="13">
        <f>IFERROR(__xludf.DUMMYFUNCTION("GOOGLEFINANCE(B344,""price"")"),1481.6)</f>
        <v>1481.6</v>
      </c>
      <c r="E344" s="14">
        <f>IFERROR(__xludf.DUMMYFUNCTION("GOOGLEFINANCE(B344,""Volume"")"),99014.0)</f>
        <v>99014</v>
      </c>
      <c r="F344" s="14">
        <f t="array" ref="F344">F343</f>
        <v>14</v>
      </c>
      <c r="G344" s="15" t="str">
        <f>IFERROR(__xludf.DUMMYFUNCTION("IF(E344&gt;AVERAGE(INDEX(GOOGLEFINANCE(B344,""volume"",WORKDAY(TODAY(),-$F$1),TODAY()),,2)),""Breakout"","""")"),"")</f>
        <v/>
      </c>
      <c r="H344" s="16">
        <f>IFERROR(__xludf.DUMMYFUNCTION("GOOGLEFINANCE(B344,""price"")"),1481.6)</f>
        <v>1481.6</v>
      </c>
      <c r="I344" s="17">
        <f>IFERROR(__xludf.DUMMYFUNCTION("AVERAGE(QUERY(SORT(GOOGLEFINANCE(B344,""price"",TODAY()-365,TODAY()),1,0),""select Col2 limit 10""))"),1477.12)</f>
        <v>1477.12</v>
      </c>
      <c r="J344" s="17">
        <f>IFERROR(__xludf.DUMMYFUNCTION("AVERAGE(QUERY(SORT(GOOGLEFINANCE(B344,""price"",TODAY()-365,TODAY()),1,0),""select Col2 limit 30""))"),1417.5766666666668)</f>
        <v>1417.576667</v>
      </c>
      <c r="K344" s="18">
        <f>IFERROR(__xludf.DUMMYFUNCTION("AVERAGE(QUERY(SORT(GOOGLEFINANCE(B344,""price"",TODAY()-365,TODAY()),1,0),""select Col2 limit 60""))"),1413.3316666666667)</f>
        <v>1413.331667</v>
      </c>
      <c r="L344" s="17">
        <f>IFERROR(__xludf.DUMMYFUNCTION("AVERAGE(QUERY(SORT(GOOGLEFINANCE(B344,""price"",TODAY()-365,TODAY()),1,0),""select Col2 limit 90""))"),1410.0311111111112)</f>
        <v>1410.031111</v>
      </c>
      <c r="M344" s="17">
        <f>IFERROR(__xludf.DUMMYFUNCTION("AVERAGE(QUERY(SORT(GOOGLEFINANCE(B344,""price"",TODAY()-365,TODAY()),1,0),""select Col2 limit 120""))"),1411.5583333333332)</f>
        <v>1411.558333</v>
      </c>
      <c r="N344" s="19">
        <f>IFERROR(__xludf.DUMMYFUNCTION("AVERAGE(QUERY(SORT(GOOGLEFINANCE(B344,""price"",TODAY()-365,TODAY()),1,0),""select Col2 limit 200""))"),1478.6457499999995)</f>
        <v>1478.64575</v>
      </c>
      <c r="O344" s="20" t="str">
        <f t="shared" si="2"/>
        <v>Avoid</v>
      </c>
      <c r="P344" s="21" t="str">
        <f t="shared" si="3"/>
        <v/>
      </c>
      <c r="Q344" s="21" t="str">
        <f t="shared" si="4"/>
        <v/>
      </c>
      <c r="R344" s="22">
        <f>IFERROR(__xludf.DUMMYFUNCTION("GOOGLEFINANCE(B344, ""pe"")
"),50.96)</f>
        <v>50.96</v>
      </c>
    </row>
    <row r="345">
      <c r="A345" s="9" t="s">
        <v>357</v>
      </c>
      <c r="B345" s="11" t="str">
        <f t="shared" si="1"/>
        <v>NSE:AEGISLOG</v>
      </c>
      <c r="C345" s="12">
        <f>IFERROR(__xludf.DUMMYFUNCTION("GOOGLEFINANCE(B345,""marketcap"")/10000000"),25782.697226)</f>
        <v>25782.69723</v>
      </c>
      <c r="D345" s="13">
        <f>IFERROR(__xludf.DUMMYFUNCTION("GOOGLEFINANCE(B345,""price"")"),735.6)</f>
        <v>735.6</v>
      </c>
      <c r="E345" s="14">
        <f>IFERROR(__xludf.DUMMYFUNCTION("GOOGLEFINANCE(B345,""Volume"")"),90351.0)</f>
        <v>90351</v>
      </c>
      <c r="F345" s="14">
        <f t="array" ref="F345">F344</f>
        <v>14</v>
      </c>
      <c r="G345" s="15" t="str">
        <f>IFERROR(__xludf.DUMMYFUNCTION("IF(E345&gt;AVERAGE(INDEX(GOOGLEFINANCE(B345,""volume"",WORKDAY(TODAY(),-$F$1),TODAY()),,2)),""Breakout"","""")"),"")</f>
        <v/>
      </c>
      <c r="H345" s="16">
        <f>IFERROR(__xludf.DUMMYFUNCTION("GOOGLEFINANCE(B345,""price"")"),735.6)</f>
        <v>735.6</v>
      </c>
      <c r="I345" s="17">
        <f>IFERROR(__xludf.DUMMYFUNCTION("AVERAGE(QUERY(SORT(GOOGLEFINANCE(B345,""price"",TODAY()-365,TODAY()),1,0),""select Col2 limit 10""))"),747.8100000000002)</f>
        <v>747.81</v>
      </c>
      <c r="J345" s="17">
        <f>IFERROR(__xludf.DUMMYFUNCTION("AVERAGE(QUERY(SORT(GOOGLEFINANCE(B345,""price"",TODAY()-365,TODAY()),1,0),""select Col2 limit 30""))"),762.9099999999999)</f>
        <v>762.91</v>
      </c>
      <c r="K345" s="18">
        <f>IFERROR(__xludf.DUMMYFUNCTION("AVERAGE(QUERY(SORT(GOOGLEFINANCE(B345,""price"",TODAY()-365,TODAY()),1,0),""select Col2 limit 60""))"),790.0616666666667)</f>
        <v>790.0616667</v>
      </c>
      <c r="L345" s="17">
        <f>IFERROR(__xludf.DUMMYFUNCTION("AVERAGE(QUERY(SORT(GOOGLEFINANCE(B345,""price"",TODAY()-365,TODAY()),1,0),""select Col2 limit 90""))"),789.0622222222223)</f>
        <v>789.0622222</v>
      </c>
      <c r="M345" s="17">
        <f>IFERROR(__xludf.DUMMYFUNCTION("AVERAGE(QUERY(SORT(GOOGLEFINANCE(B345,""price"",TODAY()-365,TODAY()),1,0),""select Col2 limit 120""))"),778.9725)</f>
        <v>778.9725</v>
      </c>
      <c r="N345" s="19">
        <f>IFERROR(__xludf.DUMMYFUNCTION("AVERAGE(QUERY(SORT(GOOGLEFINANCE(B345,""price"",TODAY()-365,TODAY()),1,0),""select Col2 limit 200""))"),780.97425)</f>
        <v>780.97425</v>
      </c>
      <c r="O345" s="20" t="str">
        <f t="shared" si="2"/>
        <v>Avoid</v>
      </c>
      <c r="P345" s="21" t="str">
        <f t="shared" si="3"/>
        <v/>
      </c>
      <c r="Q345" s="21" t="str">
        <f t="shared" si="4"/>
        <v/>
      </c>
      <c r="R345" s="22" t="str">
        <f>IFERROR(__xludf.DUMMYFUNCTION("GOOGLEFINANCE(B345, ""pe"")
"),"#N/A")</f>
        <v>#N/A</v>
      </c>
    </row>
    <row r="346">
      <c r="A346" s="9" t="s">
        <v>358</v>
      </c>
      <c r="B346" s="11" t="str">
        <f t="shared" si="1"/>
        <v>NSE:BANDHANBNK</v>
      </c>
      <c r="C346" s="12">
        <f>IFERROR(__xludf.DUMMYFUNCTION("GOOGLEFINANCE(B346,""marketcap"")/10000000"),28441.7665229)</f>
        <v>28441.76652</v>
      </c>
      <c r="D346" s="13">
        <f>IFERROR(__xludf.DUMMYFUNCTION("GOOGLEFINANCE(B346,""price"")"),177.07)</f>
        <v>177.07</v>
      </c>
      <c r="E346" s="14">
        <f>IFERROR(__xludf.DUMMYFUNCTION("GOOGLEFINANCE(B346,""Volume"")"),3928070.0)</f>
        <v>3928070</v>
      </c>
      <c r="F346" s="14">
        <f t="array" ref="F346">F345</f>
        <v>14</v>
      </c>
      <c r="G346" s="15" t="str">
        <f>IFERROR(__xludf.DUMMYFUNCTION("IF(E346&gt;AVERAGE(INDEX(GOOGLEFINANCE(B346,""volume"",WORKDAY(TODAY(),-$F$1),TODAY()),,2)),""Breakout"","""")"),"#N/A")</f>
        <v>#N/A</v>
      </c>
      <c r="H346" s="16">
        <f>IFERROR(__xludf.DUMMYFUNCTION("GOOGLEFINANCE(B346,""price"")"),177.07)</f>
        <v>177.07</v>
      </c>
      <c r="I346" s="17">
        <f>IFERROR(__xludf.DUMMYFUNCTION("AVERAGE(QUERY(SORT(GOOGLEFINANCE(B346,""price"",TODAY()-365,TODAY()),1,0),""select Col2 limit 10""))"),181.80100000000002)</f>
        <v>181.801</v>
      </c>
      <c r="J346" s="17">
        <f>IFERROR(__xludf.DUMMYFUNCTION("AVERAGE(QUERY(SORT(GOOGLEFINANCE(B346,""price"",TODAY()-365,TODAY()),1,0),""select Col2 limit 30""))"),181.192)</f>
        <v>181.192</v>
      </c>
      <c r="K346" s="18">
        <f>IFERROR(__xludf.DUMMYFUNCTION("AVERAGE(QUERY(SORT(GOOGLEFINANCE(B346,""price"",TODAY()-365,TODAY()),1,0),""select Col2 limit 60""))"),174.95299999999997)</f>
        <v>174.953</v>
      </c>
      <c r="L346" s="17">
        <f>IFERROR(__xludf.DUMMYFUNCTION("AVERAGE(QUERY(SORT(GOOGLEFINANCE(B346,""price"",TODAY()-365,TODAY()),1,0),""select Col2 limit 90""))"),167.97833333333335)</f>
        <v>167.9783333</v>
      </c>
      <c r="M346" s="17">
        <f>IFERROR(__xludf.DUMMYFUNCTION("AVERAGE(QUERY(SORT(GOOGLEFINANCE(B346,""price"",TODAY()-365,TODAY()),1,0),""select Col2 limit 120""))"),161.79141666666672)</f>
        <v>161.7914167</v>
      </c>
      <c r="N346" s="19">
        <f>IFERROR(__xludf.DUMMYFUNCTION("AVERAGE(QUERY(SORT(GOOGLEFINANCE(B346,""price"",TODAY()-365,TODAY()),1,0),""select Col2 limit 200""))"),164.77024999999995)</f>
        <v>164.77025</v>
      </c>
      <c r="O346" s="20" t="str">
        <f t="shared" si="2"/>
        <v>Avoid</v>
      </c>
      <c r="P346" s="21" t="str">
        <f t="shared" si="3"/>
        <v/>
      </c>
      <c r="Q346" s="21" t="str">
        <f t="shared" si="4"/>
        <v/>
      </c>
      <c r="R346" s="22">
        <f>IFERROR(__xludf.DUMMYFUNCTION("GOOGLEFINANCE(B346, ""pe"")
"),13.9)</f>
        <v>13.9</v>
      </c>
    </row>
    <row r="347">
      <c r="A347" s="9" t="s">
        <v>359</v>
      </c>
      <c r="B347" s="11" t="str">
        <f t="shared" si="1"/>
        <v>NSE:CRISIL</v>
      </c>
      <c r="C347" s="12">
        <f>IFERROR(__xludf.DUMMYFUNCTION("GOOGLEFINANCE(B347,""marketcap"")/10000000"),39691.3075)</f>
        <v>39691.3075</v>
      </c>
      <c r="D347" s="13">
        <f>IFERROR(__xludf.DUMMYFUNCTION("GOOGLEFINANCE(B347,""price"")"),5428.0)</f>
        <v>5428</v>
      </c>
      <c r="E347" s="14">
        <f>IFERROR(__xludf.DUMMYFUNCTION("GOOGLEFINANCE(B347,""Volume"")"),20126.0)</f>
        <v>20126</v>
      </c>
      <c r="F347" s="14">
        <f t="array" ref="F347">F346</f>
        <v>14</v>
      </c>
      <c r="G347" s="15" t="str">
        <f>IFERROR(__xludf.DUMMYFUNCTION("IF(E347&gt;AVERAGE(INDEX(GOOGLEFINANCE(B347,""volume"",WORKDAY(TODAY(),-$F$1),TODAY()),,2)),""Breakout"","""")"),"")</f>
        <v/>
      </c>
      <c r="H347" s="16">
        <f>IFERROR(__xludf.DUMMYFUNCTION("GOOGLEFINANCE(B347,""price"")"),5428.0)</f>
        <v>5428</v>
      </c>
      <c r="I347" s="17">
        <f>IFERROR(__xludf.DUMMYFUNCTION("AVERAGE(QUERY(SORT(GOOGLEFINANCE(B347,""price"",TODAY()-365,TODAY()),1,0),""select Col2 limit 10""))"),5856.35)</f>
        <v>5856.35</v>
      </c>
      <c r="J347" s="17">
        <f>IFERROR(__xludf.DUMMYFUNCTION("AVERAGE(QUERY(SORT(GOOGLEFINANCE(B347,""price"",TODAY()-365,TODAY()),1,0),""select Col2 limit 30""))"),5847.416666666667)</f>
        <v>5847.416667</v>
      </c>
      <c r="K347" s="18">
        <f>IFERROR(__xludf.DUMMYFUNCTION("AVERAGE(QUERY(SORT(GOOGLEFINANCE(B347,""price"",TODAY()-365,TODAY()),1,0),""select Col2 limit 60""))"),5499.201666666667)</f>
        <v>5499.201667</v>
      </c>
      <c r="L347" s="17">
        <f>IFERROR(__xludf.DUMMYFUNCTION("AVERAGE(QUERY(SORT(GOOGLEFINANCE(B347,""price"",TODAY()-365,TODAY()),1,0),""select Col2 limit 90""))"),5126.556666666667)</f>
        <v>5126.556667</v>
      </c>
      <c r="M347" s="17">
        <f>IFERROR(__xludf.DUMMYFUNCTION("AVERAGE(QUERY(SORT(GOOGLEFINANCE(B347,""price"",TODAY()-365,TODAY()),1,0),""select Col2 limit 120""))"),5059.585833333335)</f>
        <v>5059.585833</v>
      </c>
      <c r="N347" s="19">
        <f>IFERROR(__xludf.DUMMYFUNCTION("AVERAGE(QUERY(SORT(GOOGLEFINANCE(B347,""price"",TODAY()-365,TODAY()),1,0),""select Col2 limit 200""))"),5185.114000000005)</f>
        <v>5185.114</v>
      </c>
      <c r="O347" s="20" t="str">
        <f t="shared" si="2"/>
        <v>Avoid</v>
      </c>
      <c r="P347" s="21" t="str">
        <f t="shared" si="3"/>
        <v/>
      </c>
      <c r="Q347" s="21" t="str">
        <f t="shared" si="4"/>
        <v/>
      </c>
      <c r="R347" s="22">
        <f>IFERROR(__xludf.DUMMYFUNCTION("GOOGLEFINANCE(B347, ""pe"")
"),54.54)</f>
        <v>54.54</v>
      </c>
    </row>
    <row r="348">
      <c r="A348" s="9" t="s">
        <v>360</v>
      </c>
      <c r="B348" s="11" t="str">
        <f t="shared" si="1"/>
        <v>NSE:NBCC</v>
      </c>
      <c r="C348" s="12">
        <f>IFERROR(__xludf.DUMMYFUNCTION("GOOGLEFINANCE(B348,""marketcap"")/10000000"),29632.5)</f>
        <v>29632.5</v>
      </c>
      <c r="D348" s="13">
        <f>IFERROR(__xludf.DUMMYFUNCTION("GOOGLEFINANCE(B348,""price"")"),109.5)</f>
        <v>109.5</v>
      </c>
      <c r="E348" s="14">
        <f>IFERROR(__xludf.DUMMYFUNCTION("GOOGLEFINANCE(B348,""Volume"")"),3458971.0)</f>
        <v>3458971</v>
      </c>
      <c r="F348" s="14">
        <f t="array" ref="F348">F347</f>
        <v>14</v>
      </c>
      <c r="G348" s="15" t="str">
        <f>IFERROR(__xludf.DUMMYFUNCTION("IF(E348&gt;AVERAGE(INDEX(GOOGLEFINANCE(B348,""volume"",WORKDAY(TODAY(),-$F$1),TODAY()),,2)),""Breakout"","""")"),"")</f>
        <v/>
      </c>
      <c r="H348" s="16">
        <f>IFERROR(__xludf.DUMMYFUNCTION("GOOGLEFINANCE(B348,""price"")"),109.5)</f>
        <v>109.5</v>
      </c>
      <c r="I348" s="17">
        <f>IFERROR(__xludf.DUMMYFUNCTION("AVERAGE(QUERY(SORT(GOOGLEFINANCE(B348,""price"",TODAY()-365,TODAY()),1,0),""select Col2 limit 10""))"),113.76400000000001)</f>
        <v>113.764</v>
      </c>
      <c r="J348" s="17">
        <f>IFERROR(__xludf.DUMMYFUNCTION("AVERAGE(QUERY(SORT(GOOGLEFINANCE(B348,""price"",TODAY()-365,TODAY()),1,0),""select Col2 limit 30""))"),117.25866666666666)</f>
        <v>117.2586667</v>
      </c>
      <c r="K348" s="18">
        <f>IFERROR(__xludf.DUMMYFUNCTION("AVERAGE(QUERY(SORT(GOOGLEFINANCE(B348,""price"",TODAY()-365,TODAY()),1,0),""select Col2 limit 60""))"),115.1956666666667)</f>
        <v>115.1956667</v>
      </c>
      <c r="L348" s="17">
        <f>IFERROR(__xludf.DUMMYFUNCTION("AVERAGE(QUERY(SORT(GOOGLEFINANCE(B348,""price"",TODAY()-365,TODAY()),1,0),""select Col2 limit 90""))"),106.32555555555552)</f>
        <v>106.3255556</v>
      </c>
      <c r="M348" s="17">
        <f>IFERROR(__xludf.DUMMYFUNCTION("AVERAGE(QUERY(SORT(GOOGLEFINANCE(B348,""price"",TODAY()-365,TODAY()),1,0),""select Col2 limit 120""))"),100.59624999999998)</f>
        <v>100.59625</v>
      </c>
      <c r="N348" s="19">
        <f>IFERROR(__xludf.DUMMYFUNCTION("AVERAGE(QUERY(SORT(GOOGLEFINANCE(B348,""price"",TODAY()-365,TODAY()),1,0),""select Col2 limit 200""))"),99.09835000000004)</f>
        <v>99.09835</v>
      </c>
      <c r="O348" s="20" t="str">
        <f t="shared" si="2"/>
        <v>Avoid</v>
      </c>
      <c r="P348" s="21" t="str">
        <f t="shared" si="3"/>
        <v/>
      </c>
      <c r="Q348" s="21" t="str">
        <f t="shared" si="4"/>
        <v/>
      </c>
      <c r="R348" s="22">
        <f>IFERROR(__xludf.DUMMYFUNCTION("GOOGLEFINANCE(B348, ""pe"")
"),54.92)</f>
        <v>54.92</v>
      </c>
    </row>
    <row r="349">
      <c r="A349" s="9" t="s">
        <v>361</v>
      </c>
      <c r="B349" s="11" t="str">
        <f t="shared" si="1"/>
        <v>NSE:SUNTV</v>
      </c>
      <c r="C349" s="12">
        <f>IFERROR(__xludf.DUMMYFUNCTION("GOOGLEFINANCE(B349,""marketcap"")/10000000"),22519.4247946)</f>
        <v>22519.42479</v>
      </c>
      <c r="D349" s="13">
        <f>IFERROR(__xludf.DUMMYFUNCTION("GOOGLEFINANCE(B349,""price"")"),570.45)</f>
        <v>570.45</v>
      </c>
      <c r="E349" s="14">
        <f>IFERROR(__xludf.DUMMYFUNCTION("GOOGLEFINANCE(B349,""Volume"")"),62441.0)</f>
        <v>62441</v>
      </c>
      <c r="F349" s="14">
        <f t="array" ref="F349">F348</f>
        <v>14</v>
      </c>
      <c r="G349" s="15" t="str">
        <f>IFERROR(__xludf.DUMMYFUNCTION("IF(E349&gt;AVERAGE(INDEX(GOOGLEFINANCE(B349,""volume"",WORKDAY(TODAY(),-$F$1),TODAY()),,2)),""Breakout"","""")"),"")</f>
        <v/>
      </c>
      <c r="H349" s="16">
        <f>IFERROR(__xludf.DUMMYFUNCTION("GOOGLEFINANCE(B349,""price"")"),570.45)</f>
        <v>570.45</v>
      </c>
      <c r="I349" s="17">
        <f>IFERROR(__xludf.DUMMYFUNCTION("AVERAGE(QUERY(SORT(GOOGLEFINANCE(B349,""price"",TODAY()-365,TODAY()),1,0),""select Col2 limit 10""))"),580.22)</f>
        <v>580.22</v>
      </c>
      <c r="J349" s="17">
        <f>IFERROR(__xludf.DUMMYFUNCTION("AVERAGE(QUERY(SORT(GOOGLEFINANCE(B349,""price"",TODAY()-365,TODAY()),1,0),""select Col2 limit 30""))"),589.6516666666665)</f>
        <v>589.6516667</v>
      </c>
      <c r="K349" s="18">
        <f>IFERROR(__xludf.DUMMYFUNCTION("AVERAGE(QUERY(SORT(GOOGLEFINANCE(B349,""price"",TODAY()-365,TODAY()),1,0),""select Col2 limit 60""))"),607.4491666666667)</f>
        <v>607.4491667</v>
      </c>
      <c r="L349" s="17">
        <f>IFERROR(__xludf.DUMMYFUNCTION("AVERAGE(QUERY(SORT(GOOGLEFINANCE(B349,""price"",TODAY()-365,TODAY()),1,0),""select Col2 limit 90""))"),619.2583333333334)</f>
        <v>619.2583333</v>
      </c>
      <c r="M349" s="17">
        <f>IFERROR(__xludf.DUMMYFUNCTION("AVERAGE(QUERY(SORT(GOOGLEFINANCE(B349,""price"",TODAY()-365,TODAY()),1,0),""select Col2 limit 120""))"),612.8549999999999)</f>
        <v>612.855</v>
      </c>
      <c r="N349" s="19">
        <f>IFERROR(__xludf.DUMMYFUNCTION("AVERAGE(QUERY(SORT(GOOGLEFINANCE(B349,""price"",TODAY()-365,TODAY()),1,0),""select Col2 limit 200""))"),657.63025)</f>
        <v>657.63025</v>
      </c>
      <c r="O349" s="20" t="str">
        <f t="shared" si="2"/>
        <v>Avoid</v>
      </c>
      <c r="P349" s="21" t="str">
        <f t="shared" si="3"/>
        <v/>
      </c>
      <c r="Q349" s="21" t="str">
        <f t="shared" si="4"/>
        <v/>
      </c>
      <c r="R349" s="22">
        <f>IFERROR(__xludf.DUMMYFUNCTION("GOOGLEFINANCE(B349, ""pe"")
"),13.21)</f>
        <v>13.21</v>
      </c>
    </row>
    <row r="350">
      <c r="A350" s="9" t="s">
        <v>362</v>
      </c>
      <c r="B350" s="11" t="str">
        <f t="shared" si="1"/>
        <v>NSE:BSE</v>
      </c>
      <c r="C350" s="12">
        <f>IFERROR(__xludf.DUMMYFUNCTION("GOOGLEFINANCE(B350,""marketcap"")/10000000"),100456.00815)</f>
        <v>100456.0082</v>
      </c>
      <c r="D350" s="13">
        <f>IFERROR(__xludf.DUMMYFUNCTION("GOOGLEFINANCE(B350,""price"")"),2464.9)</f>
        <v>2464.9</v>
      </c>
      <c r="E350" s="14">
        <f>IFERROR(__xludf.DUMMYFUNCTION("GOOGLEFINANCE(B350,""Volume"")"),2141977.0)</f>
        <v>2141977</v>
      </c>
      <c r="F350" s="14">
        <f t="array" ref="F350">F349</f>
        <v>14</v>
      </c>
      <c r="G350" s="15" t="str">
        <f>IFERROR(__xludf.DUMMYFUNCTION("IF(E350&gt;AVERAGE(INDEX(GOOGLEFINANCE(B350,""volume"",WORKDAY(TODAY(),-$F$1),TODAY()),,2)),""Breakout"","""")"),"")</f>
        <v/>
      </c>
      <c r="H350" s="16">
        <f>IFERROR(__xludf.DUMMYFUNCTION("GOOGLEFINANCE(B350,""price"")"),2464.9)</f>
        <v>2464.9</v>
      </c>
      <c r="I350" s="17">
        <f>IFERROR(__xludf.DUMMYFUNCTION("AVERAGE(QUERY(SORT(GOOGLEFINANCE(B350,""price"",TODAY()-365,TODAY()),1,0),""select Col2 limit 10""))"),2508.88)</f>
        <v>2508.88</v>
      </c>
      <c r="J350" s="17">
        <f>IFERROR(__xludf.DUMMYFUNCTION("AVERAGE(QUERY(SORT(GOOGLEFINANCE(B350,""price"",TODAY()-365,TODAY()),1,0),""select Col2 limit 30""))"),2617.436666666666)</f>
        <v>2617.436667</v>
      </c>
      <c r="K350" s="18">
        <f>IFERROR(__xludf.DUMMYFUNCTION("AVERAGE(QUERY(SORT(GOOGLEFINANCE(B350,""price"",TODAY()-365,TODAY()),1,0),""select Col2 limit 60""))"),2573.5789999999997)</f>
        <v>2573.579</v>
      </c>
      <c r="L350" s="17">
        <f>IFERROR(__xludf.DUMMYFUNCTION("AVERAGE(QUERY(SORT(GOOGLEFINANCE(B350,""price"",TODAY()-365,TODAY()),1,0),""select Col2 limit 90""))"),2328.0823333333337)</f>
        <v>2328.082333</v>
      </c>
      <c r="M350" s="17">
        <f>IFERROR(__xludf.DUMMYFUNCTION("AVERAGE(QUERY(SORT(GOOGLEFINANCE(B350,""price"",TODAY()-365,TODAY()),1,0),""select Col2 limit 120""))"),2165.905916666667)</f>
        <v>2165.905917</v>
      </c>
      <c r="N350" s="19">
        <f>IFERROR(__xludf.DUMMYFUNCTION("AVERAGE(QUERY(SORT(GOOGLEFINANCE(B350,""price"",TODAY()-365,TODAY()),1,0),""select Col2 limit 200""))"),1962.9810000000007)</f>
        <v>1962.981</v>
      </c>
      <c r="O350" s="20" t="str">
        <f t="shared" si="2"/>
        <v>Avoid</v>
      </c>
      <c r="P350" s="21" t="str">
        <f t="shared" si="3"/>
        <v/>
      </c>
      <c r="Q350" s="21" t="str">
        <f t="shared" si="4"/>
        <v/>
      </c>
      <c r="R350" s="22">
        <f>IFERROR(__xludf.DUMMYFUNCTION("GOOGLEFINANCE(B350, ""pe"")
"),77.18)</f>
        <v>77.18</v>
      </c>
    </row>
    <row r="351">
      <c r="A351" s="9" t="s">
        <v>363</v>
      </c>
      <c r="B351" s="11" t="str">
        <f t="shared" si="1"/>
        <v>NSE:SYNGENE</v>
      </c>
      <c r="C351" s="12">
        <f>IFERROR(__xludf.DUMMYFUNCTION("GOOGLEFINANCE(B351,""marketcap"")/10000000"),27689.2928068)</f>
        <v>27689.29281</v>
      </c>
      <c r="D351" s="13">
        <f>IFERROR(__xludf.DUMMYFUNCTION("GOOGLEFINANCE(B351,""price"")"),689.35)</f>
        <v>689.35</v>
      </c>
      <c r="E351" s="14">
        <f>IFERROR(__xludf.DUMMYFUNCTION("GOOGLEFINANCE(B351,""Volume"")"),874827.0)</f>
        <v>874827</v>
      </c>
      <c r="F351" s="14">
        <f t="array" ref="F351">F350</f>
        <v>14</v>
      </c>
      <c r="G351" s="15" t="str">
        <f>IFERROR(__xludf.DUMMYFUNCTION("IF(E351&gt;AVERAGE(INDEX(GOOGLEFINANCE(B351,""volume"",WORKDAY(TODAY(),-$F$1),TODAY()),,2)),""Breakout"","""")"),"")</f>
        <v/>
      </c>
      <c r="H351" s="16">
        <f>IFERROR(__xludf.DUMMYFUNCTION("GOOGLEFINANCE(B351,""price"")"),689.35)</f>
        <v>689.35</v>
      </c>
      <c r="I351" s="17">
        <f>IFERROR(__xludf.DUMMYFUNCTION("AVERAGE(QUERY(SORT(GOOGLEFINANCE(B351,""price"",TODAY()-365,TODAY()),1,0),""select Col2 limit 10""))"),666.5699999999999)</f>
        <v>666.57</v>
      </c>
      <c r="J351" s="17">
        <f>IFERROR(__xludf.DUMMYFUNCTION("AVERAGE(QUERY(SORT(GOOGLEFINANCE(B351,""price"",TODAY()-365,TODAY()),1,0),""select Col2 limit 30""))"),648.6383333333334)</f>
        <v>648.6383333</v>
      </c>
      <c r="K351" s="18">
        <f>IFERROR(__xludf.DUMMYFUNCTION("AVERAGE(QUERY(SORT(GOOGLEFINANCE(B351,""price"",TODAY()-365,TODAY()),1,0),""select Col2 limit 60""))"),644.790833333333)</f>
        <v>644.7908333</v>
      </c>
      <c r="L351" s="17">
        <f>IFERROR(__xludf.DUMMYFUNCTION("AVERAGE(QUERY(SORT(GOOGLEFINANCE(B351,""price"",TODAY()-365,TODAY()),1,0),""select Col2 limit 90""))"),662.682222222222)</f>
        <v>662.6822222</v>
      </c>
      <c r="M351" s="17">
        <f>IFERROR(__xludf.DUMMYFUNCTION("AVERAGE(QUERY(SORT(GOOGLEFINANCE(B351,""price"",TODAY()-365,TODAY()),1,0),""select Col2 limit 120""))"),673.5645833333334)</f>
        <v>673.5645833</v>
      </c>
      <c r="N351" s="19">
        <f>IFERROR(__xludf.DUMMYFUNCTION("AVERAGE(QUERY(SORT(GOOGLEFINANCE(B351,""price"",TODAY()-365,TODAY()),1,0),""select Col2 limit 200""))"),750.9285000000002)</f>
        <v>750.9285</v>
      </c>
      <c r="O351" s="20" t="str">
        <f t="shared" si="2"/>
        <v>Buy Above 200 DMA</v>
      </c>
      <c r="P351" s="21" t="str">
        <f t="shared" si="3"/>
        <v/>
      </c>
      <c r="Q351" s="21" t="str">
        <f t="shared" si="4"/>
        <v/>
      </c>
      <c r="R351" s="22">
        <f>IFERROR(__xludf.DUMMYFUNCTION("GOOGLEFINANCE(B351, ""pe"")
"),55.18)</f>
        <v>55.18</v>
      </c>
    </row>
    <row r="352">
      <c r="A352" s="9" t="s">
        <v>364</v>
      </c>
      <c r="B352" s="11" t="str">
        <f t="shared" si="1"/>
        <v>NSE:IRCON</v>
      </c>
      <c r="C352" s="12">
        <f>IFERROR(__xludf.DUMMYFUNCTION("GOOGLEFINANCE(B352,""marketcap"")/10000000"),16834.1262586)</f>
        <v>16834.12626</v>
      </c>
      <c r="D352" s="13">
        <f>IFERROR(__xludf.DUMMYFUNCTION("GOOGLEFINANCE(B352,""price"")"),178.47)</f>
        <v>178.47</v>
      </c>
      <c r="E352" s="14">
        <f>IFERROR(__xludf.DUMMYFUNCTION("GOOGLEFINANCE(B352,""Volume"")"),1524841.0)</f>
        <v>1524841</v>
      </c>
      <c r="F352" s="14">
        <f t="array" ref="F352">F351</f>
        <v>14</v>
      </c>
      <c r="G352" s="15" t="str">
        <f>IFERROR(__xludf.DUMMYFUNCTION("IF(E352&gt;AVERAGE(INDEX(GOOGLEFINANCE(B352,""volume"",WORKDAY(TODAY(),-$F$1),TODAY()),,2)),""Breakout"","""")"),"")</f>
        <v/>
      </c>
      <c r="H352" s="16">
        <f>IFERROR(__xludf.DUMMYFUNCTION("GOOGLEFINANCE(B352,""price"")"),178.47)</f>
        <v>178.47</v>
      </c>
      <c r="I352" s="17">
        <f>IFERROR(__xludf.DUMMYFUNCTION("AVERAGE(QUERY(SORT(GOOGLEFINANCE(B352,""price"",TODAY()-365,TODAY()),1,0),""select Col2 limit 10""))"),188.554)</f>
        <v>188.554</v>
      </c>
      <c r="J352" s="17">
        <f>IFERROR(__xludf.DUMMYFUNCTION("AVERAGE(QUERY(SORT(GOOGLEFINANCE(B352,""price"",TODAY()-365,TODAY()),1,0),""select Col2 limit 30""))"),195.32000000000005)</f>
        <v>195.32</v>
      </c>
      <c r="K352" s="18">
        <f>IFERROR(__xludf.DUMMYFUNCTION("AVERAGE(QUERY(SORT(GOOGLEFINANCE(B352,""price"",TODAY()-365,TODAY()),1,0),""select Col2 limit 60""))"),191.50050000000002)</f>
        <v>191.5005</v>
      </c>
      <c r="L352" s="17">
        <f>IFERROR(__xludf.DUMMYFUNCTION("AVERAGE(QUERY(SORT(GOOGLEFINANCE(B352,""price"",TODAY()-365,TODAY()),1,0),""select Col2 limit 90""))"),179.87677777777782)</f>
        <v>179.8767778</v>
      </c>
      <c r="M352" s="17">
        <f>IFERROR(__xludf.DUMMYFUNCTION("AVERAGE(QUERY(SORT(GOOGLEFINANCE(B352,""price"",TODAY()-365,TODAY()),1,0),""select Col2 limit 120""))"),176.10691666666662)</f>
        <v>176.1069167</v>
      </c>
      <c r="N352" s="19">
        <f>IFERROR(__xludf.DUMMYFUNCTION("AVERAGE(QUERY(SORT(GOOGLEFINANCE(B352,""price"",TODAY()-365,TODAY()),1,0),""select Col2 limit 200""))"),189.77705000000006)</f>
        <v>189.77705</v>
      </c>
      <c r="O352" s="20" t="str">
        <f t="shared" si="2"/>
        <v>Avoid</v>
      </c>
      <c r="P352" s="21" t="str">
        <f t="shared" si="3"/>
        <v>90 DMA</v>
      </c>
      <c r="Q352" s="21" t="str">
        <f t="shared" si="4"/>
        <v/>
      </c>
      <c r="R352" s="22">
        <f>IFERROR(__xludf.DUMMYFUNCTION("GOOGLEFINANCE(B352, ""pe"")
"),23.12)</f>
        <v>23.12</v>
      </c>
    </row>
    <row r="353">
      <c r="A353" s="9" t="s">
        <v>365</v>
      </c>
      <c r="B353" s="11" t="str">
        <f t="shared" si="1"/>
        <v>NSE:TIMKEN</v>
      </c>
      <c r="C353" s="12">
        <f>IFERROR(__xludf.DUMMYFUNCTION("GOOGLEFINANCE(B353,""marketcap"")/10000000"),25873.7391126)</f>
        <v>25873.73911</v>
      </c>
      <c r="D353" s="13">
        <f>IFERROR(__xludf.DUMMYFUNCTION("GOOGLEFINANCE(B353,""price"")"),3429.9)</f>
        <v>3429.9</v>
      </c>
      <c r="E353" s="14">
        <f>IFERROR(__xludf.DUMMYFUNCTION("GOOGLEFINANCE(B353,""Volume"")"),41715.0)</f>
        <v>41715</v>
      </c>
      <c r="F353" s="14">
        <f t="array" ref="F353">F352</f>
        <v>14</v>
      </c>
      <c r="G353" s="15" t="str">
        <f>IFERROR(__xludf.DUMMYFUNCTION("IF(E353&gt;AVERAGE(INDEX(GOOGLEFINANCE(B353,""volume"",WORKDAY(TODAY(),-$F$1),TODAY()),,2)),""Breakout"","""")"),"")</f>
        <v/>
      </c>
      <c r="H353" s="16">
        <f>IFERROR(__xludf.DUMMYFUNCTION("GOOGLEFINANCE(B353,""price"")"),3429.9)</f>
        <v>3429.9</v>
      </c>
      <c r="I353" s="17">
        <f>IFERROR(__xludf.DUMMYFUNCTION("AVERAGE(QUERY(SORT(GOOGLEFINANCE(B353,""price"",TODAY()-365,TODAY()),1,0),""select Col2 limit 10""))"),3447.0099999999998)</f>
        <v>3447.01</v>
      </c>
      <c r="J353" s="17">
        <f>IFERROR(__xludf.DUMMYFUNCTION("AVERAGE(QUERY(SORT(GOOGLEFINANCE(B353,""price"",TODAY()-365,TODAY()),1,0),""select Col2 limit 30""))"),3368.3633333333337)</f>
        <v>3368.363333</v>
      </c>
      <c r="K353" s="18">
        <f>IFERROR(__xludf.DUMMYFUNCTION("AVERAGE(QUERY(SORT(GOOGLEFINANCE(B353,""price"",TODAY()-365,TODAY()),1,0),""select Col2 limit 60""))"),3216.01)</f>
        <v>3216.01</v>
      </c>
      <c r="L353" s="17">
        <f>IFERROR(__xludf.DUMMYFUNCTION("AVERAGE(QUERY(SORT(GOOGLEFINANCE(B353,""price"",TODAY()-365,TODAY()),1,0),""select Col2 limit 90""))"),3009.215555555556)</f>
        <v>3009.215556</v>
      </c>
      <c r="M353" s="17">
        <f>IFERROR(__xludf.DUMMYFUNCTION("AVERAGE(QUERY(SORT(GOOGLEFINANCE(B353,""price"",TODAY()-365,TODAY()),1,0),""select Col2 limit 120""))"),2914.0616666666665)</f>
        <v>2914.061667</v>
      </c>
      <c r="N353" s="19">
        <f>IFERROR(__xludf.DUMMYFUNCTION("AVERAGE(QUERY(SORT(GOOGLEFINANCE(B353,""price"",TODAY()-365,TODAY()),1,0),""select Col2 limit 200""))"),3051.1949999999983)</f>
        <v>3051.195</v>
      </c>
      <c r="O353" s="20" t="str">
        <f t="shared" si="2"/>
        <v>Avoid</v>
      </c>
      <c r="P353" s="21" t="str">
        <f t="shared" si="3"/>
        <v>10 DMA</v>
      </c>
      <c r="Q353" s="21" t="str">
        <f t="shared" si="4"/>
        <v/>
      </c>
      <c r="R353" s="22">
        <f>IFERROR(__xludf.DUMMYFUNCTION("GOOGLEFINANCE(B353, ""pe"")
"),57.91)</f>
        <v>57.91</v>
      </c>
    </row>
    <row r="354">
      <c r="A354" s="9" t="s">
        <v>366</v>
      </c>
      <c r="B354" s="11" t="str">
        <f t="shared" si="1"/>
        <v>NSE:GODREJIND</v>
      </c>
      <c r="C354" s="12">
        <f>IFERROR(__xludf.DUMMYFUNCTION("GOOGLEFINANCE(B354,""marketcap"")/10000000"),38274.3051062)</f>
        <v>38274.30511</v>
      </c>
      <c r="D354" s="13">
        <f>IFERROR(__xludf.DUMMYFUNCTION("GOOGLEFINANCE(B354,""price"")"),1136.4)</f>
        <v>1136.4</v>
      </c>
      <c r="E354" s="14">
        <f>IFERROR(__xludf.DUMMYFUNCTION("GOOGLEFINANCE(B354,""Volume"")"),68964.0)</f>
        <v>68964</v>
      </c>
      <c r="F354" s="14">
        <f t="array" ref="F354">F353</f>
        <v>14</v>
      </c>
      <c r="G354" s="15" t="str">
        <f>IFERROR(__xludf.DUMMYFUNCTION("IF(E354&gt;AVERAGE(INDEX(GOOGLEFINANCE(B354,""volume"",WORKDAY(TODAY(),-$F$1),TODAY()),,2)),""Breakout"","""")"),"")</f>
        <v/>
      </c>
      <c r="H354" s="16">
        <f>IFERROR(__xludf.DUMMYFUNCTION("GOOGLEFINANCE(B354,""price"")"),1136.4)</f>
        <v>1136.4</v>
      </c>
      <c r="I354" s="17">
        <f>IFERROR(__xludf.DUMMYFUNCTION("AVERAGE(QUERY(SORT(GOOGLEFINANCE(B354,""price"",TODAY()-365,TODAY()),1,0),""select Col2 limit 10""))"),1134.08)</f>
        <v>1134.08</v>
      </c>
      <c r="J354" s="17">
        <f>IFERROR(__xludf.DUMMYFUNCTION("AVERAGE(QUERY(SORT(GOOGLEFINANCE(B354,""price"",TODAY()-365,TODAY()),1,0),""select Col2 limit 30""))"),1196.1166666666663)</f>
        <v>1196.116667</v>
      </c>
      <c r="K354" s="18">
        <f>IFERROR(__xludf.DUMMYFUNCTION("AVERAGE(QUERY(SORT(GOOGLEFINANCE(B354,""price"",TODAY()-365,TODAY()),1,0),""select Col2 limit 60""))"),1191.0549999999998)</f>
        <v>1191.055</v>
      </c>
      <c r="L354" s="17">
        <f>IFERROR(__xludf.DUMMYFUNCTION("AVERAGE(QUERY(SORT(GOOGLEFINANCE(B354,""price"",TODAY()-365,TODAY()),1,0),""select Col2 limit 90""))"),1171.6194444444438)</f>
        <v>1171.619444</v>
      </c>
      <c r="M354" s="17">
        <f>IFERROR(__xludf.DUMMYFUNCTION("AVERAGE(QUERY(SORT(GOOGLEFINANCE(B354,""price"",TODAY()-365,TODAY()),1,0),""select Col2 limit 120""))"),1122.371666666666)</f>
        <v>1122.371667</v>
      </c>
      <c r="N354" s="19">
        <f>IFERROR(__xludf.DUMMYFUNCTION("AVERAGE(QUERY(SORT(GOOGLEFINANCE(B354,""price"",TODAY()-365,TODAY()),1,0),""select Col2 limit 200""))"),1090.2539999999995)</f>
        <v>1090.254</v>
      </c>
      <c r="O354" s="20" t="str">
        <f t="shared" si="2"/>
        <v>Avoid</v>
      </c>
      <c r="P354" s="21" t="str">
        <f t="shared" si="3"/>
        <v/>
      </c>
      <c r="Q354" s="21" t="str">
        <f t="shared" si="4"/>
        <v/>
      </c>
      <c r="R354" s="22">
        <f>IFERROR(__xludf.DUMMYFUNCTION("GOOGLEFINANCE(B354, ""pe"")
"),39.01)</f>
        <v>39.01</v>
      </c>
    </row>
    <row r="355">
      <c r="A355" s="9" t="s">
        <v>367</v>
      </c>
      <c r="B355" s="11" t="str">
        <f t="shared" si="1"/>
        <v>NSE:BAYERCROP</v>
      </c>
      <c r="C355" s="12">
        <f>IFERROR(__xludf.DUMMYFUNCTION("GOOGLEFINANCE(B355,""marketcap"")/10000000"),28769.6789135)</f>
        <v>28769.67891</v>
      </c>
      <c r="D355" s="13">
        <f>IFERROR(__xludf.DUMMYFUNCTION("GOOGLEFINANCE(B355,""price"")"),6403.0)</f>
        <v>6403</v>
      </c>
      <c r="E355" s="14">
        <f>IFERROR(__xludf.DUMMYFUNCTION("GOOGLEFINANCE(B355,""Volume"")"),22738.0)</f>
        <v>22738</v>
      </c>
      <c r="F355" s="14">
        <f t="array" ref="F355">F354</f>
        <v>14</v>
      </c>
      <c r="G355" s="15" t="str">
        <f>IFERROR(__xludf.DUMMYFUNCTION("IF(E355&gt;AVERAGE(INDEX(GOOGLEFINANCE(B355,""volume"",WORKDAY(TODAY(),-$F$1),TODAY()),,2)),""Breakout"","""")"),"")</f>
        <v/>
      </c>
      <c r="H355" s="16">
        <f>IFERROR(__xludf.DUMMYFUNCTION("GOOGLEFINANCE(B355,""price"")"),6403.0)</f>
        <v>6403</v>
      </c>
      <c r="I355" s="17">
        <f>IFERROR(__xludf.DUMMYFUNCTION("AVERAGE(QUERY(SORT(GOOGLEFINANCE(B355,""price"",TODAY()-365,TODAY()),1,0),""select Col2 limit 10""))"),6324.75)</f>
        <v>6324.75</v>
      </c>
      <c r="J355" s="17">
        <f>IFERROR(__xludf.DUMMYFUNCTION("AVERAGE(QUERY(SORT(GOOGLEFINANCE(B355,""price"",TODAY()-365,TODAY()),1,0),""select Col2 limit 30""))"),6129.1)</f>
        <v>6129.1</v>
      </c>
      <c r="K355" s="18">
        <f>IFERROR(__xludf.DUMMYFUNCTION("AVERAGE(QUERY(SORT(GOOGLEFINANCE(B355,""price"",TODAY()-365,TODAY()),1,0),""select Col2 limit 60""))"),5665.95)</f>
        <v>5665.95</v>
      </c>
      <c r="L355" s="17">
        <f>IFERROR(__xludf.DUMMYFUNCTION("AVERAGE(QUERY(SORT(GOOGLEFINANCE(B355,""price"",TODAY()-365,TODAY()),1,0),""select Col2 limit 90""))"),5391.8488888888905)</f>
        <v>5391.848889</v>
      </c>
      <c r="M355" s="17">
        <f>IFERROR(__xludf.DUMMYFUNCTION("AVERAGE(QUERY(SORT(GOOGLEFINANCE(B355,""price"",TODAY()-365,TODAY()),1,0),""select Col2 limit 120""))"),5249.62291666667)</f>
        <v>5249.622917</v>
      </c>
      <c r="N355" s="19">
        <f>IFERROR(__xludf.DUMMYFUNCTION("AVERAGE(QUERY(SORT(GOOGLEFINANCE(B355,""price"",TODAY()-365,TODAY()),1,0),""select Col2 limit 200""))"),5536.126750000004)</f>
        <v>5536.12675</v>
      </c>
      <c r="O355" s="20" t="str">
        <f t="shared" si="2"/>
        <v>Avoid</v>
      </c>
      <c r="P355" s="21" t="str">
        <f t="shared" si="3"/>
        <v/>
      </c>
      <c r="Q355" s="21" t="str">
        <f t="shared" si="4"/>
        <v/>
      </c>
      <c r="R355" s="22">
        <f>IFERROR(__xludf.DUMMYFUNCTION("GOOGLEFINANCE(B355, ""pe"")
"),50.66)</f>
        <v>50.66</v>
      </c>
    </row>
    <row r="356">
      <c r="A356" s="9" t="s">
        <v>368</v>
      </c>
      <c r="B356" s="11" t="str">
        <f t="shared" si="1"/>
        <v>NSE:BRIGADE</v>
      </c>
      <c r="C356" s="12">
        <f>IFERROR(__xludf.DUMMYFUNCTION("GOOGLEFINANCE(B356,""marketcap"")/10000000"),24907.16225)</f>
        <v>24907.16225</v>
      </c>
      <c r="D356" s="13">
        <f>IFERROR(__xludf.DUMMYFUNCTION("GOOGLEFINANCE(B356,""price"")"),1018.0)</f>
        <v>1018</v>
      </c>
      <c r="E356" s="14">
        <f>IFERROR(__xludf.DUMMYFUNCTION("GOOGLEFINANCE(B356,""Volume"")"),152190.0)</f>
        <v>152190</v>
      </c>
      <c r="F356" s="14">
        <f t="array" ref="F356">F355</f>
        <v>14</v>
      </c>
      <c r="G356" s="15" t="str">
        <f>IFERROR(__xludf.DUMMYFUNCTION("IF(E356&gt;AVERAGE(INDEX(GOOGLEFINANCE(B356,""volume"",WORKDAY(TODAY(),-$F$1),TODAY()),,2)),""Breakout"","""")"),"")</f>
        <v/>
      </c>
      <c r="H356" s="16">
        <f>IFERROR(__xludf.DUMMYFUNCTION("GOOGLEFINANCE(B356,""price"")"),1018.0)</f>
        <v>1018</v>
      </c>
      <c r="I356" s="17">
        <f>IFERROR(__xludf.DUMMYFUNCTION("AVERAGE(QUERY(SORT(GOOGLEFINANCE(B356,""price"",TODAY()-365,TODAY()),1,0),""select Col2 limit 10""))"),1089.1200000000001)</f>
        <v>1089.12</v>
      </c>
      <c r="J356" s="17">
        <f>IFERROR(__xludf.DUMMYFUNCTION("AVERAGE(QUERY(SORT(GOOGLEFINANCE(B356,""price"",TODAY()-365,TODAY()),1,0),""select Col2 limit 30""))"),1107.12)</f>
        <v>1107.12</v>
      </c>
      <c r="K356" s="18">
        <f>IFERROR(__xludf.DUMMYFUNCTION("AVERAGE(QUERY(SORT(GOOGLEFINANCE(B356,""price"",TODAY()-365,TODAY()),1,0),""select Col2 limit 60""))"),1115.0899999999997)</f>
        <v>1115.09</v>
      </c>
      <c r="L356" s="17">
        <f>IFERROR(__xludf.DUMMYFUNCTION("AVERAGE(QUERY(SORT(GOOGLEFINANCE(B356,""price"",TODAY()-365,TODAY()),1,0),""select Col2 limit 90""))"),1069.4661111111106)</f>
        <v>1069.466111</v>
      </c>
      <c r="M356" s="17">
        <f>IFERROR(__xludf.DUMMYFUNCTION("AVERAGE(QUERY(SORT(GOOGLEFINANCE(B356,""price"",TODAY()-365,TODAY()),1,0),""select Col2 limit 120""))"),1058.8545833333333)</f>
        <v>1058.854583</v>
      </c>
      <c r="N356" s="19">
        <f>IFERROR(__xludf.DUMMYFUNCTION("AVERAGE(QUERY(SORT(GOOGLEFINANCE(B356,""price"",TODAY()-365,TODAY()),1,0),""select Col2 limit 200""))"),1119.8357499999995)</f>
        <v>1119.83575</v>
      </c>
      <c r="O356" s="20" t="str">
        <f t="shared" si="2"/>
        <v>Avoid</v>
      </c>
      <c r="P356" s="21" t="str">
        <f t="shared" si="3"/>
        <v/>
      </c>
      <c r="Q356" s="21" t="str">
        <f t="shared" si="4"/>
        <v/>
      </c>
      <c r="R356" s="22">
        <f>IFERROR(__xludf.DUMMYFUNCTION("GOOGLEFINANCE(B356, ""pe"")
"),35.76)</f>
        <v>35.76</v>
      </c>
    </row>
    <row r="357">
      <c r="A357" s="9" t="s">
        <v>369</v>
      </c>
      <c r="B357" s="11" t="str">
        <f t="shared" si="1"/>
        <v>NSE:PAYTM</v>
      </c>
      <c r="C357" s="12">
        <f>IFERROR(__xludf.DUMMYFUNCTION("GOOGLEFINANCE(B357,""marketcap"")/10000000"),70559.7428243)</f>
        <v>70559.74282</v>
      </c>
      <c r="D357" s="13">
        <f>IFERROR(__xludf.DUMMYFUNCTION("GOOGLEFINANCE(B357,""price"")"),1102.4)</f>
        <v>1102.4</v>
      </c>
      <c r="E357" s="14">
        <f>IFERROR(__xludf.DUMMYFUNCTION("GOOGLEFINANCE(B357,""Volume"")"),4758377.0)</f>
        <v>4758377</v>
      </c>
      <c r="F357" s="14">
        <f t="array" ref="F357">F356</f>
        <v>14</v>
      </c>
      <c r="G357" s="15" t="str">
        <f>IFERROR(__xludf.DUMMYFUNCTION("IF(E357&gt;AVERAGE(INDEX(GOOGLEFINANCE(B357,""volume"",WORKDAY(TODAY(),-$F$1),TODAY()),,2)),""Breakout"","""")"),"")</f>
        <v/>
      </c>
      <c r="H357" s="16">
        <f>IFERROR(__xludf.DUMMYFUNCTION("GOOGLEFINANCE(B357,""price"")"),1102.4)</f>
        <v>1102.4</v>
      </c>
      <c r="I357" s="17">
        <f>IFERROR(__xludf.DUMMYFUNCTION("AVERAGE(QUERY(SORT(GOOGLEFINANCE(B357,""price"",TODAY()-365,TODAY()),1,0),""select Col2 limit 10""))"),1028.305)</f>
        <v>1028.305</v>
      </c>
      <c r="J357" s="17">
        <f>IFERROR(__xludf.DUMMYFUNCTION("AVERAGE(QUERY(SORT(GOOGLEFINANCE(B357,""price"",TODAY()-365,TODAY()),1,0),""select Col2 limit 30""))"),947.8850000000001)</f>
        <v>947.885</v>
      </c>
      <c r="K357" s="18">
        <f>IFERROR(__xludf.DUMMYFUNCTION("AVERAGE(QUERY(SORT(GOOGLEFINANCE(B357,""price"",TODAY()-365,TODAY()),1,0),""select Col2 limit 60""))"),914.9766666666666)</f>
        <v>914.9766667</v>
      </c>
      <c r="L357" s="17">
        <f>IFERROR(__xludf.DUMMYFUNCTION("AVERAGE(QUERY(SORT(GOOGLEFINANCE(B357,""price"",TODAY()-365,TODAY()),1,0),""select Col2 limit 90""))"),882.7249999999997)</f>
        <v>882.725</v>
      </c>
      <c r="M357" s="17">
        <f>IFERROR(__xludf.DUMMYFUNCTION("AVERAGE(QUERY(SORT(GOOGLEFINANCE(B357,""price"",TODAY()-365,TODAY()),1,0),""select Col2 limit 120""))"),848.1016666666663)</f>
        <v>848.1016667</v>
      </c>
      <c r="N357" s="19">
        <f>IFERROR(__xludf.DUMMYFUNCTION("AVERAGE(QUERY(SORT(GOOGLEFINANCE(B357,""price"",TODAY()-365,TODAY()),1,0),""select Col2 limit 200""))"),850.471750000001)</f>
        <v>850.47175</v>
      </c>
      <c r="O357" s="20" t="str">
        <f t="shared" si="2"/>
        <v>Avoid</v>
      </c>
      <c r="P357" s="21" t="str">
        <f t="shared" si="3"/>
        <v/>
      </c>
      <c r="Q357" s="21" t="str">
        <f t="shared" si="4"/>
        <v/>
      </c>
      <c r="R357" s="22">
        <f>IFERROR(__xludf.DUMMYFUNCTION("GOOGLEFINANCE(B357, ""pe"")
"),247.86)</f>
        <v>247.86</v>
      </c>
    </row>
    <row r="358">
      <c r="A358" s="9" t="s">
        <v>370</v>
      </c>
      <c r="B358" s="11" t="str">
        <f t="shared" si="1"/>
        <v>NSE:SUNDRMFAST</v>
      </c>
      <c r="C358" s="12">
        <f>IFERROR(__xludf.DUMMYFUNCTION("GOOGLEFINANCE(B358,""marketcap"")/10000000"),21052.75489)</f>
        <v>21052.75489</v>
      </c>
      <c r="D358" s="13">
        <f>IFERROR(__xludf.DUMMYFUNCTION("GOOGLEFINANCE(B358,""price"")"),1001.9)</f>
        <v>1001.9</v>
      </c>
      <c r="E358" s="14">
        <f>IFERROR(__xludf.DUMMYFUNCTION("GOOGLEFINANCE(B358,""Volume"")"),21548.0)</f>
        <v>21548</v>
      </c>
      <c r="F358" s="14">
        <f t="array" ref="F358">F357</f>
        <v>14</v>
      </c>
      <c r="G358" s="15" t="str">
        <f>IFERROR(__xludf.DUMMYFUNCTION("IF(E358&gt;AVERAGE(INDEX(GOOGLEFINANCE(B358,""volume"",WORKDAY(TODAY(),-$F$1),TODAY()),,2)),""Breakout"","""")"),"")</f>
        <v/>
      </c>
      <c r="H358" s="16">
        <f>IFERROR(__xludf.DUMMYFUNCTION("GOOGLEFINANCE(B358,""price"")"),1001.9)</f>
        <v>1001.9</v>
      </c>
      <c r="I358" s="17">
        <f>IFERROR(__xludf.DUMMYFUNCTION("AVERAGE(QUERY(SORT(GOOGLEFINANCE(B358,""price"",TODAY()-365,TODAY()),1,0),""select Col2 limit 10""))"),1021.72)</f>
        <v>1021.72</v>
      </c>
      <c r="J358" s="17">
        <f>IFERROR(__xludf.DUMMYFUNCTION("AVERAGE(QUERY(SORT(GOOGLEFINANCE(B358,""price"",TODAY()-365,TODAY()),1,0),""select Col2 limit 30""))"),1014.9766666666667)</f>
        <v>1014.976667</v>
      </c>
      <c r="K358" s="18">
        <f>IFERROR(__xludf.DUMMYFUNCTION("AVERAGE(QUERY(SORT(GOOGLEFINANCE(B358,""price"",TODAY()-365,TODAY()),1,0),""select Col2 limit 60""))"),1000.7741666666664)</f>
        <v>1000.774167</v>
      </c>
      <c r="L358" s="17">
        <f>IFERROR(__xludf.DUMMYFUNCTION("AVERAGE(QUERY(SORT(GOOGLEFINANCE(B358,""price"",TODAY()-365,TODAY()),1,0),""select Col2 limit 90""))"),972.1166666666666)</f>
        <v>972.1166667</v>
      </c>
      <c r="M358" s="17">
        <f>IFERROR(__xludf.DUMMYFUNCTION("AVERAGE(QUERY(SORT(GOOGLEFINANCE(B358,""price"",TODAY()-365,TODAY()),1,0),""select Col2 limit 120""))"),972.90625)</f>
        <v>972.90625</v>
      </c>
      <c r="N358" s="19">
        <f>IFERROR(__xludf.DUMMYFUNCTION("AVERAGE(QUERY(SORT(GOOGLEFINANCE(B358,""price"",TODAY()-365,TODAY()),1,0),""select Col2 limit 200""))"),1060.601750000001)</f>
        <v>1060.60175</v>
      </c>
      <c r="O358" s="20" t="str">
        <f t="shared" si="2"/>
        <v>Avoid</v>
      </c>
      <c r="P358" s="21" t="str">
        <f t="shared" si="3"/>
        <v/>
      </c>
      <c r="Q358" s="21" t="str">
        <f t="shared" si="4"/>
        <v/>
      </c>
      <c r="R358" s="22">
        <f>IFERROR(__xludf.DUMMYFUNCTION("GOOGLEFINANCE(B358, ""pe"")
"),39.05)</f>
        <v>39.05</v>
      </c>
    </row>
    <row r="359">
      <c r="A359" s="9" t="s">
        <v>371</v>
      </c>
      <c r="B359" s="11" t="str">
        <f t="shared" si="1"/>
        <v>NSE:TVSHLTD</v>
      </c>
      <c r="C359" s="12">
        <f>IFERROR(__xludf.DUMMYFUNCTION("GOOGLEFINANCE(B359,""marketcap"")/10000000"),26787.71)</f>
        <v>26787.71</v>
      </c>
      <c r="D359" s="13">
        <f>IFERROR(__xludf.DUMMYFUNCTION("GOOGLEFINANCE(B359,""price"")"),11811.0)</f>
        <v>11811</v>
      </c>
      <c r="E359" s="14">
        <f>IFERROR(__xludf.DUMMYFUNCTION("GOOGLEFINANCE(B359,""Volume"")"),2852.0)</f>
        <v>2852</v>
      </c>
      <c r="F359" s="14">
        <f t="array" ref="F359">F358</f>
        <v>14</v>
      </c>
      <c r="G359" s="15" t="str">
        <f>IFERROR(__xludf.DUMMYFUNCTION("IF(E359&gt;AVERAGE(INDEX(GOOGLEFINANCE(B359,""volume"",WORKDAY(TODAY(),-$F$1),TODAY()),,2)),""Breakout"","""")"),"")</f>
        <v/>
      </c>
      <c r="H359" s="16">
        <f>IFERROR(__xludf.DUMMYFUNCTION("GOOGLEFINANCE(B359,""price"")"),11811.0)</f>
        <v>11811</v>
      </c>
      <c r="I359" s="17">
        <f>IFERROR(__xludf.DUMMYFUNCTION("AVERAGE(QUERY(SORT(GOOGLEFINANCE(B359,""price"",TODAY()-365,TODAY()),1,0),""select Col2 limit 10""))"),12088.0)</f>
        <v>12088</v>
      </c>
      <c r="J359" s="17">
        <f>IFERROR(__xludf.DUMMYFUNCTION("AVERAGE(QUERY(SORT(GOOGLEFINANCE(B359,""price"",TODAY()-365,TODAY()),1,0),""select Col2 limit 30""))"),11316.8)</f>
        <v>11316.8</v>
      </c>
      <c r="K359" s="18">
        <f>IFERROR(__xludf.DUMMYFUNCTION("AVERAGE(QUERY(SORT(GOOGLEFINANCE(B359,""price"",TODAY()-365,TODAY()),1,0),""select Col2 limit 60""))"),11082.175)</f>
        <v>11082.175</v>
      </c>
      <c r="L359" s="17">
        <f>IFERROR(__xludf.DUMMYFUNCTION("AVERAGE(QUERY(SORT(GOOGLEFINANCE(B359,""price"",TODAY()-365,TODAY()),1,0),""select Col2 limit 90""))"),10331.696111111112)</f>
        <v>10331.69611</v>
      </c>
      <c r="M359" s="17">
        <f>IFERROR(__xludf.DUMMYFUNCTION("AVERAGE(QUERY(SORT(GOOGLEFINANCE(B359,""price"",TODAY()-365,TODAY()),1,0),""select Col2 limit 120""))"),9923.629583333328)</f>
        <v>9923.629583</v>
      </c>
      <c r="N359" s="19">
        <f>IFERROR(__xludf.DUMMYFUNCTION("AVERAGE(QUERY(SORT(GOOGLEFINANCE(B359,""price"",TODAY()-365,TODAY()),1,0),""select Col2 limit 200""))"),10535.65275)</f>
        <v>10535.65275</v>
      </c>
      <c r="O359" s="20" t="str">
        <f t="shared" si="2"/>
        <v>Avoid</v>
      </c>
      <c r="P359" s="21" t="str">
        <f t="shared" si="3"/>
        <v/>
      </c>
      <c r="Q359" s="21" t="str">
        <f t="shared" si="4"/>
        <v/>
      </c>
      <c r="R359" s="22" t="str">
        <f>IFERROR(__xludf.DUMMYFUNCTION("GOOGLEFINANCE(B359, ""pe"")
"),"#N/A")</f>
        <v>#N/A</v>
      </c>
    </row>
    <row r="360">
      <c r="A360" s="9" t="s">
        <v>372</v>
      </c>
      <c r="B360" s="11" t="str">
        <f t="shared" si="1"/>
        <v>NSE:GRINDWELL</v>
      </c>
      <c r="C360" s="12">
        <f>IFERROR(__xludf.DUMMYFUNCTION("GOOGLEFINANCE(B360,""marketcap"")/10000000"),17781.61594)</f>
        <v>17781.61594</v>
      </c>
      <c r="D360" s="13">
        <f>IFERROR(__xludf.DUMMYFUNCTION("GOOGLEFINANCE(B360,""price"")"),1595.4)</f>
        <v>1595.4</v>
      </c>
      <c r="E360" s="14">
        <f>IFERROR(__xludf.DUMMYFUNCTION("GOOGLEFINANCE(B360,""Volume"")"),25940.0)</f>
        <v>25940</v>
      </c>
      <c r="F360" s="14">
        <f t="array" ref="F360">F359</f>
        <v>14</v>
      </c>
      <c r="G360" s="15" t="str">
        <f>IFERROR(__xludf.DUMMYFUNCTION("IF(E360&gt;AVERAGE(INDEX(GOOGLEFINANCE(B360,""volume"",WORKDAY(TODAY(),-$F$1),TODAY()),,2)),""Breakout"","""")"),"")</f>
        <v/>
      </c>
      <c r="H360" s="16">
        <f>IFERROR(__xludf.DUMMYFUNCTION("GOOGLEFINANCE(B360,""price"")"),1595.4)</f>
        <v>1595.4</v>
      </c>
      <c r="I360" s="17">
        <f>IFERROR(__xludf.DUMMYFUNCTION("AVERAGE(QUERY(SORT(GOOGLEFINANCE(B360,""price"",TODAY()-365,TODAY()),1,0),""select Col2 limit 10""))"),1756.7400000000002)</f>
        <v>1756.74</v>
      </c>
      <c r="J360" s="17">
        <f>IFERROR(__xludf.DUMMYFUNCTION("AVERAGE(QUERY(SORT(GOOGLEFINANCE(B360,""price"",TODAY()-365,TODAY()),1,0),""select Col2 limit 30""))"),1727.47)</f>
        <v>1727.47</v>
      </c>
      <c r="K360" s="18">
        <f>IFERROR(__xludf.DUMMYFUNCTION("AVERAGE(QUERY(SORT(GOOGLEFINANCE(B360,""price"",TODAY()-365,TODAY()),1,0),""select Col2 limit 60""))"),1740.0200000000004)</f>
        <v>1740.02</v>
      </c>
      <c r="L360" s="17">
        <f>IFERROR(__xludf.DUMMYFUNCTION("AVERAGE(QUERY(SORT(GOOGLEFINANCE(B360,""price"",TODAY()-365,TODAY()),1,0),""select Col2 limit 90""))"),1718.9238888888895)</f>
        <v>1718.923889</v>
      </c>
      <c r="M360" s="17">
        <f>IFERROR(__xludf.DUMMYFUNCTION("AVERAGE(QUERY(SORT(GOOGLEFINANCE(B360,""price"",TODAY()-365,TODAY()),1,0),""select Col2 limit 120""))"),1698.5695833333336)</f>
        <v>1698.569583</v>
      </c>
      <c r="N360" s="19">
        <f>IFERROR(__xludf.DUMMYFUNCTION("AVERAGE(QUERY(SORT(GOOGLEFINANCE(B360,""price"",TODAY()-365,TODAY()),1,0),""select Col2 limit 200""))"),1857.9467500000005)</f>
        <v>1857.94675</v>
      </c>
      <c r="O360" s="20" t="str">
        <f t="shared" si="2"/>
        <v>Avoid</v>
      </c>
      <c r="P360" s="21" t="str">
        <f t="shared" si="3"/>
        <v/>
      </c>
      <c r="Q360" s="21" t="str">
        <f t="shared" si="4"/>
        <v/>
      </c>
      <c r="R360" s="22">
        <f>IFERROR(__xludf.DUMMYFUNCTION("GOOGLEFINANCE(B360, ""pe"")
"),48.23)</f>
        <v>48.23</v>
      </c>
    </row>
    <row r="361">
      <c r="A361" s="9" t="s">
        <v>373</v>
      </c>
      <c r="B361" s="11" t="str">
        <f t="shared" si="1"/>
        <v>NSE:ZFCVINDIA</v>
      </c>
      <c r="C361" s="12">
        <f>IFERROR(__xludf.DUMMYFUNCTION("GOOGLEFINANCE(B361,""marketcap"")/10000000"),25226.8814)</f>
        <v>25226.8814</v>
      </c>
      <c r="D361" s="13">
        <f>IFERROR(__xludf.DUMMYFUNCTION("GOOGLEFINANCE(B361,""price"")"),13300.0)</f>
        <v>13300</v>
      </c>
      <c r="E361" s="14">
        <f>IFERROR(__xludf.DUMMYFUNCTION("GOOGLEFINANCE(B361,""Volume"")"),3230.0)</f>
        <v>3230</v>
      </c>
      <c r="F361" s="14">
        <f t="array" ref="F361">F360</f>
        <v>14</v>
      </c>
      <c r="G361" s="15" t="str">
        <f>IFERROR(__xludf.DUMMYFUNCTION("IF(E361&gt;AVERAGE(INDEX(GOOGLEFINANCE(B361,""volume"",WORKDAY(TODAY(),-$F$1),TODAY()),,2)),""Breakout"","""")"),"")</f>
        <v/>
      </c>
      <c r="H361" s="16">
        <f>IFERROR(__xludf.DUMMYFUNCTION("GOOGLEFINANCE(B361,""price"")"),13300.0)</f>
        <v>13300</v>
      </c>
      <c r="I361" s="17">
        <f>IFERROR(__xludf.DUMMYFUNCTION("AVERAGE(QUERY(SORT(GOOGLEFINANCE(B361,""price"",TODAY()-365,TODAY()),1,0),""select Col2 limit 10""))"),13260.7)</f>
        <v>13260.7</v>
      </c>
      <c r="J361" s="17">
        <f>IFERROR(__xludf.DUMMYFUNCTION("AVERAGE(QUERY(SORT(GOOGLEFINANCE(B361,""price"",TODAY()-365,TODAY()),1,0),""select Col2 limit 30""))"),13244.933333333332)</f>
        <v>13244.93333</v>
      </c>
      <c r="K361" s="18">
        <f>IFERROR(__xludf.DUMMYFUNCTION("AVERAGE(QUERY(SORT(GOOGLEFINANCE(B361,""price"",TODAY()-365,TODAY()),1,0),""select Col2 limit 60""))"),13191.933333333332)</f>
        <v>13191.93333</v>
      </c>
      <c r="L361" s="17">
        <f>IFERROR(__xludf.DUMMYFUNCTION("AVERAGE(QUERY(SORT(GOOGLEFINANCE(B361,""price"",TODAY()-365,TODAY()),1,0),""select Col2 limit 90""))"),13014.326111111108)</f>
        <v>13014.32611</v>
      </c>
      <c r="M361" s="17">
        <f>IFERROR(__xludf.DUMMYFUNCTION("AVERAGE(QUERY(SORT(GOOGLEFINANCE(B361,""price"",TODAY()-365,TODAY()),1,0),""select Col2 limit 120""))"),12517.495833333327)</f>
        <v>12517.49583</v>
      </c>
      <c r="N361" s="19">
        <f>IFERROR(__xludf.DUMMYFUNCTION("AVERAGE(QUERY(SORT(GOOGLEFINANCE(B361,""price"",TODAY()-365,TODAY()),1,0),""select Col2 limit 200""))"),12680.199999999997)</f>
        <v>12680.2</v>
      </c>
      <c r="O361" s="20" t="str">
        <f t="shared" si="2"/>
        <v>Avoid</v>
      </c>
      <c r="P361" s="21" t="str">
        <f t="shared" si="3"/>
        <v/>
      </c>
      <c r="Q361" s="21" t="str">
        <f t="shared" si="4"/>
        <v/>
      </c>
      <c r="R361" s="22">
        <f>IFERROR(__xludf.DUMMYFUNCTION("GOOGLEFINANCE(B361, ""pe"")
"),54.76)</f>
        <v>54.76</v>
      </c>
    </row>
    <row r="362">
      <c r="A362" s="9" t="s">
        <v>374</v>
      </c>
      <c r="B362" s="11" t="str">
        <f t="shared" si="1"/>
        <v>NSE:ARE&amp;M</v>
      </c>
      <c r="C362" s="12">
        <f>IFERROR(__xludf.DUMMYFUNCTION("GOOGLEFINANCE(B362,""marketcap"")/10000000"),18205.53)</f>
        <v>18205.53</v>
      </c>
      <c r="D362" s="13">
        <f>IFERROR(__xludf.DUMMYFUNCTION("GOOGLEFINANCE(B362,""price"")"),976.3)</f>
        <v>976.3</v>
      </c>
      <c r="E362" s="14">
        <f>IFERROR(__xludf.DUMMYFUNCTION("GOOGLEFINANCE(B362,""Volume"")"),296617.0)</f>
        <v>296617</v>
      </c>
      <c r="F362" s="14">
        <f t="array" ref="F362">F361</f>
        <v>14</v>
      </c>
      <c r="G362" s="15" t="str">
        <f>IFERROR(__xludf.DUMMYFUNCTION("IF(E362&gt;AVERAGE(INDEX(GOOGLEFINANCE(B362,""volume"",WORKDAY(TODAY(),-$F$1),TODAY()),,2)),""Breakout"","""")"),"")</f>
        <v/>
      </c>
      <c r="H362" s="16">
        <f>IFERROR(__xludf.DUMMYFUNCTION("GOOGLEFINANCE(B362,""price"")"),976.3)</f>
        <v>976.3</v>
      </c>
      <c r="I362" s="17">
        <f>IFERROR(__xludf.DUMMYFUNCTION("AVERAGE(QUERY(SORT(GOOGLEFINANCE(B362,""price"",TODAY()-365,TODAY()),1,0),""select Col2 limit 10""))"),993.61)</f>
        <v>993.61</v>
      </c>
      <c r="J362" s="17">
        <f>IFERROR(__xludf.DUMMYFUNCTION("AVERAGE(QUERY(SORT(GOOGLEFINANCE(B362,""price"",TODAY()-365,TODAY()),1,0),""select Col2 limit 30""))"),980.3733333333332)</f>
        <v>980.3733333</v>
      </c>
      <c r="K362" s="18">
        <f>IFERROR(__xludf.DUMMYFUNCTION("AVERAGE(QUERY(SORT(GOOGLEFINANCE(B362,""price"",TODAY()-365,TODAY()),1,0),""select Col2 limit 60""))"),995.2808333333335)</f>
        <v>995.2808333</v>
      </c>
      <c r="L362" s="17">
        <f>IFERROR(__xludf.DUMMYFUNCTION("AVERAGE(QUERY(SORT(GOOGLEFINANCE(B362,""price"",TODAY()-365,TODAY()),1,0),""select Col2 limit 90""))"),999.1633333333332)</f>
        <v>999.1633333</v>
      </c>
      <c r="M362" s="17">
        <f>IFERROR(__xludf.DUMMYFUNCTION("AVERAGE(QUERY(SORT(GOOGLEFINANCE(B362,""price"",TODAY()-365,TODAY()),1,0),""select Col2 limit 120""))"),1001.8966666666664)</f>
        <v>1001.896667</v>
      </c>
      <c r="N362" s="19">
        <f>IFERROR(__xludf.DUMMYFUNCTION("AVERAGE(QUERY(SORT(GOOGLEFINANCE(B362,""price"",TODAY()-365,TODAY()),1,0),""select Col2 limit 200""))"),1099.0122500000002)</f>
        <v>1099.01225</v>
      </c>
      <c r="O362" s="20" t="str">
        <f t="shared" si="2"/>
        <v>Avoid</v>
      </c>
      <c r="P362" s="21" t="str">
        <f t="shared" si="3"/>
        <v>30 DMA</v>
      </c>
      <c r="Q362" s="21" t="str">
        <f t="shared" si="4"/>
        <v/>
      </c>
      <c r="R362" s="22" t="str">
        <f>IFERROR(__xludf.DUMMYFUNCTION("GOOGLEFINANCE(B362, ""pe"")
"),"#N/A")</f>
        <v>#N/A</v>
      </c>
    </row>
    <row r="363">
      <c r="A363" s="9" t="s">
        <v>375</v>
      </c>
      <c r="B363" s="11" t="str">
        <f t="shared" si="1"/>
        <v>NSE:AJANTPHARM</v>
      </c>
      <c r="C363" s="12">
        <f>IFERROR(__xludf.DUMMYFUNCTION("GOOGLEFINANCE(B363,""marketcap"")/10000000"),34172.202587)</f>
        <v>34172.20259</v>
      </c>
      <c r="D363" s="13">
        <f>IFERROR(__xludf.DUMMYFUNCTION("GOOGLEFINANCE(B363,""price"")"),2743.9)</f>
        <v>2743.9</v>
      </c>
      <c r="E363" s="14">
        <f>IFERROR(__xludf.DUMMYFUNCTION("GOOGLEFINANCE(B363,""Volume"")"),118808.0)</f>
        <v>118808</v>
      </c>
      <c r="F363" s="14">
        <f t="array" ref="F363">F362</f>
        <v>14</v>
      </c>
      <c r="G363" s="15" t="str">
        <f>IFERROR(__xludf.DUMMYFUNCTION("IF(E363&gt;AVERAGE(INDEX(GOOGLEFINANCE(B363,""volume"",WORKDAY(TODAY(),-$F$1),TODAY()),,2)),""Breakout"","""")"),"")</f>
        <v/>
      </c>
      <c r="H363" s="16">
        <f>IFERROR(__xludf.DUMMYFUNCTION("GOOGLEFINANCE(B363,""price"")"),2743.9)</f>
        <v>2743.9</v>
      </c>
      <c r="I363" s="17">
        <f>IFERROR(__xludf.DUMMYFUNCTION("AVERAGE(QUERY(SORT(GOOGLEFINANCE(B363,""price"",TODAY()-365,TODAY()),1,0),""select Col2 limit 10""))"),2750.7500000000005)</f>
        <v>2750.75</v>
      </c>
      <c r="J363" s="17">
        <f>IFERROR(__xludf.DUMMYFUNCTION("AVERAGE(QUERY(SORT(GOOGLEFINANCE(B363,""price"",TODAY()-365,TODAY()),1,0),""select Col2 limit 30""))"),2641.249999999999)</f>
        <v>2641.25</v>
      </c>
      <c r="K363" s="18">
        <f>IFERROR(__xludf.DUMMYFUNCTION("AVERAGE(QUERY(SORT(GOOGLEFINANCE(B363,""price"",TODAY()-365,TODAY()),1,0),""select Col2 limit 60""))"),2610.7799999999993)</f>
        <v>2610.78</v>
      </c>
      <c r="L363" s="17">
        <f>IFERROR(__xludf.DUMMYFUNCTION("AVERAGE(QUERY(SORT(GOOGLEFINANCE(B363,""price"",TODAY()-365,TODAY()),1,0),""select Col2 limit 90""))"),2620.244444444444)</f>
        <v>2620.244444</v>
      </c>
      <c r="M363" s="17">
        <f>IFERROR(__xludf.DUMMYFUNCTION("AVERAGE(QUERY(SORT(GOOGLEFINANCE(B363,""price"",TODAY()-365,TODAY()),1,0),""select Col2 limit 120""))"),2619.432083333333)</f>
        <v>2619.432083</v>
      </c>
      <c r="N363" s="19">
        <f>IFERROR(__xludf.DUMMYFUNCTION("AVERAGE(QUERY(SORT(GOOGLEFINANCE(B363,""price"",TODAY()-365,TODAY()),1,0),""select Col2 limit 200""))"),2760.058)</f>
        <v>2760.058</v>
      </c>
      <c r="O363" s="20" t="str">
        <f t="shared" si="2"/>
        <v>Avoid</v>
      </c>
      <c r="P363" s="21" t="str">
        <f t="shared" si="3"/>
        <v>10 DMA</v>
      </c>
      <c r="Q363" s="21" t="str">
        <f t="shared" si="4"/>
        <v/>
      </c>
      <c r="R363" s="22">
        <f>IFERROR(__xludf.DUMMYFUNCTION("GOOGLEFINANCE(B363, ""pe"")
"),37.31)</f>
        <v>37.31</v>
      </c>
    </row>
    <row r="364">
      <c r="A364" s="9" t="s">
        <v>376</v>
      </c>
      <c r="B364" s="11" t="str">
        <f t="shared" si="1"/>
        <v>NSE:KPRMILL</v>
      </c>
      <c r="C364" s="12">
        <f>IFERROR(__xludf.DUMMYFUNCTION("GOOGLEFINANCE(B364,""marketcap"")/10000000"),39469.2493639)</f>
        <v>39469.24936</v>
      </c>
      <c r="D364" s="13">
        <f>IFERROR(__xludf.DUMMYFUNCTION("GOOGLEFINANCE(B364,""price"")"),1154.4)</f>
        <v>1154.4</v>
      </c>
      <c r="E364" s="14">
        <f>IFERROR(__xludf.DUMMYFUNCTION("GOOGLEFINANCE(B364,""Volume"")"),202929.0)</f>
        <v>202929</v>
      </c>
      <c r="F364" s="14">
        <f t="array" ref="F364">F363</f>
        <v>14</v>
      </c>
      <c r="G364" s="15" t="str">
        <f>IFERROR(__xludf.DUMMYFUNCTION("IF(E364&gt;AVERAGE(INDEX(GOOGLEFINANCE(B364,""volume"",WORKDAY(TODAY(),-$F$1),TODAY()),,2)),""Breakout"","""")"),"")</f>
        <v/>
      </c>
      <c r="H364" s="16">
        <f>IFERROR(__xludf.DUMMYFUNCTION("GOOGLEFINANCE(B364,""price"")"),1154.4)</f>
        <v>1154.4</v>
      </c>
      <c r="I364" s="17">
        <f>IFERROR(__xludf.DUMMYFUNCTION("AVERAGE(QUERY(SORT(GOOGLEFINANCE(B364,""price"",TODAY()-365,TODAY()),1,0),""select Col2 limit 10""))"),1201.1699999999998)</f>
        <v>1201.17</v>
      </c>
      <c r="J364" s="17">
        <f>IFERROR(__xludf.DUMMYFUNCTION("AVERAGE(QUERY(SORT(GOOGLEFINANCE(B364,""price"",TODAY()-365,TODAY()),1,0),""select Col2 limit 30""))"),1161.8)</f>
        <v>1161.8</v>
      </c>
      <c r="K364" s="18">
        <f>IFERROR(__xludf.DUMMYFUNCTION("AVERAGE(QUERY(SORT(GOOGLEFINANCE(B364,""price"",TODAY()-365,TODAY()),1,0),""select Col2 limit 60""))"),1153.7125000000003)</f>
        <v>1153.7125</v>
      </c>
      <c r="L364" s="17">
        <f>IFERROR(__xludf.DUMMYFUNCTION("AVERAGE(QUERY(SORT(GOOGLEFINANCE(B364,""price"",TODAY()-365,TODAY()),1,0),""select Col2 limit 90""))"),1093.7161111111113)</f>
        <v>1093.716111</v>
      </c>
      <c r="M364" s="17">
        <f>IFERROR(__xludf.DUMMYFUNCTION("AVERAGE(QUERY(SORT(GOOGLEFINANCE(B364,""price"",TODAY()-365,TODAY()),1,0),""select Col2 limit 120""))"),1036.725)</f>
        <v>1036.725</v>
      </c>
      <c r="N364" s="19">
        <f>IFERROR(__xludf.DUMMYFUNCTION("AVERAGE(QUERY(SORT(GOOGLEFINANCE(B364,""price"",TODAY()-365,TODAY()),1,0),""select Col2 limit 200""))"),1008.824)</f>
        <v>1008.824</v>
      </c>
      <c r="O364" s="20" t="str">
        <f t="shared" si="2"/>
        <v>Avoid</v>
      </c>
      <c r="P364" s="21" t="str">
        <f t="shared" si="3"/>
        <v>30 DMA</v>
      </c>
      <c r="Q364" s="21" t="str">
        <f t="shared" si="4"/>
        <v/>
      </c>
      <c r="R364" s="22">
        <f>IFERROR(__xludf.DUMMYFUNCTION("GOOGLEFINANCE(B364, ""pe"")
"),48.43)</f>
        <v>48.43</v>
      </c>
    </row>
    <row r="365">
      <c r="A365" s="9" t="s">
        <v>377</v>
      </c>
      <c r="B365" s="11" t="str">
        <f t="shared" si="1"/>
        <v>NSE:GRSE</v>
      </c>
      <c r="C365" s="12">
        <f>IFERROR(__xludf.DUMMYFUNCTION("GOOGLEFINANCE(B365,""marketcap"")/10000000"),28759.4262386)</f>
        <v>28759.42624</v>
      </c>
      <c r="D365" s="13">
        <f>IFERROR(__xludf.DUMMYFUNCTION("GOOGLEFINANCE(B365,""price"")"),2510.6)</f>
        <v>2510.6</v>
      </c>
      <c r="E365" s="14">
        <f>IFERROR(__xludf.DUMMYFUNCTION("GOOGLEFINANCE(B365,""Volume"")"),492434.0)</f>
        <v>492434</v>
      </c>
      <c r="F365" s="14">
        <f t="array" ref="F365">F364</f>
        <v>14</v>
      </c>
      <c r="G365" s="15" t="str">
        <f>IFERROR(__xludf.DUMMYFUNCTION("IF(E365&gt;AVERAGE(INDEX(GOOGLEFINANCE(B365,""volume"",WORKDAY(TODAY(),-$F$1),TODAY()),,2)),""Breakout"","""")"),"")</f>
        <v/>
      </c>
      <c r="H365" s="16">
        <f>IFERROR(__xludf.DUMMYFUNCTION("GOOGLEFINANCE(B365,""price"")"),2510.6)</f>
        <v>2510.6</v>
      </c>
      <c r="I365" s="17">
        <f>IFERROR(__xludf.DUMMYFUNCTION("AVERAGE(QUERY(SORT(GOOGLEFINANCE(B365,""price"",TODAY()-365,TODAY()),1,0),""select Col2 limit 10""))"),2628.6900000000005)</f>
        <v>2628.69</v>
      </c>
      <c r="J365" s="17">
        <f>IFERROR(__xludf.DUMMYFUNCTION("AVERAGE(QUERY(SORT(GOOGLEFINANCE(B365,""price"",TODAY()-365,TODAY()),1,0),""select Col2 limit 30""))"),2905.733333333334)</f>
        <v>2905.733333</v>
      </c>
      <c r="K365" s="18">
        <f>IFERROR(__xludf.DUMMYFUNCTION("AVERAGE(QUERY(SORT(GOOGLEFINANCE(B365,""price"",TODAY()-365,TODAY()),1,0),""select Col2 limit 60""))"),2769.828333333333)</f>
        <v>2769.828333</v>
      </c>
      <c r="L365" s="17">
        <f>IFERROR(__xludf.DUMMYFUNCTION("AVERAGE(QUERY(SORT(GOOGLEFINANCE(B365,""price"",TODAY()-365,TODAY()),1,0),""select Col2 limit 90""))"),2407.864999999999)</f>
        <v>2407.865</v>
      </c>
      <c r="M365" s="17">
        <f>IFERROR(__xludf.DUMMYFUNCTION("AVERAGE(QUERY(SORT(GOOGLEFINANCE(B365,""price"",TODAY()-365,TODAY()),1,0),""select Col2 limit 120""))"),2150.452916666666)</f>
        <v>2150.452917</v>
      </c>
      <c r="N365" s="19">
        <f>IFERROR(__xludf.DUMMYFUNCTION("AVERAGE(QUERY(SORT(GOOGLEFINANCE(B365,""price"",TODAY()-365,TODAY()),1,0),""select Col2 limit 200""))"),1929.0265)</f>
        <v>1929.0265</v>
      </c>
      <c r="O365" s="20" t="str">
        <f t="shared" si="2"/>
        <v>Avoid</v>
      </c>
      <c r="P365" s="21" t="str">
        <f t="shared" si="3"/>
        <v/>
      </c>
      <c r="Q365" s="21" t="str">
        <f t="shared" si="4"/>
        <v/>
      </c>
      <c r="R365" s="22">
        <f>IFERROR(__xludf.DUMMYFUNCTION("GOOGLEFINANCE(B365, ""pe"")
"),54.54)</f>
        <v>54.54</v>
      </c>
    </row>
    <row r="366">
      <c r="A366" s="9" t="s">
        <v>378</v>
      </c>
      <c r="B366" s="11" t="str">
        <f t="shared" si="1"/>
        <v>NSE:ITI</v>
      </c>
      <c r="C366" s="12">
        <f>IFERROR(__xludf.DUMMYFUNCTION("GOOGLEFINANCE(B366,""marketcap"")/10000000"),28485.4303825)</f>
        <v>28485.43038</v>
      </c>
      <c r="D366" s="13">
        <f>IFERROR(__xludf.DUMMYFUNCTION("GOOGLEFINANCE(B366,""price"")"),295.75)</f>
        <v>295.75</v>
      </c>
      <c r="E366" s="14">
        <f>IFERROR(__xludf.DUMMYFUNCTION("GOOGLEFINANCE(B366,""Volume"")"),143773.0)</f>
        <v>143773</v>
      </c>
      <c r="F366" s="14">
        <f t="array" ref="F366">F365</f>
        <v>14</v>
      </c>
      <c r="G366" s="15" t="str">
        <f>IFERROR(__xludf.DUMMYFUNCTION("IF(E366&gt;AVERAGE(INDEX(GOOGLEFINANCE(B366,""volume"",WORKDAY(TODAY(),-$F$1),TODAY()),,2)),""Breakout"","""")"),"")</f>
        <v/>
      </c>
      <c r="H366" s="16">
        <f>IFERROR(__xludf.DUMMYFUNCTION("GOOGLEFINANCE(B366,""price"")"),295.75)</f>
        <v>295.75</v>
      </c>
      <c r="I366" s="17">
        <f>IFERROR(__xludf.DUMMYFUNCTION("AVERAGE(QUERY(SORT(GOOGLEFINANCE(B366,""price"",TODAY()-365,TODAY()),1,0),""select Col2 limit 10""))"),313.955)</f>
        <v>313.955</v>
      </c>
      <c r="J366" s="17">
        <f>IFERROR(__xludf.DUMMYFUNCTION("AVERAGE(QUERY(SORT(GOOGLEFINANCE(B366,""price"",TODAY()-365,TODAY()),1,0),""select Col2 limit 30""))"),318.47833333333324)</f>
        <v>318.4783333</v>
      </c>
      <c r="K366" s="18">
        <f>IFERROR(__xludf.DUMMYFUNCTION("AVERAGE(QUERY(SORT(GOOGLEFINANCE(B366,""price"",TODAY()-365,TODAY()),1,0),""select Col2 limit 60""))"),307.56083333333316)</f>
        <v>307.5608333</v>
      </c>
      <c r="L366" s="17">
        <f>IFERROR(__xludf.DUMMYFUNCTION("AVERAGE(QUERY(SORT(GOOGLEFINANCE(B366,""price"",TODAY()-365,TODAY()),1,0),""select Col2 limit 90""))"),291.1204444444444)</f>
        <v>291.1204444</v>
      </c>
      <c r="M366" s="17">
        <f>IFERROR(__xludf.DUMMYFUNCTION("AVERAGE(QUERY(SORT(GOOGLEFINANCE(B366,""price"",TODAY()-365,TODAY()),1,0),""select Col2 limit 120""))"),287.0455833333333)</f>
        <v>287.0455833</v>
      </c>
      <c r="N366" s="19">
        <f>IFERROR(__xludf.DUMMYFUNCTION("AVERAGE(QUERY(SORT(GOOGLEFINANCE(B366,""price"",TODAY()-365,TODAY()),1,0),""select Col2 limit 200""))"),298.7325999999998)</f>
        <v>298.7326</v>
      </c>
      <c r="O366" s="20" t="str">
        <f t="shared" si="2"/>
        <v>Avoid</v>
      </c>
      <c r="P366" s="21" t="str">
        <f t="shared" si="3"/>
        <v/>
      </c>
      <c r="Q366" s="21" t="str">
        <f t="shared" si="4"/>
        <v/>
      </c>
      <c r="R366" s="22" t="str">
        <f>IFERROR(__xludf.DUMMYFUNCTION("GOOGLEFINANCE(B366, ""pe"")
"),"#N/A")</f>
        <v>#N/A</v>
      </c>
    </row>
    <row r="367">
      <c r="A367" s="9" t="s">
        <v>379</v>
      </c>
      <c r="B367" s="11" t="str">
        <f t="shared" si="1"/>
        <v>NSE:HATSUN</v>
      </c>
      <c r="C367" s="12">
        <f>IFERROR(__xludf.DUMMYFUNCTION("GOOGLEFINANCE(B367,""marketcap"")/10000000"),20375.7729287)</f>
        <v>20375.77293</v>
      </c>
      <c r="D367" s="13">
        <f>IFERROR(__xludf.DUMMYFUNCTION("GOOGLEFINANCE(B367,""price"")"),913.0)</f>
        <v>913</v>
      </c>
      <c r="E367" s="14">
        <f>IFERROR(__xludf.DUMMYFUNCTION("GOOGLEFINANCE(B367,""Volume"")"),26586.0)</f>
        <v>26586</v>
      </c>
      <c r="F367" s="14">
        <f t="array" ref="F367">F366</f>
        <v>14</v>
      </c>
      <c r="G367" s="15" t="str">
        <f>IFERROR(__xludf.DUMMYFUNCTION("IF(E367&gt;AVERAGE(INDEX(GOOGLEFINANCE(B367,""volume"",WORKDAY(TODAY(),-$F$1),TODAY()),,2)),""Breakout"","""")"),"")</f>
        <v/>
      </c>
      <c r="H367" s="16">
        <f>IFERROR(__xludf.DUMMYFUNCTION("GOOGLEFINANCE(B367,""price"")"),913.0)</f>
        <v>913</v>
      </c>
      <c r="I367" s="17">
        <f>IFERROR(__xludf.DUMMYFUNCTION("AVERAGE(QUERY(SORT(GOOGLEFINANCE(B367,""price"",TODAY()-365,TODAY()),1,0),""select Col2 limit 10""))"),949.0949999999999)</f>
        <v>949.095</v>
      </c>
      <c r="J367" s="17">
        <f>IFERROR(__xludf.DUMMYFUNCTION("AVERAGE(QUERY(SORT(GOOGLEFINANCE(B367,""price"",TODAY()-365,TODAY()),1,0),""select Col2 limit 30""))"),952.1833333333333)</f>
        <v>952.1833333</v>
      </c>
      <c r="K367" s="18">
        <f>IFERROR(__xludf.DUMMYFUNCTION("AVERAGE(QUERY(SORT(GOOGLEFINANCE(B367,""price"",TODAY()-365,TODAY()),1,0),""select Col2 limit 60""))"),939.9108333333331)</f>
        <v>939.9108333</v>
      </c>
      <c r="L367" s="17">
        <f>IFERROR(__xludf.DUMMYFUNCTION("AVERAGE(QUERY(SORT(GOOGLEFINANCE(B367,""price"",TODAY()-365,TODAY()),1,0),""select Col2 limit 90""))"),937.1355555555552)</f>
        <v>937.1355556</v>
      </c>
      <c r="M367" s="17">
        <f>IFERROR(__xludf.DUMMYFUNCTION("AVERAGE(QUERY(SORT(GOOGLEFINANCE(B367,""price"",TODAY()-365,TODAY()),1,0),""select Col2 limit 120""))"),940.2979166666665)</f>
        <v>940.2979167</v>
      </c>
      <c r="N367" s="19">
        <f>IFERROR(__xludf.DUMMYFUNCTION("AVERAGE(QUERY(SORT(GOOGLEFINANCE(B367,""price"",TODAY()-365,TODAY()),1,0),""select Col2 limit 200""))"),988.8875000000003)</f>
        <v>988.8875</v>
      </c>
      <c r="O367" s="20" t="str">
        <f t="shared" si="2"/>
        <v>Avoid</v>
      </c>
      <c r="P367" s="21" t="str">
        <f t="shared" si="3"/>
        <v/>
      </c>
      <c r="Q367" s="21" t="str">
        <f t="shared" si="4"/>
        <v/>
      </c>
      <c r="R367" s="22">
        <f>IFERROR(__xludf.DUMMYFUNCTION("GOOGLEFINANCE(B367, ""pe"")
"),71.72)</f>
        <v>71.72</v>
      </c>
    </row>
    <row r="368">
      <c r="A368" s="9" t="s">
        <v>380</v>
      </c>
      <c r="B368" s="11" t="str">
        <f t="shared" si="1"/>
        <v>NSE:CHOLAHLDNG</v>
      </c>
      <c r="C368" s="12">
        <f>IFERROR(__xludf.DUMMYFUNCTION("GOOGLEFINANCE(B368,""marketcap"")/10000000"),36372.48238)</f>
        <v>36372.48238</v>
      </c>
      <c r="D368" s="13">
        <f>IFERROR(__xludf.DUMMYFUNCTION("GOOGLEFINANCE(B368,""price"")"),1937.0)</f>
        <v>1937</v>
      </c>
      <c r="E368" s="14">
        <f>IFERROR(__xludf.DUMMYFUNCTION("GOOGLEFINANCE(B368,""Volume"")"),164542.0)</f>
        <v>164542</v>
      </c>
      <c r="F368" s="14">
        <f t="array" ref="F368">F367</f>
        <v>14</v>
      </c>
      <c r="G368" s="15" t="str">
        <f>IFERROR(__xludf.DUMMYFUNCTION("IF(E368&gt;AVERAGE(INDEX(GOOGLEFINANCE(B368,""volume"",WORKDAY(TODAY(),-$F$1),TODAY()),,2)),""Breakout"","""")"),"")</f>
        <v/>
      </c>
      <c r="H368" s="16">
        <f>IFERROR(__xludf.DUMMYFUNCTION("GOOGLEFINANCE(B368,""price"")"),1937.0)</f>
        <v>1937</v>
      </c>
      <c r="I368" s="17">
        <f>IFERROR(__xludf.DUMMYFUNCTION("AVERAGE(QUERY(SORT(GOOGLEFINANCE(B368,""price"",TODAY()-365,TODAY()),1,0),""select Col2 limit 10""))"),2080.9700000000003)</f>
        <v>2080.97</v>
      </c>
      <c r="J368" s="17">
        <f>IFERROR(__xludf.DUMMYFUNCTION("AVERAGE(QUERY(SORT(GOOGLEFINANCE(B368,""price"",TODAY()-365,TODAY()),1,0),""select Col2 limit 30""))"),2068.0000000000005)</f>
        <v>2068</v>
      </c>
      <c r="K368" s="18">
        <f>IFERROR(__xludf.DUMMYFUNCTION("AVERAGE(QUERY(SORT(GOOGLEFINANCE(B368,""price"",TODAY()-365,TODAY()),1,0),""select Col2 limit 60""))"),1972.935)</f>
        <v>1972.935</v>
      </c>
      <c r="L368" s="17">
        <f>IFERROR(__xludf.DUMMYFUNCTION("AVERAGE(QUERY(SORT(GOOGLEFINANCE(B368,""price"",TODAY()-365,TODAY()),1,0),""select Col2 limit 90""))"),1909.273888888889)</f>
        <v>1909.273889</v>
      </c>
      <c r="M368" s="17">
        <f>IFERROR(__xludf.DUMMYFUNCTION("AVERAGE(QUERY(SORT(GOOGLEFINANCE(B368,""price"",TODAY()-365,TODAY()),1,0),""select Col2 limit 120""))"),1816.5724999999995)</f>
        <v>1816.5725</v>
      </c>
      <c r="N368" s="19">
        <f>IFERROR(__xludf.DUMMYFUNCTION("AVERAGE(QUERY(SORT(GOOGLEFINANCE(B368,""price"",TODAY()-365,TODAY()),1,0),""select Col2 limit 200""))"),1737.109499999999)</f>
        <v>1737.1095</v>
      </c>
      <c r="O368" s="20" t="str">
        <f t="shared" si="2"/>
        <v>Avoid</v>
      </c>
      <c r="P368" s="21" t="str">
        <f t="shared" si="3"/>
        <v/>
      </c>
      <c r="Q368" s="21" t="str">
        <f t="shared" si="4"/>
        <v/>
      </c>
      <c r="R368" s="22">
        <f>IFERROR(__xludf.DUMMYFUNCTION("GOOGLEFINANCE(B368, ""pe"")
"),16.73)</f>
        <v>16.73</v>
      </c>
    </row>
    <row r="369">
      <c r="A369" s="9" t="s">
        <v>381</v>
      </c>
      <c r="B369" s="11" t="str">
        <f t="shared" si="1"/>
        <v>NSE:JBCHEPHARM</v>
      </c>
      <c r="C369" s="12">
        <f>IFERROR(__xludf.DUMMYFUNCTION("GOOGLEFINANCE(B369,""marketcap"")/10000000"),26771.0202983)</f>
        <v>26771.0203</v>
      </c>
      <c r="D369" s="13">
        <f>IFERROR(__xludf.DUMMYFUNCTION("GOOGLEFINANCE(B369,""price"")"),1709.3)</f>
        <v>1709.3</v>
      </c>
      <c r="E369" s="14">
        <f>IFERROR(__xludf.DUMMYFUNCTION("GOOGLEFINANCE(B369,""Volume"")"),87739.0)</f>
        <v>87739</v>
      </c>
      <c r="F369" s="14">
        <f t="array" ref="F369">F368</f>
        <v>14</v>
      </c>
      <c r="G369" s="15" t="str">
        <f>IFERROR(__xludf.DUMMYFUNCTION("IF(E369&gt;AVERAGE(INDEX(GOOGLEFINANCE(B369,""volume"",WORKDAY(TODAY(),-$F$1),TODAY()),,2)),""Breakout"","""")"),"")</f>
        <v/>
      </c>
      <c r="H369" s="16">
        <f>IFERROR(__xludf.DUMMYFUNCTION("GOOGLEFINANCE(B369,""price"")"),1709.3)</f>
        <v>1709.3</v>
      </c>
      <c r="I369" s="17">
        <f>IFERROR(__xludf.DUMMYFUNCTION("AVERAGE(QUERY(SORT(GOOGLEFINANCE(B369,""price"",TODAY()-365,TODAY()),1,0),""select Col2 limit 10""))"),1672.64)</f>
        <v>1672.64</v>
      </c>
      <c r="J369" s="17">
        <f>IFERROR(__xludf.DUMMYFUNCTION("AVERAGE(QUERY(SORT(GOOGLEFINANCE(B369,""price"",TODAY()-365,TODAY()),1,0),""select Col2 limit 30""))"),1688.5800000000002)</f>
        <v>1688.58</v>
      </c>
      <c r="K369" s="18">
        <f>IFERROR(__xludf.DUMMYFUNCTION("AVERAGE(QUERY(SORT(GOOGLEFINANCE(B369,""price"",TODAY()-365,TODAY()),1,0),""select Col2 limit 60""))"),1670.7016666666668)</f>
        <v>1670.701667</v>
      </c>
      <c r="L369" s="17">
        <f>IFERROR(__xludf.DUMMYFUNCTION("AVERAGE(QUERY(SORT(GOOGLEFINANCE(B369,""price"",TODAY()-365,TODAY()),1,0),""select Col2 limit 90""))"),1647.7244444444445)</f>
        <v>1647.724444</v>
      </c>
      <c r="M369" s="17">
        <f>IFERROR(__xludf.DUMMYFUNCTION("AVERAGE(QUERY(SORT(GOOGLEFINANCE(B369,""price"",TODAY()-365,TODAY()),1,0),""select Col2 limit 120""))"),1644.9041666666665)</f>
        <v>1644.904167</v>
      </c>
      <c r="N369" s="19">
        <f>IFERROR(__xludf.DUMMYFUNCTION("AVERAGE(QUERY(SORT(GOOGLEFINANCE(B369,""price"",TODAY()-365,TODAY()),1,0),""select Col2 limit 200""))"),1712.4577499999996)</f>
        <v>1712.45775</v>
      </c>
      <c r="O369" s="20" t="str">
        <f t="shared" si="2"/>
        <v>Buy Above 200 DMA</v>
      </c>
      <c r="P369" s="21" t="str">
        <f t="shared" si="3"/>
        <v>200 DMA</v>
      </c>
      <c r="Q369" s="21" t="str">
        <f t="shared" si="4"/>
        <v>200 DMA cross best</v>
      </c>
      <c r="R369" s="22">
        <f>IFERROR(__xludf.DUMMYFUNCTION("GOOGLEFINANCE(B369, ""pe"")
"),41.19)</f>
        <v>41.19</v>
      </c>
    </row>
    <row r="370">
      <c r="A370" s="9" t="s">
        <v>382</v>
      </c>
      <c r="B370" s="11" t="str">
        <f t="shared" si="1"/>
        <v>NSE:SKFINDIA</v>
      </c>
      <c r="C370" s="12">
        <f>IFERROR(__xludf.DUMMYFUNCTION("GOOGLEFINANCE(B370,""marketcap"")/10000000"),24101.000625)</f>
        <v>24101.00063</v>
      </c>
      <c r="D370" s="13">
        <f>IFERROR(__xludf.DUMMYFUNCTION("GOOGLEFINANCE(B370,""price"")"),4845.1)</f>
        <v>4845.1</v>
      </c>
      <c r="E370" s="14">
        <f>IFERROR(__xludf.DUMMYFUNCTION("GOOGLEFINANCE(B370,""Volume"")"),14975.0)</f>
        <v>14975</v>
      </c>
      <c r="F370" s="14">
        <f t="array" ref="F370">F369</f>
        <v>14</v>
      </c>
      <c r="G370" s="15" t="str">
        <f>IFERROR(__xludf.DUMMYFUNCTION("IF(E370&gt;AVERAGE(INDEX(GOOGLEFINANCE(B370,""volume"",WORKDAY(TODAY(),-$F$1),TODAY()),,2)),""Breakout"","""")"),"")</f>
        <v/>
      </c>
      <c r="H370" s="16">
        <f>IFERROR(__xludf.DUMMYFUNCTION("GOOGLEFINANCE(B370,""price"")"),4845.1)</f>
        <v>4845.1</v>
      </c>
      <c r="I370" s="17">
        <f>IFERROR(__xludf.DUMMYFUNCTION("AVERAGE(QUERY(SORT(GOOGLEFINANCE(B370,""price"",TODAY()-365,TODAY()),1,0),""select Col2 limit 10""))"),4928.3)</f>
        <v>4928.3</v>
      </c>
      <c r="J370" s="17">
        <f>IFERROR(__xludf.DUMMYFUNCTION("AVERAGE(QUERY(SORT(GOOGLEFINANCE(B370,""price"",TODAY()-365,TODAY()),1,0),""select Col2 limit 30""))"),4829.943333333334)</f>
        <v>4829.943333</v>
      </c>
      <c r="K370" s="18">
        <f>IFERROR(__xludf.DUMMYFUNCTION("AVERAGE(QUERY(SORT(GOOGLEFINANCE(B370,""price"",TODAY()-365,TODAY()),1,0),""select Col2 limit 60""))"),4652.421666666667)</f>
        <v>4652.421667</v>
      </c>
      <c r="L370" s="17">
        <f>IFERROR(__xludf.DUMMYFUNCTION("AVERAGE(QUERY(SORT(GOOGLEFINANCE(B370,""price"",TODAY()-365,TODAY()),1,0),""select Col2 limit 90""))"),4379.700555555557)</f>
        <v>4379.700556</v>
      </c>
      <c r="M370" s="17">
        <f>IFERROR(__xludf.DUMMYFUNCTION("AVERAGE(QUERY(SORT(GOOGLEFINANCE(B370,""price"",TODAY()-365,TODAY()),1,0),""select Col2 limit 120""))"),4237.8220833333335)</f>
        <v>4237.822083</v>
      </c>
      <c r="N370" s="19">
        <f>IFERROR(__xludf.DUMMYFUNCTION("AVERAGE(QUERY(SORT(GOOGLEFINANCE(B370,""price"",TODAY()-365,TODAY()),1,0),""select Col2 limit 200""))"),4459.360000000001)</f>
        <v>4459.36</v>
      </c>
      <c r="O370" s="20" t="str">
        <f t="shared" si="2"/>
        <v>Avoid</v>
      </c>
      <c r="P370" s="21" t="str">
        <f t="shared" si="3"/>
        <v/>
      </c>
      <c r="Q370" s="21" t="str">
        <f t="shared" si="4"/>
        <v/>
      </c>
      <c r="R370" s="22">
        <f>IFERROR(__xludf.DUMMYFUNCTION("GOOGLEFINANCE(B370, ""pe"")
"),42.54)</f>
        <v>42.54</v>
      </c>
    </row>
    <row r="371">
      <c r="A371" s="9" t="s">
        <v>383</v>
      </c>
      <c r="B371" s="11" t="str">
        <f t="shared" si="1"/>
        <v>NSE:DELHIVERY</v>
      </c>
      <c r="C371" s="12">
        <f>IFERROR(__xludf.DUMMYFUNCTION("GOOGLEFINANCE(B371,""marketcap"")/10000000"),32099.7196518)</f>
        <v>32099.71965</v>
      </c>
      <c r="D371" s="13">
        <f>IFERROR(__xludf.DUMMYFUNCTION("GOOGLEFINANCE(B371,""price"")"),429.65)</f>
        <v>429.65</v>
      </c>
      <c r="E371" s="14">
        <f>IFERROR(__xludf.DUMMYFUNCTION("GOOGLEFINANCE(B371,""Volume"")"),972546.0)</f>
        <v>972546</v>
      </c>
      <c r="F371" s="14">
        <f t="array" ref="F371">F370</f>
        <v>14</v>
      </c>
      <c r="G371" s="15" t="str">
        <f>IFERROR(__xludf.DUMMYFUNCTION("IF(E371&gt;AVERAGE(INDEX(GOOGLEFINANCE(B371,""volume"",WORKDAY(TODAY(),-$F$1),TODAY()),,2)),""Breakout"","""")"),"")</f>
        <v/>
      </c>
      <c r="H371" s="16">
        <f>IFERROR(__xludf.DUMMYFUNCTION("GOOGLEFINANCE(B371,""price"")"),429.65)</f>
        <v>429.65</v>
      </c>
      <c r="I371" s="17">
        <f>IFERROR(__xludf.DUMMYFUNCTION("AVERAGE(QUERY(SORT(GOOGLEFINANCE(B371,""price"",TODAY()-365,TODAY()),1,0),""select Col2 limit 10""))"),427.31500000000005)</f>
        <v>427.315</v>
      </c>
      <c r="J371" s="17">
        <f>IFERROR(__xludf.DUMMYFUNCTION("AVERAGE(QUERY(SORT(GOOGLEFINANCE(B371,""price"",TODAY()-365,TODAY()),1,0),""select Col2 limit 30""))"),398.4483333333333)</f>
        <v>398.4483333</v>
      </c>
      <c r="K371" s="18">
        <f>IFERROR(__xludf.DUMMYFUNCTION("AVERAGE(QUERY(SORT(GOOGLEFINANCE(B371,""price"",TODAY()-365,TODAY()),1,0),""select Col2 limit 60""))"),371.42999999999995)</f>
        <v>371.43</v>
      </c>
      <c r="L371" s="17">
        <f>IFERROR(__xludf.DUMMYFUNCTION("AVERAGE(QUERY(SORT(GOOGLEFINANCE(B371,""price"",TODAY()-365,TODAY()),1,0),""select Col2 limit 90""))"),337.9398888888887)</f>
        <v>337.9398889</v>
      </c>
      <c r="M371" s="17">
        <f>IFERROR(__xludf.DUMMYFUNCTION("AVERAGE(QUERY(SORT(GOOGLEFINANCE(B371,""price"",TODAY()-365,TODAY()),1,0),""select Col2 limit 120""))"),323.45716666666647)</f>
        <v>323.4571667</v>
      </c>
      <c r="N371" s="19">
        <f>IFERROR(__xludf.DUMMYFUNCTION("AVERAGE(QUERY(SORT(GOOGLEFINANCE(B371,""price"",TODAY()-365,TODAY()),1,0),""select Col2 limit 200""))"),336.96104999999983)</f>
        <v>336.96105</v>
      </c>
      <c r="O371" s="20" t="str">
        <f t="shared" si="2"/>
        <v>Avoid</v>
      </c>
      <c r="P371" s="21" t="str">
        <f t="shared" si="3"/>
        <v/>
      </c>
      <c r="Q371" s="21" t="str">
        <f t="shared" si="4"/>
        <v/>
      </c>
      <c r="R371" s="22">
        <f>IFERROR(__xludf.DUMMYFUNCTION("GOOGLEFINANCE(B371, ""pe"")
"),200.77)</f>
        <v>200.77</v>
      </c>
    </row>
    <row r="372">
      <c r="A372" s="9" t="s">
        <v>384</v>
      </c>
      <c r="B372" s="11" t="str">
        <f t="shared" si="1"/>
        <v>NSE:CROMPTON</v>
      </c>
      <c r="C372" s="12">
        <f>IFERROR(__xludf.DUMMYFUNCTION("GOOGLEFINANCE(B372,""marketcap"")/10000000"),21327.624)</f>
        <v>21327.624</v>
      </c>
      <c r="D372" s="13">
        <f>IFERROR(__xludf.DUMMYFUNCTION("GOOGLEFINANCE(B372,""price"")"),331.25)</f>
        <v>331.25</v>
      </c>
      <c r="E372" s="14">
        <f>IFERROR(__xludf.DUMMYFUNCTION("GOOGLEFINANCE(B372,""Volume"")"),455647.0)</f>
        <v>455647</v>
      </c>
      <c r="F372" s="14">
        <f t="array" ref="F372">F371</f>
        <v>14</v>
      </c>
      <c r="G372" s="15" t="str">
        <f>IFERROR(__xludf.DUMMYFUNCTION("IF(E372&gt;AVERAGE(INDEX(GOOGLEFINANCE(B372,""volume"",WORKDAY(TODAY(),-$F$1),TODAY()),,2)),""Breakout"","""")"),"")</f>
        <v/>
      </c>
      <c r="H372" s="16">
        <f>IFERROR(__xludf.DUMMYFUNCTION("GOOGLEFINANCE(B372,""price"")"),331.25)</f>
        <v>331.25</v>
      </c>
      <c r="I372" s="17">
        <f>IFERROR(__xludf.DUMMYFUNCTION("AVERAGE(QUERY(SORT(GOOGLEFINANCE(B372,""price"",TODAY()-365,TODAY()),1,0),""select Col2 limit 10""))"),341.43999999999994)</f>
        <v>341.44</v>
      </c>
      <c r="J372" s="17">
        <f>IFERROR(__xludf.DUMMYFUNCTION("AVERAGE(QUERY(SORT(GOOGLEFINANCE(B372,""price"",TODAY()-365,TODAY()),1,0),""select Col2 limit 30""))"),346.15666666666664)</f>
        <v>346.1566667</v>
      </c>
      <c r="K372" s="18">
        <f>IFERROR(__xludf.DUMMYFUNCTION("AVERAGE(QUERY(SORT(GOOGLEFINANCE(B372,""price"",TODAY()-365,TODAY()),1,0),""select Col2 limit 60""))"),345.5191666666666)</f>
        <v>345.5191667</v>
      </c>
      <c r="L372" s="17">
        <f>IFERROR(__xludf.DUMMYFUNCTION("AVERAGE(QUERY(SORT(GOOGLEFINANCE(B372,""price"",TODAY()-365,TODAY()),1,0),""select Col2 limit 90""))"),344.81555555555536)</f>
        <v>344.8155556</v>
      </c>
      <c r="M372" s="17">
        <f>IFERROR(__xludf.DUMMYFUNCTION("AVERAGE(QUERY(SORT(GOOGLEFINANCE(B372,""price"",TODAY()-365,TODAY()),1,0),""select Col2 limit 120""))"),344.17916666666656)</f>
        <v>344.1791667</v>
      </c>
      <c r="N372" s="19">
        <f>IFERROR(__xludf.DUMMYFUNCTION("AVERAGE(QUERY(SORT(GOOGLEFINANCE(B372,""price"",TODAY()-365,TODAY()),1,0),""select Col2 limit 200""))"),363.0997499999999)</f>
        <v>363.09975</v>
      </c>
      <c r="O372" s="20" t="str">
        <f t="shared" si="2"/>
        <v>Avoid</v>
      </c>
      <c r="P372" s="21" t="str">
        <f t="shared" si="3"/>
        <v/>
      </c>
      <c r="Q372" s="21" t="str">
        <f t="shared" si="4"/>
        <v/>
      </c>
      <c r="R372" s="22">
        <f>IFERROR(__xludf.DUMMYFUNCTION("GOOGLEFINANCE(B372, ""pe"")
"),38.34)</f>
        <v>38.34</v>
      </c>
    </row>
    <row r="373">
      <c r="A373" s="9" t="s">
        <v>385</v>
      </c>
      <c r="B373" s="11" t="str">
        <f t="shared" si="1"/>
        <v>NSE:JWL</v>
      </c>
      <c r="C373" s="12">
        <f>IFERROR(__xludf.DUMMYFUNCTION("GOOGLEFINANCE(B373,""marketcap"")/10000000"),14972.05)</f>
        <v>14972.05</v>
      </c>
      <c r="D373" s="13">
        <f>IFERROR(__xludf.DUMMYFUNCTION("GOOGLEFINANCE(B373,""price"")"),345.7)</f>
        <v>345.7</v>
      </c>
      <c r="E373" s="14">
        <f>IFERROR(__xludf.DUMMYFUNCTION("GOOGLEFINANCE(B373,""Volume"")"),394085.0)</f>
        <v>394085</v>
      </c>
      <c r="F373" s="14">
        <f t="array" ref="F373">F372</f>
        <v>14</v>
      </c>
      <c r="G373" s="15" t="str">
        <f>IFERROR(__xludf.DUMMYFUNCTION("IF(E373&gt;AVERAGE(INDEX(GOOGLEFINANCE(B373,""volume"",WORKDAY(TODAY(),-$F$1),TODAY()),,2)),""Breakout"","""")"),"")</f>
        <v/>
      </c>
      <c r="H373" s="16">
        <f>IFERROR(__xludf.DUMMYFUNCTION("GOOGLEFINANCE(B373,""price"")"),345.7)</f>
        <v>345.7</v>
      </c>
      <c r="I373" s="17">
        <f>IFERROR(__xludf.DUMMYFUNCTION("AVERAGE(QUERY(SORT(GOOGLEFINANCE(B373,""price"",TODAY()-365,TODAY()),1,0),""select Col2 limit 10""))"),365.59000000000003)</f>
        <v>365.59</v>
      </c>
      <c r="J373" s="17">
        <f>IFERROR(__xludf.DUMMYFUNCTION("AVERAGE(QUERY(SORT(GOOGLEFINANCE(B373,""price"",TODAY()-365,TODAY()),1,0),""select Col2 limit 30""))"),374.86166666666657)</f>
        <v>374.8616667</v>
      </c>
      <c r="K373" s="18">
        <f>IFERROR(__xludf.DUMMYFUNCTION("AVERAGE(QUERY(SORT(GOOGLEFINANCE(B373,""price"",TODAY()-365,TODAY()),1,0),""select Col2 limit 60""))"),381.9399999999998)</f>
        <v>381.94</v>
      </c>
      <c r="L373" s="17">
        <f>IFERROR(__xludf.DUMMYFUNCTION("AVERAGE(QUERY(SORT(GOOGLEFINANCE(B373,""price"",TODAY()-365,TODAY()),1,0),""select Col2 limit 90""))"),375.6138888888889)</f>
        <v>375.6138889</v>
      </c>
      <c r="M373" s="17">
        <f>IFERROR(__xludf.DUMMYFUNCTION("AVERAGE(QUERY(SORT(GOOGLEFINANCE(B373,""price"",TODAY()-365,TODAY()),1,0),""select Col2 limit 120""))"),362.1916666666668)</f>
        <v>362.1916667</v>
      </c>
      <c r="N373" s="19">
        <f>IFERROR(__xludf.DUMMYFUNCTION("AVERAGE(QUERY(SORT(GOOGLEFINANCE(B373,""price"",TODAY()-365,TODAY()),1,0),""select Col2 limit 200""))"),412.42600000000004)</f>
        <v>412.426</v>
      </c>
      <c r="O373" s="20" t="str">
        <f t="shared" si="2"/>
        <v>Avoid</v>
      </c>
      <c r="P373" s="21" t="str">
        <f t="shared" si="3"/>
        <v/>
      </c>
      <c r="Q373" s="21" t="str">
        <f t="shared" si="4"/>
        <v/>
      </c>
      <c r="R373" s="22" t="str">
        <f>IFERROR(__xludf.DUMMYFUNCTION("GOOGLEFINANCE(B373, ""pe"")
"),"#N/A")</f>
        <v>#N/A</v>
      </c>
    </row>
    <row r="374">
      <c r="A374" s="9" t="s">
        <v>386</v>
      </c>
      <c r="B374" s="11" t="str">
        <f t="shared" si="1"/>
        <v>NSE:TATACHEM</v>
      </c>
      <c r="C374" s="12">
        <f>IFERROR(__xludf.DUMMYFUNCTION("GOOGLEFINANCE(B374,""marketcap"")/10000000"),24297.3821125)</f>
        <v>24297.38211</v>
      </c>
      <c r="D374" s="13">
        <f>IFERROR(__xludf.DUMMYFUNCTION("GOOGLEFINANCE(B374,""price"")"),953.95)</f>
        <v>953.95</v>
      </c>
      <c r="E374" s="14">
        <f>IFERROR(__xludf.DUMMYFUNCTION("GOOGLEFINANCE(B374,""Volume"")"),869268.0)</f>
        <v>869268</v>
      </c>
      <c r="F374" s="14">
        <f t="array" ref="F374">F373</f>
        <v>14</v>
      </c>
      <c r="G374" s="15" t="str">
        <f>IFERROR(__xludf.DUMMYFUNCTION("IF(E374&gt;AVERAGE(INDEX(GOOGLEFINANCE(B374,""volume"",WORKDAY(TODAY(),-$F$1),TODAY()),,2)),""Breakout"","""")"),"Breakout")</f>
        <v>Breakout</v>
      </c>
      <c r="H374" s="16">
        <f>IFERROR(__xludf.DUMMYFUNCTION("GOOGLEFINANCE(B374,""price"")"),953.95)</f>
        <v>953.95</v>
      </c>
      <c r="I374" s="17">
        <f>IFERROR(__xludf.DUMMYFUNCTION("AVERAGE(QUERY(SORT(GOOGLEFINANCE(B374,""price"",TODAY()-365,TODAY()),1,0),""select Col2 limit 10""))"),942.89)</f>
        <v>942.89</v>
      </c>
      <c r="J374" s="17">
        <f>IFERROR(__xludf.DUMMYFUNCTION("AVERAGE(QUERY(SORT(GOOGLEFINANCE(B374,""price"",TODAY()-365,TODAY()),1,0),""select Col2 limit 30""))"),932.43)</f>
        <v>932.43</v>
      </c>
      <c r="K374" s="18">
        <f>IFERROR(__xludf.DUMMYFUNCTION("AVERAGE(QUERY(SORT(GOOGLEFINANCE(B374,""price"",TODAY()-365,TODAY()),1,0),""select Col2 limit 60""))"),907.1033333333332)</f>
        <v>907.1033333</v>
      </c>
      <c r="L374" s="17">
        <f>IFERROR(__xludf.DUMMYFUNCTION("AVERAGE(QUERY(SORT(GOOGLEFINANCE(B374,""price"",TODAY()-365,TODAY()),1,0),""select Col2 limit 90""))"),884.4666666666665)</f>
        <v>884.4666667</v>
      </c>
      <c r="M374" s="17">
        <f>IFERROR(__xludf.DUMMYFUNCTION("AVERAGE(QUERY(SORT(GOOGLEFINANCE(B374,""price"",TODAY()-365,TODAY()),1,0),""select Col2 limit 120""))"),879.3270833333333)</f>
        <v>879.3270833</v>
      </c>
      <c r="N374" s="19">
        <f>IFERROR(__xludf.DUMMYFUNCTION("AVERAGE(QUERY(SORT(GOOGLEFINANCE(B374,""price"",TODAY()-365,TODAY()),1,0),""select Col2 limit 200""))"),955.0217499999998)</f>
        <v>955.02175</v>
      </c>
      <c r="O374" s="20" t="str">
        <f t="shared" si="2"/>
        <v>Buy Above 200 DMA</v>
      </c>
      <c r="P374" s="21" t="str">
        <f t="shared" si="3"/>
        <v>200 DMA</v>
      </c>
      <c r="Q374" s="21" t="str">
        <f t="shared" si="4"/>
        <v>200 DMA cross best</v>
      </c>
      <c r="R374" s="22">
        <f>IFERROR(__xludf.DUMMYFUNCTION("GOOGLEFINANCE(B374, ""pe"")
"),68.0)</f>
        <v>68</v>
      </c>
    </row>
    <row r="375">
      <c r="A375" s="9" t="s">
        <v>387</v>
      </c>
      <c r="B375" s="11" t="str">
        <f t="shared" si="1"/>
        <v>NSE:KIOCL</v>
      </c>
      <c r="C375" s="12">
        <f>IFERROR(__xludf.DUMMYFUNCTION("GOOGLEFINANCE(B375,""marketcap"")/10000000"),20119.5994236)</f>
        <v>20119.59942</v>
      </c>
      <c r="D375" s="13">
        <f>IFERROR(__xludf.DUMMYFUNCTION("GOOGLEFINANCE(B375,""price"")"),331.7)</f>
        <v>331.7</v>
      </c>
      <c r="E375" s="14">
        <f>IFERROR(__xludf.DUMMYFUNCTION("GOOGLEFINANCE(B375,""Volume"")"),329038.0)</f>
        <v>329038</v>
      </c>
      <c r="F375" s="14">
        <f t="array" ref="F375">F374</f>
        <v>14</v>
      </c>
      <c r="G375" s="15" t="str">
        <f>IFERROR(__xludf.DUMMYFUNCTION("IF(E375&gt;AVERAGE(INDEX(GOOGLEFINANCE(B375,""volume"",WORKDAY(TODAY(),-$F$1),TODAY()),,2)),""Breakout"","""")"),"")</f>
        <v/>
      </c>
      <c r="H375" s="16">
        <f>IFERROR(__xludf.DUMMYFUNCTION("GOOGLEFINANCE(B375,""price"")"),331.7)</f>
        <v>331.7</v>
      </c>
      <c r="I375" s="17">
        <f>IFERROR(__xludf.DUMMYFUNCTION("AVERAGE(QUERY(SORT(GOOGLEFINANCE(B375,""price"",TODAY()-365,TODAY()),1,0),""select Col2 limit 10""))"),314.015)</f>
        <v>314.015</v>
      </c>
      <c r="J375" s="17">
        <f>IFERROR(__xludf.DUMMYFUNCTION("AVERAGE(QUERY(SORT(GOOGLEFINANCE(B375,""price"",TODAY()-365,TODAY()),1,0),""select Col2 limit 30""))"),299.49666666666667)</f>
        <v>299.4966667</v>
      </c>
      <c r="K375" s="18">
        <f>IFERROR(__xludf.DUMMYFUNCTION("AVERAGE(QUERY(SORT(GOOGLEFINANCE(B375,""price"",TODAY()-365,TODAY()),1,0),""select Col2 limit 60""))"),291.59083333333336)</f>
        <v>291.5908333</v>
      </c>
      <c r="L375" s="17">
        <f>IFERROR(__xludf.DUMMYFUNCTION("AVERAGE(QUERY(SORT(GOOGLEFINANCE(B375,""price"",TODAY()-365,TODAY()),1,0),""select Col2 limit 90""))"),275.96877777777775)</f>
        <v>275.9687778</v>
      </c>
      <c r="M375" s="17">
        <f>IFERROR(__xludf.DUMMYFUNCTION("AVERAGE(QUERY(SORT(GOOGLEFINANCE(B375,""price"",TODAY()-365,TODAY()),1,0),""select Col2 limit 120""))"),274.7475)</f>
        <v>274.7475</v>
      </c>
      <c r="N375" s="19">
        <f>IFERROR(__xludf.DUMMYFUNCTION("AVERAGE(QUERY(SORT(GOOGLEFINANCE(B375,""price"",TODAY()-365,TODAY()),1,0),""select Col2 limit 200""))"),311.2050000000001)</f>
        <v>311.205</v>
      </c>
      <c r="O375" s="20" t="str">
        <f t="shared" si="2"/>
        <v>Avoid</v>
      </c>
      <c r="P375" s="21" t="str">
        <f t="shared" si="3"/>
        <v/>
      </c>
      <c r="Q375" s="21" t="str">
        <f t="shared" si="4"/>
        <v/>
      </c>
      <c r="R375" s="22" t="str">
        <f>IFERROR(__xludf.DUMMYFUNCTION("GOOGLEFINANCE(B375, ""pe"")
"),"#N/A")</f>
        <v>#N/A</v>
      </c>
    </row>
    <row r="376">
      <c r="A376" s="9" t="s">
        <v>388</v>
      </c>
      <c r="B376" s="11" t="str">
        <f t="shared" si="1"/>
        <v>NSE:JYOTICNC</v>
      </c>
      <c r="C376" s="12">
        <f>IFERROR(__xludf.DUMMYFUNCTION("GOOGLEFINANCE(B376,""marketcap"")/10000000"),23053.8799246)</f>
        <v>23053.87992</v>
      </c>
      <c r="D376" s="13">
        <f>IFERROR(__xludf.DUMMYFUNCTION("GOOGLEFINANCE(B376,""price"")"),1013.6)</f>
        <v>1013.6</v>
      </c>
      <c r="E376" s="14">
        <f>IFERROR(__xludf.DUMMYFUNCTION("GOOGLEFINANCE(B376,""Volume"")"),192224.0)</f>
        <v>192224</v>
      </c>
      <c r="F376" s="14">
        <f t="array" ref="F376">F375</f>
        <v>14</v>
      </c>
      <c r="G376" s="15" t="str">
        <f>IFERROR(__xludf.DUMMYFUNCTION("IF(E376&gt;AVERAGE(INDEX(GOOGLEFINANCE(B376,""volume"",WORKDAY(TODAY(),-$F$1),TODAY()),,2)),""Breakout"","""")"),"")</f>
        <v/>
      </c>
      <c r="H376" s="16">
        <f>IFERROR(__xludf.DUMMYFUNCTION("GOOGLEFINANCE(B376,""price"")"),1013.6)</f>
        <v>1013.6</v>
      </c>
      <c r="I376" s="17">
        <f>IFERROR(__xludf.DUMMYFUNCTION("AVERAGE(QUERY(SORT(GOOGLEFINANCE(B376,""price"",TODAY()-365,TODAY()),1,0),""select Col2 limit 10""))"),1037.27)</f>
        <v>1037.27</v>
      </c>
      <c r="J376" s="17">
        <f>IFERROR(__xludf.DUMMYFUNCTION("AVERAGE(QUERY(SORT(GOOGLEFINANCE(B376,""price"",TODAY()-365,TODAY()),1,0),""select Col2 limit 30""))"),1064.5833333333333)</f>
        <v>1064.583333</v>
      </c>
      <c r="K376" s="18">
        <f>IFERROR(__xludf.DUMMYFUNCTION("AVERAGE(QUERY(SORT(GOOGLEFINANCE(B376,""price"",TODAY()-365,TODAY()),1,0),""select Col2 limit 60""))"),1143.78)</f>
        <v>1143.78</v>
      </c>
      <c r="L376" s="17">
        <f>IFERROR(__xludf.DUMMYFUNCTION("AVERAGE(QUERY(SORT(GOOGLEFINANCE(B376,""price"",TODAY()-365,TODAY()),1,0),""select Col2 limit 90""))"),1116.5594444444444)</f>
        <v>1116.559444</v>
      </c>
      <c r="M376" s="17">
        <f>IFERROR(__xludf.DUMMYFUNCTION("AVERAGE(QUERY(SORT(GOOGLEFINANCE(B376,""price"",TODAY()-365,TODAY()),1,0),""select Col2 limit 120""))"),1078.2837499999998)</f>
        <v>1078.28375</v>
      </c>
      <c r="N376" s="19">
        <f>IFERROR(__xludf.DUMMYFUNCTION("AVERAGE(QUERY(SORT(GOOGLEFINANCE(B376,""price"",TODAY()-365,TODAY()),1,0),""select Col2 limit 200""))"),1129.4664999999995)</f>
        <v>1129.4665</v>
      </c>
      <c r="O376" s="20" t="str">
        <f t="shared" si="2"/>
        <v>Avoid</v>
      </c>
      <c r="P376" s="21" t="str">
        <f t="shared" si="3"/>
        <v/>
      </c>
      <c r="Q376" s="21" t="str">
        <f t="shared" si="4"/>
        <v/>
      </c>
      <c r="R376" s="22">
        <f>IFERROR(__xludf.DUMMYFUNCTION("GOOGLEFINANCE(B376, ""pe"")
"),73.17)</f>
        <v>73.17</v>
      </c>
    </row>
    <row r="377">
      <c r="A377" s="9" t="s">
        <v>389</v>
      </c>
      <c r="B377" s="11" t="str">
        <f t="shared" si="1"/>
        <v>NSE:WHIRLPOOL</v>
      </c>
      <c r="C377" s="12">
        <f>IFERROR(__xludf.DUMMYFUNCTION("GOOGLEFINANCE(B377,""marketcap"")/10000000"),17533.68276)</f>
        <v>17533.68276</v>
      </c>
      <c r="D377" s="13">
        <f>IFERROR(__xludf.DUMMYFUNCTION("GOOGLEFINANCE(B377,""price"")"),1380.6)</f>
        <v>1380.6</v>
      </c>
      <c r="E377" s="14">
        <f>IFERROR(__xludf.DUMMYFUNCTION("GOOGLEFINANCE(B377,""Volume"")"),167482.0)</f>
        <v>167482</v>
      </c>
      <c r="F377" s="14">
        <f t="array" ref="F377">F376</f>
        <v>14</v>
      </c>
      <c r="G377" s="15" t="str">
        <f>IFERROR(__xludf.DUMMYFUNCTION("IF(E377&gt;AVERAGE(INDEX(GOOGLEFINANCE(B377,""volume"",WORKDAY(TODAY(),-$F$1),TODAY()),,2)),""Breakout"","""")"),"")</f>
        <v/>
      </c>
      <c r="H377" s="16">
        <f>IFERROR(__xludf.DUMMYFUNCTION("GOOGLEFINANCE(B377,""price"")"),1380.6)</f>
        <v>1380.6</v>
      </c>
      <c r="I377" s="17">
        <f>IFERROR(__xludf.DUMMYFUNCTION("AVERAGE(QUERY(SORT(GOOGLEFINANCE(B377,""price"",TODAY()-365,TODAY()),1,0),""select Col2 limit 10""))"),1411.47)</f>
        <v>1411.47</v>
      </c>
      <c r="J377" s="17">
        <f>IFERROR(__xludf.DUMMYFUNCTION("AVERAGE(QUERY(SORT(GOOGLEFINANCE(B377,""price"",TODAY()-365,TODAY()),1,0),""select Col2 limit 30""))"),1383.0066666666671)</f>
        <v>1383.006667</v>
      </c>
      <c r="K377" s="18">
        <f>IFERROR(__xludf.DUMMYFUNCTION("AVERAGE(QUERY(SORT(GOOGLEFINANCE(B377,""price"",TODAY()-365,TODAY()),1,0),""select Col2 limit 60""))"),1325.8849999999998)</f>
        <v>1325.885</v>
      </c>
      <c r="L377" s="17">
        <f>IFERROR(__xludf.DUMMYFUNCTION("AVERAGE(QUERY(SORT(GOOGLEFINANCE(B377,""price"",TODAY()-365,TODAY()),1,0),""select Col2 limit 90""))"),1242.0205555555558)</f>
        <v>1242.020556</v>
      </c>
      <c r="M377" s="17">
        <f>IFERROR(__xludf.DUMMYFUNCTION("AVERAGE(QUERY(SORT(GOOGLEFINANCE(B377,""price"",TODAY()-365,TODAY()),1,0),""select Col2 limit 120""))"),1186.1070833333333)</f>
        <v>1186.107083</v>
      </c>
      <c r="N377" s="19">
        <f>IFERROR(__xludf.DUMMYFUNCTION("AVERAGE(QUERY(SORT(GOOGLEFINANCE(B377,""price"",TODAY()-365,TODAY()),1,0),""select Col2 limit 200""))"),1484.8505000000005)</f>
        <v>1484.8505</v>
      </c>
      <c r="O377" s="20" t="str">
        <f t="shared" si="2"/>
        <v>Avoid</v>
      </c>
      <c r="P377" s="21" t="str">
        <f t="shared" si="3"/>
        <v>30 DMA</v>
      </c>
      <c r="Q377" s="21" t="str">
        <f t="shared" si="4"/>
        <v/>
      </c>
      <c r="R377" s="22">
        <f>IFERROR(__xludf.DUMMYFUNCTION("GOOGLEFINANCE(B377, ""pe"")
"),48.83)</f>
        <v>48.83</v>
      </c>
    </row>
    <row r="378">
      <c r="A378" s="9" t="s">
        <v>390</v>
      </c>
      <c r="B378" s="11" t="str">
        <f t="shared" si="1"/>
        <v>NSE:MANYAVAR</v>
      </c>
      <c r="C378" s="12">
        <f>IFERROR(__xludf.DUMMYFUNCTION("GOOGLEFINANCE(B378,""marketcap"")/10000000"),18772.7909259)</f>
        <v>18772.79093</v>
      </c>
      <c r="D378" s="13">
        <f>IFERROR(__xludf.DUMMYFUNCTION("GOOGLEFINANCE(B378,""price"")"),776.25)</f>
        <v>776.25</v>
      </c>
      <c r="E378" s="14">
        <f>IFERROR(__xludf.DUMMYFUNCTION("GOOGLEFINANCE(B378,""Volume"")"),62083.0)</f>
        <v>62083</v>
      </c>
      <c r="F378" s="14">
        <f t="array" ref="F378">F377</f>
        <v>14</v>
      </c>
      <c r="G378" s="15" t="str">
        <f>IFERROR(__xludf.DUMMYFUNCTION("IF(E378&gt;AVERAGE(INDEX(GOOGLEFINANCE(B378,""volume"",WORKDAY(TODAY(),-$F$1),TODAY()),,2)),""Breakout"","""")"),"")</f>
        <v/>
      </c>
      <c r="H378" s="16">
        <f>IFERROR(__xludf.DUMMYFUNCTION("GOOGLEFINANCE(B378,""price"")"),776.25)</f>
        <v>776.25</v>
      </c>
      <c r="I378" s="17">
        <f>IFERROR(__xludf.DUMMYFUNCTION("AVERAGE(QUERY(SORT(GOOGLEFINANCE(B378,""price"",TODAY()-365,TODAY()),1,0),""select Col2 limit 10""))"),794.5350000000001)</f>
        <v>794.535</v>
      </c>
      <c r="J378" s="17">
        <f>IFERROR(__xludf.DUMMYFUNCTION("AVERAGE(QUERY(SORT(GOOGLEFINANCE(B378,""price"",TODAY()-365,TODAY()),1,0),""select Col2 limit 30""))"),800.3)</f>
        <v>800.3</v>
      </c>
      <c r="K378" s="18">
        <f>IFERROR(__xludf.DUMMYFUNCTION("AVERAGE(QUERY(SORT(GOOGLEFINANCE(B378,""price"",TODAY()-365,TODAY()),1,0),""select Col2 limit 60""))"),781.8025000000001)</f>
        <v>781.8025</v>
      </c>
      <c r="L378" s="17">
        <f>IFERROR(__xludf.DUMMYFUNCTION("AVERAGE(QUERY(SORT(GOOGLEFINANCE(B378,""price"",TODAY()-365,TODAY()),1,0),""select Col2 limit 90""))"),782.3788888888892)</f>
        <v>782.3788889</v>
      </c>
      <c r="M378" s="17">
        <f>IFERROR(__xludf.DUMMYFUNCTION("AVERAGE(QUERY(SORT(GOOGLEFINANCE(B378,""price"",TODAY()-365,TODAY()),1,0),""select Col2 limit 120""))"),804.6554166666666)</f>
        <v>804.6554167</v>
      </c>
      <c r="N378" s="19">
        <f>IFERROR(__xludf.DUMMYFUNCTION("AVERAGE(QUERY(SORT(GOOGLEFINANCE(B378,""price"",TODAY()-365,TODAY()),1,0),""select Col2 limit 200""))"),1002.3470000000001)</f>
        <v>1002.347</v>
      </c>
      <c r="O378" s="20" t="str">
        <f t="shared" si="2"/>
        <v>Avoid</v>
      </c>
      <c r="P378" s="21" t="str">
        <f t="shared" si="3"/>
        <v>60 DMA</v>
      </c>
      <c r="Q378" s="21" t="str">
        <f t="shared" si="4"/>
        <v/>
      </c>
      <c r="R378" s="22">
        <f>IFERROR(__xludf.DUMMYFUNCTION("GOOGLEFINANCE(B378, ""pe"")
"),48.33)</f>
        <v>48.33</v>
      </c>
    </row>
    <row r="379">
      <c r="A379" s="9" t="s">
        <v>391</v>
      </c>
      <c r="B379" s="11" t="str">
        <f t="shared" si="1"/>
        <v>NSE:NH</v>
      </c>
      <c r="C379" s="12">
        <f>IFERROR(__xludf.DUMMYFUNCTION("GOOGLEFINANCE(B379,""marketcap"")/10000000"),40477.79014)</f>
        <v>40477.79014</v>
      </c>
      <c r="D379" s="13">
        <f>IFERROR(__xludf.DUMMYFUNCTION("GOOGLEFINANCE(B379,""price"")"),1993.0)</f>
        <v>1993</v>
      </c>
      <c r="E379" s="14">
        <f>IFERROR(__xludf.DUMMYFUNCTION("GOOGLEFINANCE(B379,""Volume"")"),153796.0)</f>
        <v>153796</v>
      </c>
      <c r="F379" s="14">
        <f t="array" ref="F379">F378</f>
        <v>14</v>
      </c>
      <c r="G379" s="15" t="str">
        <f>IFERROR(__xludf.DUMMYFUNCTION("IF(E379&gt;AVERAGE(INDEX(GOOGLEFINANCE(B379,""volume"",WORKDAY(TODAY(),-$F$1),TODAY()),,2)),""Breakout"","""")"),"")</f>
        <v/>
      </c>
      <c r="H379" s="16">
        <f>IFERROR(__xludf.DUMMYFUNCTION("GOOGLEFINANCE(B379,""price"")"),1993.0)</f>
        <v>1993</v>
      </c>
      <c r="I379" s="17">
        <f>IFERROR(__xludf.DUMMYFUNCTION("AVERAGE(QUERY(SORT(GOOGLEFINANCE(B379,""price"",TODAY()-365,TODAY()),1,0),""select Col2 limit 10""))"),1976.5)</f>
        <v>1976.5</v>
      </c>
      <c r="J379" s="17">
        <f>IFERROR(__xludf.DUMMYFUNCTION("AVERAGE(QUERY(SORT(GOOGLEFINANCE(B379,""price"",TODAY()-365,TODAY()),1,0),""select Col2 limit 30""))"),1946.4133333333336)</f>
        <v>1946.413333</v>
      </c>
      <c r="K379" s="18">
        <f>IFERROR(__xludf.DUMMYFUNCTION("AVERAGE(QUERY(SORT(GOOGLEFINANCE(B379,""price"",TODAY()-365,TODAY()),1,0),""select Col2 limit 60""))"),1858.22)</f>
        <v>1858.22</v>
      </c>
      <c r="L379" s="17">
        <f>IFERROR(__xludf.DUMMYFUNCTION("AVERAGE(QUERY(SORT(GOOGLEFINANCE(B379,""price"",TODAY()-365,TODAY()),1,0),""select Col2 limit 90""))"),1791.6888888888889)</f>
        <v>1791.688889</v>
      </c>
      <c r="M379" s="17">
        <f>IFERROR(__xludf.DUMMYFUNCTION("AVERAGE(QUERY(SORT(GOOGLEFINANCE(B379,""price"",TODAY()-365,TODAY()),1,0),""select Col2 limit 120""))"),1683.325833333333)</f>
        <v>1683.325833</v>
      </c>
      <c r="N379" s="19">
        <f>IFERROR(__xludf.DUMMYFUNCTION("AVERAGE(QUERY(SORT(GOOGLEFINANCE(B379,""price"",TODAY()-365,TODAY()),1,0),""select Col2 limit 200""))"),1518.4042499999996)</f>
        <v>1518.40425</v>
      </c>
      <c r="O379" s="20" t="str">
        <f t="shared" si="2"/>
        <v>Avoid</v>
      </c>
      <c r="P379" s="21" t="str">
        <f t="shared" si="3"/>
        <v/>
      </c>
      <c r="Q379" s="21" t="str">
        <f t="shared" si="4"/>
        <v/>
      </c>
      <c r="R379" s="22">
        <f>IFERROR(__xludf.DUMMYFUNCTION("GOOGLEFINANCE(B379, ""pe"")
"),51.27)</f>
        <v>51.27</v>
      </c>
    </row>
    <row r="380">
      <c r="A380" s="9" t="s">
        <v>392</v>
      </c>
      <c r="B380" s="11" t="str">
        <f t="shared" si="1"/>
        <v>NSE:ISEC</v>
      </c>
      <c r="C380" s="12" t="str">
        <f>IFERROR(__xludf.DUMMYFUNCTION("GOOGLEFINANCE(B380,""marketcap"")/10000000"),"#N/A")</f>
        <v>#N/A</v>
      </c>
      <c r="D380" s="13" t="str">
        <f>IFERROR(__xludf.DUMMYFUNCTION("GOOGLEFINANCE(B380,""price"")"),"#N/A")</f>
        <v>#N/A</v>
      </c>
      <c r="E380" s="14" t="str">
        <f>IFERROR(__xludf.DUMMYFUNCTION("GOOGLEFINANCE(B380,""Volume"")"),"#N/A")</f>
        <v>#N/A</v>
      </c>
      <c r="F380" s="14">
        <f t="array" ref="F380">F379</f>
        <v>14</v>
      </c>
      <c r="G380" s="15" t="str">
        <f>IFERROR(__xludf.DUMMYFUNCTION("IF(E380&gt;AVERAGE(INDEX(GOOGLEFINANCE(B380,""volume"",WORKDAY(TODAY(),-$F$1),TODAY()),,2)),""Breakout"","""")"),"#N/A")</f>
        <v>#N/A</v>
      </c>
      <c r="H380" s="16" t="str">
        <f>IFERROR(__xludf.DUMMYFUNCTION("GOOGLEFINANCE(B380,""price"")"),"#N/A")</f>
        <v>#N/A</v>
      </c>
      <c r="I380" s="17" t="str">
        <f>IFERROR(__xludf.DUMMYFUNCTION("AVERAGE(QUERY(SORT(GOOGLEFINANCE(B380,""price"",TODAY()-365,TODAY()),1,0),""select Col2 limit 10""))"),"#N/A")</f>
        <v>#N/A</v>
      </c>
      <c r="J380" s="17" t="str">
        <f>IFERROR(__xludf.DUMMYFUNCTION("AVERAGE(QUERY(SORT(GOOGLEFINANCE(B380,""price"",TODAY()-365,TODAY()),1,0),""select Col2 limit 30""))"),"#N/A")</f>
        <v>#N/A</v>
      </c>
      <c r="K380" s="18" t="str">
        <f>IFERROR(__xludf.DUMMYFUNCTION("AVERAGE(QUERY(SORT(GOOGLEFINANCE(B380,""price"",TODAY()-365,TODAY()),1,0),""select Col2 limit 60""))"),"#N/A")</f>
        <v>#N/A</v>
      </c>
      <c r="L380" s="17" t="str">
        <f>IFERROR(__xludf.DUMMYFUNCTION("AVERAGE(QUERY(SORT(GOOGLEFINANCE(B380,""price"",TODAY()-365,TODAY()),1,0),""select Col2 limit 90""))"),"#N/A")</f>
        <v>#N/A</v>
      </c>
      <c r="M380" s="17" t="str">
        <f>IFERROR(__xludf.DUMMYFUNCTION("AVERAGE(QUERY(SORT(GOOGLEFINANCE(B380,""price"",TODAY()-365,TODAY()),1,0),""select Col2 limit 120""))"),"#N/A")</f>
        <v>#N/A</v>
      </c>
      <c r="N380" s="19" t="str">
        <f>IFERROR(__xludf.DUMMYFUNCTION("AVERAGE(QUERY(SORT(GOOGLEFINANCE(B380,""price"",TODAY()-365,TODAY()),1,0),""select Col2 limit 200""))"),"#N/A")</f>
        <v>#N/A</v>
      </c>
      <c r="O380" s="20" t="str">
        <f t="shared" si="2"/>
        <v>#N/A</v>
      </c>
      <c r="P380" s="21" t="str">
        <f t="shared" si="3"/>
        <v>#N/A</v>
      </c>
      <c r="Q380" s="21" t="str">
        <f t="shared" si="4"/>
        <v>#N/A</v>
      </c>
      <c r="R380" s="22" t="str">
        <f>IFERROR(__xludf.DUMMYFUNCTION("GOOGLEFINANCE(B380, ""pe"")
"),"#N/A")</f>
        <v>#N/A</v>
      </c>
    </row>
    <row r="381">
      <c r="A381" s="9" t="s">
        <v>393</v>
      </c>
      <c r="B381" s="11" t="str">
        <f t="shared" si="1"/>
        <v>NSE:GILLETTE</v>
      </c>
      <c r="C381" s="12">
        <f>IFERROR(__xludf.DUMMYFUNCTION("GOOGLEFINANCE(B381,""marketcap"")/10000000"),34566.390768)</f>
        <v>34566.39077</v>
      </c>
      <c r="D381" s="13">
        <f>IFERROR(__xludf.DUMMYFUNCTION("GOOGLEFINANCE(B381,""price"")"),10588.0)</f>
        <v>10588</v>
      </c>
      <c r="E381" s="14">
        <f>IFERROR(__xludf.DUMMYFUNCTION("GOOGLEFINANCE(B381,""Volume"")"),11526.0)</f>
        <v>11526</v>
      </c>
      <c r="F381" s="14">
        <f t="array" ref="F381">F380</f>
        <v>14</v>
      </c>
      <c r="G381" s="15" t="str">
        <f>IFERROR(__xludf.DUMMYFUNCTION("IF(E381&gt;AVERAGE(INDEX(GOOGLEFINANCE(B381,""volume"",WORKDAY(TODAY(),-$F$1),TODAY()),,2)),""Breakout"","""")"),"")</f>
        <v/>
      </c>
      <c r="H381" s="16">
        <f>IFERROR(__xludf.DUMMYFUNCTION("GOOGLEFINANCE(B381,""price"")"),10588.0)</f>
        <v>10588</v>
      </c>
      <c r="I381" s="17">
        <f>IFERROR(__xludf.DUMMYFUNCTION("AVERAGE(QUERY(SORT(GOOGLEFINANCE(B381,""price"",TODAY()-365,TODAY()),1,0),""select Col2 limit 10""))"),10987.3)</f>
        <v>10987.3</v>
      </c>
      <c r="J381" s="17">
        <f>IFERROR(__xludf.DUMMYFUNCTION("AVERAGE(QUERY(SORT(GOOGLEFINANCE(B381,""price"",TODAY()-365,TODAY()),1,0),""select Col2 limit 30""))"),10682.966666666667)</f>
        <v>10682.96667</v>
      </c>
      <c r="K381" s="18">
        <f>IFERROR(__xludf.DUMMYFUNCTION("AVERAGE(QUERY(SORT(GOOGLEFINANCE(B381,""price"",TODAY()-365,TODAY()),1,0),""select Col2 limit 60""))"),9856.716666666667)</f>
        <v>9856.716667</v>
      </c>
      <c r="L381" s="17">
        <f>IFERROR(__xludf.DUMMYFUNCTION("AVERAGE(QUERY(SORT(GOOGLEFINANCE(B381,""price"",TODAY()-365,TODAY()),1,0),""select Col2 limit 90""))"),9243.798333333332)</f>
        <v>9243.798333</v>
      </c>
      <c r="M381" s="17">
        <f>IFERROR(__xludf.DUMMYFUNCTION("AVERAGE(QUERY(SORT(GOOGLEFINANCE(B381,""price"",TODAY()-365,TODAY()),1,0),""select Col2 limit 120""))"),8995.222916666664)</f>
        <v>8995.222917</v>
      </c>
      <c r="N381" s="19">
        <f>IFERROR(__xludf.DUMMYFUNCTION("AVERAGE(QUERY(SORT(GOOGLEFINANCE(B381,""price"",TODAY()-365,TODAY()),1,0),""select Col2 limit 200""))"),9177.337749999999)</f>
        <v>9177.33775</v>
      </c>
      <c r="O381" s="20" t="str">
        <f t="shared" si="2"/>
        <v>Avoid</v>
      </c>
      <c r="P381" s="21" t="str">
        <f t="shared" si="3"/>
        <v>30 DMA</v>
      </c>
      <c r="Q381" s="21" t="str">
        <f t="shared" si="4"/>
        <v/>
      </c>
      <c r="R381" s="22">
        <f>IFERROR(__xludf.DUMMYFUNCTION("GOOGLEFINANCE(B381, ""pe"")
"),64.79)</f>
        <v>64.79</v>
      </c>
    </row>
    <row r="382">
      <c r="A382" s="9" t="s">
        <v>394</v>
      </c>
      <c r="B382" s="11" t="str">
        <f t="shared" si="1"/>
        <v>NSE:LALPATHLAB</v>
      </c>
      <c r="C382" s="12">
        <f>IFERROR(__xludf.DUMMYFUNCTION("GOOGLEFINANCE(B382,""marketcap"")/10000000"),25389.4647375)</f>
        <v>25389.46474</v>
      </c>
      <c r="D382" s="13">
        <f>IFERROR(__xludf.DUMMYFUNCTION("GOOGLEFINANCE(B382,""price"")"),3042.5)</f>
        <v>3042.5</v>
      </c>
      <c r="E382" s="14">
        <f>IFERROR(__xludf.DUMMYFUNCTION("GOOGLEFINANCE(B382,""Volume"")"),35690.0)</f>
        <v>35690</v>
      </c>
      <c r="F382" s="14">
        <f t="array" ref="F382">F381</f>
        <v>14</v>
      </c>
      <c r="G382" s="15" t="str">
        <f>IFERROR(__xludf.DUMMYFUNCTION("IF(E382&gt;AVERAGE(INDEX(GOOGLEFINANCE(B382,""volume"",WORKDAY(TODAY(),-$F$1),TODAY()),,2)),""Breakout"","""")"),"")</f>
        <v/>
      </c>
      <c r="H382" s="16">
        <f>IFERROR(__xludf.DUMMYFUNCTION("GOOGLEFINANCE(B382,""price"")"),3042.5)</f>
        <v>3042.5</v>
      </c>
      <c r="I382" s="17">
        <f>IFERROR(__xludf.DUMMYFUNCTION("AVERAGE(QUERY(SORT(GOOGLEFINANCE(B382,""price"",TODAY()-365,TODAY()),1,0),""select Col2 limit 10""))"),3000.7799999999997)</f>
        <v>3000.78</v>
      </c>
      <c r="J382" s="17">
        <f>IFERROR(__xludf.DUMMYFUNCTION("AVERAGE(QUERY(SORT(GOOGLEFINANCE(B382,""price"",TODAY()-365,TODAY()),1,0),""select Col2 limit 30""))"),2897.213333333333)</f>
        <v>2897.213333</v>
      </c>
      <c r="K382" s="18">
        <f>IFERROR(__xludf.DUMMYFUNCTION("AVERAGE(QUERY(SORT(GOOGLEFINANCE(B382,""price"",TODAY()-365,TODAY()),1,0),""select Col2 limit 60""))"),2867.251666666666)</f>
        <v>2867.251667</v>
      </c>
      <c r="L382" s="17">
        <f>IFERROR(__xludf.DUMMYFUNCTION("AVERAGE(QUERY(SORT(GOOGLEFINANCE(B382,""price"",TODAY()-365,TODAY()),1,0),""select Col2 limit 90""))"),2786.1800000000003)</f>
        <v>2786.18</v>
      </c>
      <c r="M382" s="17">
        <f>IFERROR(__xludf.DUMMYFUNCTION("AVERAGE(QUERY(SORT(GOOGLEFINANCE(B382,""price"",TODAY()-365,TODAY()),1,0),""select Col2 limit 120""))"),2744.19875)</f>
        <v>2744.19875</v>
      </c>
      <c r="N382" s="19">
        <f>IFERROR(__xludf.DUMMYFUNCTION("AVERAGE(QUERY(SORT(GOOGLEFINANCE(B382,""price"",TODAY()-365,TODAY()),1,0),""select Col2 limit 200""))"),2873.1007500000014)</f>
        <v>2873.10075</v>
      </c>
      <c r="O382" s="20" t="str">
        <f t="shared" si="2"/>
        <v>Avoid</v>
      </c>
      <c r="P382" s="21" t="str">
        <f t="shared" si="3"/>
        <v/>
      </c>
      <c r="Q382" s="21" t="str">
        <f t="shared" si="4"/>
        <v/>
      </c>
      <c r="R382" s="22">
        <f>IFERROR(__xludf.DUMMYFUNCTION("GOOGLEFINANCE(B382, ""pe"")
"),52.08)</f>
        <v>52.08</v>
      </c>
    </row>
    <row r="383">
      <c r="A383" s="9" t="s">
        <v>395</v>
      </c>
      <c r="B383" s="11" t="str">
        <f t="shared" si="1"/>
        <v>NSE:CENTURYTEX</v>
      </c>
      <c r="C383" s="12" t="str">
        <f>IFERROR(__xludf.DUMMYFUNCTION("GOOGLEFINANCE(B383,""marketcap"")/10000000"),"#N/A")</f>
        <v>#N/A</v>
      </c>
      <c r="D383" s="13" t="str">
        <f>IFERROR(__xludf.DUMMYFUNCTION("GOOGLEFINANCE(B383,""price"")"),"#N/A")</f>
        <v>#N/A</v>
      </c>
      <c r="E383" s="14" t="str">
        <f>IFERROR(__xludf.DUMMYFUNCTION("GOOGLEFINANCE(B383,""Volume"")"),"#N/A")</f>
        <v>#N/A</v>
      </c>
      <c r="F383" s="14">
        <f t="array" ref="F383">F382</f>
        <v>14</v>
      </c>
      <c r="G383" s="15" t="str">
        <f>IFERROR(__xludf.DUMMYFUNCTION("IF(E383&gt;AVERAGE(INDEX(GOOGLEFINANCE(B383,""volume"",WORKDAY(TODAY(),-$F$1),TODAY()),,2)),""Breakout"","""")"),"#N/A")</f>
        <v>#N/A</v>
      </c>
      <c r="H383" s="16" t="str">
        <f>IFERROR(__xludf.DUMMYFUNCTION("GOOGLEFINANCE(B383,""price"")"),"#N/A")</f>
        <v>#N/A</v>
      </c>
      <c r="I383" s="17" t="str">
        <f>IFERROR(__xludf.DUMMYFUNCTION("AVERAGE(QUERY(SORT(GOOGLEFINANCE(B383,""price"",TODAY()-365,TODAY()),1,0),""select Col2 limit 10""))"),"#N/A")</f>
        <v>#N/A</v>
      </c>
      <c r="J383" s="17" t="str">
        <f>IFERROR(__xludf.DUMMYFUNCTION("AVERAGE(QUERY(SORT(GOOGLEFINANCE(B383,""price"",TODAY()-365,TODAY()),1,0),""select Col2 limit 30""))"),"#N/A")</f>
        <v>#N/A</v>
      </c>
      <c r="K383" s="18" t="str">
        <f>IFERROR(__xludf.DUMMYFUNCTION("AVERAGE(QUERY(SORT(GOOGLEFINANCE(B383,""price"",TODAY()-365,TODAY()),1,0),""select Col2 limit 60""))"),"#N/A")</f>
        <v>#N/A</v>
      </c>
      <c r="L383" s="17" t="str">
        <f>IFERROR(__xludf.DUMMYFUNCTION("AVERAGE(QUERY(SORT(GOOGLEFINANCE(B383,""price"",TODAY()-365,TODAY()),1,0),""select Col2 limit 90""))"),"#N/A")</f>
        <v>#N/A</v>
      </c>
      <c r="M383" s="17" t="str">
        <f>IFERROR(__xludf.DUMMYFUNCTION("AVERAGE(QUERY(SORT(GOOGLEFINANCE(B383,""price"",TODAY()-365,TODAY()),1,0),""select Col2 limit 120""))"),"#N/A")</f>
        <v>#N/A</v>
      </c>
      <c r="N383" s="19" t="str">
        <f>IFERROR(__xludf.DUMMYFUNCTION("AVERAGE(QUERY(SORT(GOOGLEFINANCE(B383,""price"",TODAY()-365,TODAY()),1,0),""select Col2 limit 200""))"),"#N/A")</f>
        <v>#N/A</v>
      </c>
      <c r="O383" s="20" t="str">
        <f t="shared" si="2"/>
        <v>#N/A</v>
      </c>
      <c r="P383" s="21" t="str">
        <f t="shared" si="3"/>
        <v>#N/A</v>
      </c>
      <c r="Q383" s="21" t="str">
        <f t="shared" si="4"/>
        <v>#N/A</v>
      </c>
      <c r="R383" s="22" t="str">
        <f>IFERROR(__xludf.DUMMYFUNCTION("GOOGLEFINANCE(B383, ""pe"")
"),"#N/A")</f>
        <v>#N/A</v>
      </c>
    </row>
    <row r="384">
      <c r="A384" s="9" t="s">
        <v>396</v>
      </c>
      <c r="B384" s="11" t="str">
        <f t="shared" si="1"/>
        <v>NSE:KAYNES</v>
      </c>
      <c r="C384" s="12">
        <f>IFERROR(__xludf.DUMMYFUNCTION("GOOGLEFINANCE(B384,""marketcap"")/10000000"),37328.577675)</f>
        <v>37328.57768</v>
      </c>
      <c r="D384" s="13">
        <f>IFERROR(__xludf.DUMMYFUNCTION("GOOGLEFINANCE(B384,""price"")"),5577.5)</f>
        <v>5577.5</v>
      </c>
      <c r="E384" s="14">
        <f>IFERROR(__xludf.DUMMYFUNCTION("GOOGLEFINANCE(B384,""Volume"")"),149494.0)</f>
        <v>149494</v>
      </c>
      <c r="F384" s="14">
        <f t="array" ref="F384">F383</f>
        <v>14</v>
      </c>
      <c r="G384" s="15" t="str">
        <f>IFERROR(__xludf.DUMMYFUNCTION("IF(E384&gt;AVERAGE(INDEX(GOOGLEFINANCE(B384,""volume"",WORKDAY(TODAY(),-$F$1),TODAY()),,2)),""Breakout"","""")"),"")</f>
        <v/>
      </c>
      <c r="H384" s="16">
        <f>IFERROR(__xludf.DUMMYFUNCTION("GOOGLEFINANCE(B384,""price"")"),5577.5)</f>
        <v>5577.5</v>
      </c>
      <c r="I384" s="17">
        <f>IFERROR(__xludf.DUMMYFUNCTION("AVERAGE(QUERY(SORT(GOOGLEFINANCE(B384,""price"",TODAY()-365,TODAY()),1,0),""select Col2 limit 10""))"),5856.35)</f>
        <v>5856.35</v>
      </c>
      <c r="J384" s="17">
        <f>IFERROR(__xludf.DUMMYFUNCTION("AVERAGE(QUERY(SORT(GOOGLEFINANCE(B384,""price"",TODAY()-365,TODAY()),1,0),""select Col2 limit 30""))"),5913.0)</f>
        <v>5913</v>
      </c>
      <c r="K384" s="18">
        <f>IFERROR(__xludf.DUMMYFUNCTION("AVERAGE(QUERY(SORT(GOOGLEFINANCE(B384,""price"",TODAY()-365,TODAY()),1,0),""select Col2 limit 60""))"),5893.283333333334)</f>
        <v>5893.283333</v>
      </c>
      <c r="L384" s="17">
        <f>IFERROR(__xludf.DUMMYFUNCTION("AVERAGE(QUERY(SORT(GOOGLEFINANCE(B384,""price"",TODAY()-365,TODAY()),1,0),""select Col2 limit 90""))"),5653.56388888889)</f>
        <v>5653.563889</v>
      </c>
      <c r="M384" s="17">
        <f>IFERROR(__xludf.DUMMYFUNCTION("AVERAGE(QUERY(SORT(GOOGLEFINANCE(B384,""price"",TODAY()-365,TODAY()),1,0),""select Col2 limit 120""))"),5306.164166666668)</f>
        <v>5306.164167</v>
      </c>
      <c r="N384" s="19">
        <f>IFERROR(__xludf.DUMMYFUNCTION("AVERAGE(QUERY(SORT(GOOGLEFINANCE(B384,""price"",TODAY()-365,TODAY()),1,0),""select Col2 limit 200""))"),5624.579000000003)</f>
        <v>5624.579</v>
      </c>
      <c r="O384" s="20" t="str">
        <f t="shared" si="2"/>
        <v>Avoid</v>
      </c>
      <c r="P384" s="21" t="str">
        <f t="shared" si="3"/>
        <v>200 DMA</v>
      </c>
      <c r="Q384" s="21" t="str">
        <f t="shared" si="4"/>
        <v/>
      </c>
      <c r="R384" s="22">
        <f>IFERROR(__xludf.DUMMYFUNCTION("GOOGLEFINANCE(B384, ""pe"")
"),122.81)</f>
        <v>122.81</v>
      </c>
    </row>
    <row r="385">
      <c r="A385" s="9" t="s">
        <v>397</v>
      </c>
      <c r="B385" s="11" t="str">
        <f t="shared" si="1"/>
        <v>NSE:SUMICHEM</v>
      </c>
      <c r="C385" s="12">
        <f>IFERROR(__xludf.DUMMYFUNCTION("GOOGLEFINANCE(B385,""marketcap"")/10000000"),29329.5581044)</f>
        <v>29329.5581</v>
      </c>
      <c r="D385" s="13">
        <f>IFERROR(__xludf.DUMMYFUNCTION("GOOGLEFINANCE(B385,""price"")"),587.25)</f>
        <v>587.25</v>
      </c>
      <c r="E385" s="14">
        <f>IFERROR(__xludf.DUMMYFUNCTION("GOOGLEFINANCE(B385,""Volume"")"),263313.0)</f>
        <v>263313</v>
      </c>
      <c r="F385" s="14">
        <f t="array" ref="F385">F384</f>
        <v>14</v>
      </c>
      <c r="G385" s="15" t="str">
        <f>IFERROR(__xludf.DUMMYFUNCTION("IF(E385&gt;AVERAGE(INDEX(GOOGLEFINANCE(B385,""volume"",WORKDAY(TODAY(),-$F$1),TODAY()),,2)),""Breakout"","""")"),"")</f>
        <v/>
      </c>
      <c r="H385" s="16">
        <f>IFERROR(__xludf.DUMMYFUNCTION("GOOGLEFINANCE(B385,""price"")"),587.25)</f>
        <v>587.25</v>
      </c>
      <c r="I385" s="17">
        <f>IFERROR(__xludf.DUMMYFUNCTION("AVERAGE(QUERY(SORT(GOOGLEFINANCE(B385,""price"",TODAY()-365,TODAY()),1,0),""select Col2 limit 10""))"),583.755)</f>
        <v>583.755</v>
      </c>
      <c r="J385" s="17">
        <f>IFERROR(__xludf.DUMMYFUNCTION("AVERAGE(QUERY(SORT(GOOGLEFINANCE(B385,""price"",TODAY()-365,TODAY()),1,0),""select Col2 limit 30""))"),542.5766666666666)</f>
        <v>542.5766667</v>
      </c>
      <c r="K385" s="18">
        <f>IFERROR(__xludf.DUMMYFUNCTION("AVERAGE(QUERY(SORT(GOOGLEFINANCE(B385,""price"",TODAY()-365,TODAY()),1,0),""select Col2 limit 60""))"),529.0841666666668)</f>
        <v>529.0841667</v>
      </c>
      <c r="L385" s="17">
        <f>IFERROR(__xludf.DUMMYFUNCTION("AVERAGE(QUERY(SORT(GOOGLEFINANCE(B385,""price"",TODAY()-365,TODAY()),1,0),""select Col2 limit 90""))"),531.9394444444446)</f>
        <v>531.9394444</v>
      </c>
      <c r="M385" s="17">
        <f>IFERROR(__xludf.DUMMYFUNCTION("AVERAGE(QUERY(SORT(GOOGLEFINANCE(B385,""price"",TODAY()-365,TODAY()),1,0),""select Col2 limit 120""))"),522.1949999999999)</f>
        <v>522.195</v>
      </c>
      <c r="N385" s="19">
        <f>IFERROR(__xludf.DUMMYFUNCTION("AVERAGE(QUERY(SORT(GOOGLEFINANCE(B385,""price"",TODAY()-365,TODAY()),1,0),""select Col2 limit 200""))"),524.08725)</f>
        <v>524.08725</v>
      </c>
      <c r="O385" s="20" t="str">
        <f t="shared" si="2"/>
        <v>Avoid</v>
      </c>
      <c r="P385" s="21" t="str">
        <f t="shared" si="3"/>
        <v/>
      </c>
      <c r="Q385" s="21" t="str">
        <f t="shared" si="4"/>
        <v/>
      </c>
      <c r="R385" s="22">
        <f>IFERROR(__xludf.DUMMYFUNCTION("GOOGLEFINANCE(B385, ""pe"")
"),58.1)</f>
        <v>58.1</v>
      </c>
    </row>
    <row r="386">
      <c r="A386" s="9" t="s">
        <v>398</v>
      </c>
      <c r="B386" s="11" t="str">
        <f t="shared" si="1"/>
        <v>NSE:RATNAMANI</v>
      </c>
      <c r="C386" s="12">
        <f>IFERROR(__xludf.DUMMYFUNCTION("GOOGLEFINANCE(B386,""marketcap"")/10000000"),18679.518)</f>
        <v>18679.518</v>
      </c>
      <c r="D386" s="13">
        <f>IFERROR(__xludf.DUMMYFUNCTION("GOOGLEFINANCE(B386,""price"")"),2673.0)</f>
        <v>2673</v>
      </c>
      <c r="E386" s="14">
        <f>IFERROR(__xludf.DUMMYFUNCTION("GOOGLEFINANCE(B386,""Volume"")"),4640.0)</f>
        <v>4640</v>
      </c>
      <c r="F386" s="14">
        <f t="array" ref="F386">F385</f>
        <v>14</v>
      </c>
      <c r="G386" s="15" t="str">
        <f>IFERROR(__xludf.DUMMYFUNCTION("IF(E386&gt;AVERAGE(INDEX(GOOGLEFINANCE(B386,""volume"",WORKDAY(TODAY(),-$F$1),TODAY()),,2)),""Breakout"","""")"),"")</f>
        <v/>
      </c>
      <c r="H386" s="16">
        <f>IFERROR(__xludf.DUMMYFUNCTION("GOOGLEFINANCE(B386,""price"")"),2673.0)</f>
        <v>2673</v>
      </c>
      <c r="I386" s="17">
        <f>IFERROR(__xludf.DUMMYFUNCTION("AVERAGE(QUERY(SORT(GOOGLEFINANCE(B386,""price"",TODAY()-365,TODAY()),1,0),""select Col2 limit 10""))"),2817.38)</f>
        <v>2817.38</v>
      </c>
      <c r="J386" s="17">
        <f>IFERROR(__xludf.DUMMYFUNCTION("AVERAGE(QUERY(SORT(GOOGLEFINANCE(B386,""price"",TODAY()-365,TODAY()),1,0),""select Col2 limit 30""))"),2851.5466666666666)</f>
        <v>2851.546667</v>
      </c>
      <c r="K386" s="18">
        <f>IFERROR(__xludf.DUMMYFUNCTION("AVERAGE(QUERY(SORT(GOOGLEFINANCE(B386,""price"",TODAY()-365,TODAY()),1,0),""select Col2 limit 60""))"),2829.3866666666663)</f>
        <v>2829.386667</v>
      </c>
      <c r="L386" s="17">
        <f>IFERROR(__xludf.DUMMYFUNCTION("AVERAGE(QUERY(SORT(GOOGLEFINANCE(B386,""price"",TODAY()-365,TODAY()),1,0),""select Col2 limit 90""))"),2770.357222222223)</f>
        <v>2770.357222</v>
      </c>
      <c r="M386" s="17">
        <f>IFERROR(__xludf.DUMMYFUNCTION("AVERAGE(QUERY(SORT(GOOGLEFINANCE(B386,""price"",TODAY()-365,TODAY()),1,0),""select Col2 limit 120""))"),2724.4441666666685)</f>
        <v>2724.444167</v>
      </c>
      <c r="N386" s="19">
        <f>IFERROR(__xludf.DUMMYFUNCTION("AVERAGE(QUERY(SORT(GOOGLEFINANCE(B386,""price"",TODAY()-365,TODAY()),1,0),""select Col2 limit 200""))"),2977.5600000000013)</f>
        <v>2977.56</v>
      </c>
      <c r="O386" s="20" t="str">
        <f t="shared" si="2"/>
        <v>Avoid</v>
      </c>
      <c r="P386" s="21" t="str">
        <f t="shared" si="3"/>
        <v/>
      </c>
      <c r="Q386" s="21" t="str">
        <f t="shared" si="4"/>
        <v/>
      </c>
      <c r="R386" s="22">
        <f>IFERROR(__xludf.DUMMYFUNCTION("GOOGLEFINANCE(B386, ""pe"")
"),34.69)</f>
        <v>34.69</v>
      </c>
    </row>
    <row r="387">
      <c r="A387" s="9" t="s">
        <v>399</v>
      </c>
      <c r="B387" s="11" t="str">
        <f t="shared" si="1"/>
        <v>NSE:CASTROLIND</v>
      </c>
      <c r="C387" s="12">
        <f>IFERROR(__xludf.DUMMYFUNCTION("GOOGLEFINANCE(B387,""marketcap"")/10000000"),21876.4221513)</f>
        <v>21876.42215</v>
      </c>
      <c r="D387" s="13">
        <f>IFERROR(__xludf.DUMMYFUNCTION("GOOGLEFINANCE(B387,""price"")"),221.7)</f>
        <v>221.7</v>
      </c>
      <c r="E387" s="14">
        <f>IFERROR(__xludf.DUMMYFUNCTION("GOOGLEFINANCE(B387,""Volume"")"),732688.0)</f>
        <v>732688</v>
      </c>
      <c r="F387" s="14">
        <f t="array" ref="F387">F386</f>
        <v>14</v>
      </c>
      <c r="G387" s="15" t="str">
        <f>IFERROR(__xludf.DUMMYFUNCTION("IF(E387&gt;AVERAGE(INDEX(GOOGLEFINANCE(B387,""volume"",WORKDAY(TODAY(),-$F$1),TODAY()),,2)),""Breakout"","""")"),"")</f>
        <v/>
      </c>
      <c r="H387" s="16">
        <f>IFERROR(__xludf.DUMMYFUNCTION("GOOGLEFINANCE(B387,""price"")"),221.7)</f>
        <v>221.7</v>
      </c>
      <c r="I387" s="17">
        <f>IFERROR(__xludf.DUMMYFUNCTION("AVERAGE(QUERY(SORT(GOOGLEFINANCE(B387,""price"",TODAY()-365,TODAY()),1,0),""select Col2 limit 10""))"),223.594)</f>
        <v>223.594</v>
      </c>
      <c r="J387" s="17">
        <f>IFERROR(__xludf.DUMMYFUNCTION("AVERAGE(QUERY(SORT(GOOGLEFINANCE(B387,""price"",TODAY()-365,TODAY()),1,0),""select Col2 limit 30""))"),218.65333333333334)</f>
        <v>218.6533333</v>
      </c>
      <c r="K387" s="18">
        <f>IFERROR(__xludf.DUMMYFUNCTION("AVERAGE(QUERY(SORT(GOOGLEFINANCE(B387,""price"",TODAY()-365,TODAY()),1,0),""select Col2 limit 60""))"),214.54616666666658)</f>
        <v>214.5461667</v>
      </c>
      <c r="L387" s="17">
        <f>IFERROR(__xludf.DUMMYFUNCTION("AVERAGE(QUERY(SORT(GOOGLEFINANCE(B387,""price"",TODAY()-365,TODAY()),1,0),""select Col2 limit 90""))"),212.0157777777778)</f>
        <v>212.0157778</v>
      </c>
      <c r="M387" s="17">
        <f>IFERROR(__xludf.DUMMYFUNCTION("AVERAGE(QUERY(SORT(GOOGLEFINANCE(B387,""price"",TODAY()-365,TODAY()),1,0),""select Col2 limit 120""))"),211.63291666666666)</f>
        <v>211.6329167</v>
      </c>
      <c r="N387" s="19">
        <f>IFERROR(__xludf.DUMMYFUNCTION("AVERAGE(QUERY(SORT(GOOGLEFINANCE(B387,""price"",TODAY()-365,TODAY()),1,0),""select Col2 limit 200""))"),208.4144)</f>
        <v>208.4144</v>
      </c>
      <c r="O387" s="20" t="str">
        <f t="shared" si="2"/>
        <v>Avoid</v>
      </c>
      <c r="P387" s="21" t="str">
        <f t="shared" si="3"/>
        <v>10 DMA</v>
      </c>
      <c r="Q387" s="21" t="str">
        <f t="shared" si="4"/>
        <v/>
      </c>
      <c r="R387" s="22">
        <f>IFERROR(__xludf.DUMMYFUNCTION("GOOGLEFINANCE(B387, ""pe"")
"),23.2)</f>
        <v>23.2</v>
      </c>
    </row>
    <row r="388">
      <c r="A388" s="9" t="s">
        <v>400</v>
      </c>
      <c r="B388" s="11" t="str">
        <f t="shared" si="1"/>
        <v>NSE:JBMA</v>
      </c>
      <c r="C388" s="12">
        <f>IFERROR(__xludf.DUMMYFUNCTION("GOOGLEFINANCE(B388,""marketcap"")/10000000"),15208.9478556)</f>
        <v>15208.94786</v>
      </c>
      <c r="D388" s="13">
        <f>IFERROR(__xludf.DUMMYFUNCTION("GOOGLEFINANCE(B388,""price"")"),643.65)</f>
        <v>643.65</v>
      </c>
      <c r="E388" s="14">
        <f>IFERROR(__xludf.DUMMYFUNCTION("GOOGLEFINANCE(B388,""Volume"")"),200533.0)</f>
        <v>200533</v>
      </c>
      <c r="F388" s="14">
        <f t="array" ref="F388">F387</f>
        <v>14</v>
      </c>
      <c r="G388" s="15" t="str">
        <f>IFERROR(__xludf.DUMMYFUNCTION("IF(E388&gt;AVERAGE(INDEX(GOOGLEFINANCE(B388,""volume"",WORKDAY(TODAY(),-$F$1),TODAY()),,2)),""Breakout"","""")"),"")</f>
        <v/>
      </c>
      <c r="H388" s="16">
        <f>IFERROR(__xludf.DUMMYFUNCTION("GOOGLEFINANCE(B388,""price"")"),643.65)</f>
        <v>643.65</v>
      </c>
      <c r="I388" s="17">
        <f>IFERROR(__xludf.DUMMYFUNCTION("AVERAGE(QUERY(SORT(GOOGLEFINANCE(B388,""price"",TODAY()-365,TODAY()),1,0),""select Col2 limit 10""))"),646.9599999999999)</f>
        <v>646.96</v>
      </c>
      <c r="J388" s="17">
        <f>IFERROR(__xludf.DUMMYFUNCTION("AVERAGE(QUERY(SORT(GOOGLEFINANCE(B388,""price"",TODAY()-365,TODAY()),1,0),""select Col2 limit 30""))"),652.7066666666667)</f>
        <v>652.7066667</v>
      </c>
      <c r="K388" s="18">
        <f>IFERROR(__xludf.DUMMYFUNCTION("AVERAGE(QUERY(SORT(GOOGLEFINANCE(B388,""price"",TODAY()-365,TODAY()),1,0),""select Col2 limit 60""))"),679.8633333333333)</f>
        <v>679.8633333</v>
      </c>
      <c r="L388" s="17">
        <f>IFERROR(__xludf.DUMMYFUNCTION("AVERAGE(QUERY(SORT(GOOGLEFINANCE(B388,""price"",TODAY()-365,TODAY()),1,0),""select Col2 limit 90""))"),661.9416666666667)</f>
        <v>661.9416667</v>
      </c>
      <c r="M388" s="17">
        <f>IFERROR(__xludf.DUMMYFUNCTION("AVERAGE(QUERY(SORT(GOOGLEFINANCE(B388,""price"",TODAY()-365,TODAY()),1,0),""select Col2 limit 120""))"),657.7815000000003)</f>
        <v>657.7815</v>
      </c>
      <c r="N388" s="19">
        <f>IFERROR(__xludf.DUMMYFUNCTION("AVERAGE(QUERY(SORT(GOOGLEFINANCE(B388,""price"",TODAY()-365,TODAY()),1,0),""select Col2 limit 200""))"),713.7700999999998)</f>
        <v>713.7701</v>
      </c>
      <c r="O388" s="20" t="str">
        <f t="shared" si="2"/>
        <v>Avoid</v>
      </c>
      <c r="P388" s="21" t="str">
        <f t="shared" si="3"/>
        <v>10 DMA</v>
      </c>
      <c r="Q388" s="21" t="str">
        <f t="shared" si="4"/>
        <v>10 DMA cross best</v>
      </c>
      <c r="R388" s="22">
        <f>IFERROR(__xludf.DUMMYFUNCTION("GOOGLEFINANCE(B388, ""pe"")
"),75.29)</f>
        <v>75.29</v>
      </c>
    </row>
    <row r="389">
      <c r="A389" s="9" t="s">
        <v>401</v>
      </c>
      <c r="B389" s="11" t="str">
        <f t="shared" si="1"/>
        <v>NSE:TEJASNET</v>
      </c>
      <c r="C389" s="12">
        <f>IFERROR(__xludf.DUMMYFUNCTION("GOOGLEFINANCE(B389,""marketcap"")/10000000"),10138.7570445)</f>
        <v>10138.75704</v>
      </c>
      <c r="D389" s="13">
        <f>IFERROR(__xludf.DUMMYFUNCTION("GOOGLEFINANCE(B389,""price"")"),583.7)</f>
        <v>583.7</v>
      </c>
      <c r="E389" s="14">
        <f>IFERROR(__xludf.DUMMYFUNCTION("GOOGLEFINANCE(B389,""Volume"")"),851086.0)</f>
        <v>851086</v>
      </c>
      <c r="F389" s="14">
        <f t="array" ref="F389">F388</f>
        <v>14</v>
      </c>
      <c r="G389" s="15" t="str">
        <f>IFERROR(__xludf.DUMMYFUNCTION("IF(E389&gt;AVERAGE(INDEX(GOOGLEFINANCE(B389,""volume"",WORKDAY(TODAY(),-$F$1),TODAY()),,2)),""Breakout"","""")"),"")</f>
        <v/>
      </c>
      <c r="H389" s="16">
        <f>IFERROR(__xludf.DUMMYFUNCTION("GOOGLEFINANCE(B389,""price"")"),583.7)</f>
        <v>583.7</v>
      </c>
      <c r="I389" s="17">
        <f>IFERROR(__xludf.DUMMYFUNCTION("AVERAGE(QUERY(SORT(GOOGLEFINANCE(B389,""price"",TODAY()-365,TODAY()),1,0),""select Col2 limit 10""))"),638.6199999999999)</f>
        <v>638.62</v>
      </c>
      <c r="J389" s="17">
        <f>IFERROR(__xludf.DUMMYFUNCTION("AVERAGE(QUERY(SORT(GOOGLEFINANCE(B389,""price"",TODAY()-365,TODAY()),1,0),""select Col2 limit 30""))"),680.7650000000001)</f>
        <v>680.765</v>
      </c>
      <c r="K389" s="18">
        <f>IFERROR(__xludf.DUMMYFUNCTION("AVERAGE(QUERY(SORT(GOOGLEFINANCE(B389,""price"",TODAY()-365,TODAY()),1,0),""select Col2 limit 60""))"),698.6208333333336)</f>
        <v>698.6208333</v>
      </c>
      <c r="L389" s="17">
        <f>IFERROR(__xludf.DUMMYFUNCTION("AVERAGE(QUERY(SORT(GOOGLEFINANCE(B389,""price"",TODAY()-365,TODAY()),1,0),""select Col2 limit 90""))"),731.0427777777778)</f>
        <v>731.0427778</v>
      </c>
      <c r="M389" s="17">
        <f>IFERROR(__xludf.DUMMYFUNCTION("AVERAGE(QUERY(SORT(GOOGLEFINANCE(B389,""price"",TODAY()-365,TODAY()),1,0),""select Col2 limit 120""))"),744.8441666666666)</f>
        <v>744.8441667</v>
      </c>
      <c r="N389" s="19">
        <f>IFERROR(__xludf.DUMMYFUNCTION("AVERAGE(QUERY(SORT(GOOGLEFINANCE(B389,""price"",TODAY()-365,TODAY()),1,0),""select Col2 limit 200""))"),933.8837499999998)</f>
        <v>933.88375</v>
      </c>
      <c r="O389" s="20" t="str">
        <f t="shared" si="2"/>
        <v>Avoid</v>
      </c>
      <c r="P389" s="21" t="str">
        <f t="shared" si="3"/>
        <v/>
      </c>
      <c r="Q389" s="21" t="str">
        <f t="shared" si="4"/>
        <v/>
      </c>
      <c r="R389" s="22">
        <f>IFERROR(__xludf.DUMMYFUNCTION("GOOGLEFINANCE(B389, ""pe"")
"),58.87)</f>
        <v>58.87</v>
      </c>
    </row>
    <row r="390">
      <c r="A390" s="9" t="s">
        <v>402</v>
      </c>
      <c r="B390" s="11" t="str">
        <f t="shared" si="1"/>
        <v>NSE:CDSL</v>
      </c>
      <c r="C390" s="12">
        <f>IFERROR(__xludf.DUMMYFUNCTION("GOOGLEFINANCE(B390,""marketcap"")/10000000"),32100.3105102)</f>
        <v>32100.31051</v>
      </c>
      <c r="D390" s="13">
        <f>IFERROR(__xludf.DUMMYFUNCTION("GOOGLEFINANCE(B390,""price"")"),1535.3)</f>
        <v>1535.3</v>
      </c>
      <c r="E390" s="14">
        <f>IFERROR(__xludf.DUMMYFUNCTION("GOOGLEFINANCE(B390,""Volume"")"),4308211.0)</f>
        <v>4308211</v>
      </c>
      <c r="F390" s="14">
        <f t="array" ref="F390">F389</f>
        <v>14</v>
      </c>
      <c r="G390" s="15" t="str">
        <f>IFERROR(__xludf.DUMMYFUNCTION("IF(E390&gt;AVERAGE(INDEX(GOOGLEFINANCE(B390,""volume"",WORKDAY(TODAY(),-$F$1),TODAY()),,2)),""Breakout"","""")"),"Breakout")</f>
        <v>Breakout</v>
      </c>
      <c r="H390" s="16">
        <f>IFERROR(__xludf.DUMMYFUNCTION("GOOGLEFINANCE(B390,""price"")"),1535.3)</f>
        <v>1535.3</v>
      </c>
      <c r="I390" s="17">
        <f>IFERROR(__xludf.DUMMYFUNCTION("AVERAGE(QUERY(SORT(GOOGLEFINANCE(B390,""price"",TODAY()-365,TODAY()),1,0),""select Col2 limit 10""))"),1695.0400000000002)</f>
        <v>1695.04</v>
      </c>
      <c r="J390" s="17">
        <f>IFERROR(__xludf.DUMMYFUNCTION("AVERAGE(QUERY(SORT(GOOGLEFINANCE(B390,""price"",TODAY()-365,TODAY()),1,0),""select Col2 limit 30""))"),1723.8333333333342)</f>
        <v>1723.833333</v>
      </c>
      <c r="K390" s="18">
        <f>IFERROR(__xludf.DUMMYFUNCTION("AVERAGE(QUERY(SORT(GOOGLEFINANCE(B390,""price"",TODAY()-365,TODAY()),1,0),""select Col2 limit 60""))"),1612.2483333333337)</f>
        <v>1612.248333</v>
      </c>
      <c r="L390" s="17">
        <f>IFERROR(__xludf.DUMMYFUNCTION("AVERAGE(QUERY(SORT(GOOGLEFINANCE(B390,""price"",TODAY()-365,TODAY()),1,0),""select Col2 limit 90""))"),1485.6644444444444)</f>
        <v>1485.664444</v>
      </c>
      <c r="M390" s="17">
        <f>IFERROR(__xludf.DUMMYFUNCTION("AVERAGE(QUERY(SORT(GOOGLEFINANCE(B390,""price"",TODAY()-365,TODAY()),1,0),""select Col2 limit 120""))"),1415.74)</f>
        <v>1415.74</v>
      </c>
      <c r="N390" s="19">
        <f>IFERROR(__xludf.DUMMYFUNCTION("AVERAGE(QUERY(SORT(GOOGLEFINANCE(B390,""price"",TODAY()-365,TODAY()),1,0),""select Col2 limit 200""))"),1498.8959999999997)</f>
        <v>1498.896</v>
      </c>
      <c r="O390" s="20" t="str">
        <f t="shared" si="2"/>
        <v>Avoid</v>
      </c>
      <c r="P390" s="21" t="str">
        <f t="shared" si="3"/>
        <v/>
      </c>
      <c r="Q390" s="21" t="str">
        <f t="shared" si="4"/>
        <v/>
      </c>
      <c r="R390" s="22">
        <f>IFERROR(__xludf.DUMMYFUNCTION("GOOGLEFINANCE(B390, ""pe"")
"),61.31)</f>
        <v>61.31</v>
      </c>
    </row>
    <row r="391">
      <c r="A391" s="9" t="s">
        <v>403</v>
      </c>
      <c r="B391" s="11" t="str">
        <f t="shared" si="1"/>
        <v>NSE:BASF</v>
      </c>
      <c r="C391" s="12">
        <f>IFERROR(__xludf.DUMMYFUNCTION("GOOGLEFINANCE(B391,""marketcap"")/10000000"),21238.089453)</f>
        <v>21238.08945</v>
      </c>
      <c r="D391" s="13">
        <f>IFERROR(__xludf.DUMMYFUNCTION("GOOGLEFINANCE(B391,""price"")"),4911.5)</f>
        <v>4911.5</v>
      </c>
      <c r="E391" s="14">
        <f>IFERROR(__xludf.DUMMYFUNCTION("GOOGLEFINANCE(B391,""Volume"")"),12775.0)</f>
        <v>12775</v>
      </c>
      <c r="F391" s="14">
        <f t="array" ref="F391">F390</f>
        <v>14</v>
      </c>
      <c r="G391" s="15" t="str">
        <f>IFERROR(__xludf.DUMMYFUNCTION("IF(E391&gt;AVERAGE(INDEX(GOOGLEFINANCE(B391,""volume"",WORKDAY(TODAY(),-$F$1),TODAY()),,2)),""Breakout"","""")"),"")</f>
        <v/>
      </c>
      <c r="H391" s="16">
        <f>IFERROR(__xludf.DUMMYFUNCTION("GOOGLEFINANCE(B391,""price"")"),4911.5)</f>
        <v>4911.5</v>
      </c>
      <c r="I391" s="17">
        <f>IFERROR(__xludf.DUMMYFUNCTION("AVERAGE(QUERY(SORT(GOOGLEFINANCE(B391,""price"",TODAY()-365,TODAY()),1,0),""select Col2 limit 10""))"),5059.0)</f>
        <v>5059</v>
      </c>
      <c r="J391" s="17">
        <f>IFERROR(__xludf.DUMMYFUNCTION("AVERAGE(QUERY(SORT(GOOGLEFINANCE(B391,""price"",TODAY()-365,TODAY()),1,0),""select Col2 limit 30""))"),5066.766666666666)</f>
        <v>5066.766667</v>
      </c>
      <c r="K391" s="18">
        <f>IFERROR(__xludf.DUMMYFUNCTION("AVERAGE(QUERY(SORT(GOOGLEFINANCE(B391,""price"",TODAY()-365,TODAY()),1,0),""select Col2 limit 60""))"),4985.886666666668)</f>
        <v>4985.886667</v>
      </c>
      <c r="L391" s="17">
        <f>IFERROR(__xludf.DUMMYFUNCTION("AVERAGE(QUERY(SORT(GOOGLEFINANCE(B391,""price"",TODAY()-365,TODAY()),1,0),""select Col2 limit 90""))"),4818.881666666667)</f>
        <v>4818.881667</v>
      </c>
      <c r="M391" s="17">
        <f>IFERROR(__xludf.DUMMYFUNCTION("AVERAGE(QUERY(SORT(GOOGLEFINANCE(B391,""price"",TODAY()-365,TODAY()),1,0),""select Col2 limit 120""))"),4719.312083333333)</f>
        <v>4719.312083</v>
      </c>
      <c r="N391" s="19">
        <f>IFERROR(__xludf.DUMMYFUNCTION("AVERAGE(QUERY(SORT(GOOGLEFINANCE(B391,""price"",TODAY()-365,TODAY()),1,0),""select Col2 limit 200""))"),5345.699249999997)</f>
        <v>5345.69925</v>
      </c>
      <c r="O391" s="20" t="str">
        <f t="shared" si="2"/>
        <v>Avoid</v>
      </c>
      <c r="P391" s="21" t="str">
        <f t="shared" si="3"/>
        <v/>
      </c>
      <c r="Q391" s="21" t="str">
        <f t="shared" si="4"/>
        <v/>
      </c>
      <c r="R391" s="22">
        <f>IFERROR(__xludf.DUMMYFUNCTION("GOOGLEFINANCE(B391, ""pe"")
"),44.22)</f>
        <v>44.22</v>
      </c>
    </row>
    <row r="392">
      <c r="A392" s="9" t="s">
        <v>404</v>
      </c>
      <c r="B392" s="11" t="str">
        <f t="shared" si="1"/>
        <v>NSE:LAURUSLABS</v>
      </c>
      <c r="C392" s="12">
        <f>IFERROR(__xludf.DUMMYFUNCTION("GOOGLEFINANCE(B392,""marketcap"")/10000000"),48349.4095299)</f>
        <v>48349.40953</v>
      </c>
      <c r="D392" s="13">
        <f>IFERROR(__xludf.DUMMYFUNCTION("GOOGLEFINANCE(B392,""price"")"),895.65)</f>
        <v>895.65</v>
      </c>
      <c r="E392" s="14">
        <f>IFERROR(__xludf.DUMMYFUNCTION("GOOGLEFINANCE(B392,""Volume"")"),1.2296711E7)</f>
        <v>12296711</v>
      </c>
      <c r="F392" s="14">
        <f t="array" ref="F392">F391</f>
        <v>14</v>
      </c>
      <c r="G392" s="15" t="str">
        <f>IFERROR(__xludf.DUMMYFUNCTION("IF(E392&gt;AVERAGE(INDEX(GOOGLEFINANCE(B392,""volume"",WORKDAY(TODAY(),-$F$1),TODAY()),,2)),""Breakout"","""")"),"Breakout")</f>
        <v>Breakout</v>
      </c>
      <c r="H392" s="16">
        <f>IFERROR(__xludf.DUMMYFUNCTION("GOOGLEFINANCE(B392,""price"")"),895.65)</f>
        <v>895.65</v>
      </c>
      <c r="I392" s="17">
        <f>IFERROR(__xludf.DUMMYFUNCTION("AVERAGE(QUERY(SORT(GOOGLEFINANCE(B392,""price"",TODAY()-365,TODAY()),1,0),""select Col2 limit 10""))"),827.15)</f>
        <v>827.15</v>
      </c>
      <c r="J392" s="17">
        <f>IFERROR(__xludf.DUMMYFUNCTION("AVERAGE(QUERY(SORT(GOOGLEFINANCE(B392,""price"",TODAY()-365,TODAY()),1,0),""select Col2 limit 30""))"),755.2233333333331)</f>
        <v>755.2233333</v>
      </c>
      <c r="K392" s="18">
        <f>IFERROR(__xludf.DUMMYFUNCTION("AVERAGE(QUERY(SORT(GOOGLEFINANCE(B392,""price"",TODAY()-365,TODAY()),1,0),""select Col2 limit 60""))"),686.135833333333)</f>
        <v>686.1358333</v>
      </c>
      <c r="L392" s="17">
        <f>IFERROR(__xludf.DUMMYFUNCTION("AVERAGE(QUERY(SORT(GOOGLEFINANCE(B392,""price"",TODAY()-365,TODAY()),1,0),""select Col2 limit 90""))"),661.2349999999998)</f>
        <v>661.235</v>
      </c>
      <c r="M392" s="17">
        <f>IFERROR(__xludf.DUMMYFUNCTION("AVERAGE(QUERY(SORT(GOOGLEFINANCE(B392,""price"",TODAY()-365,TODAY()),1,0),""select Col2 limit 120""))"),639.0920833333333)</f>
        <v>639.0920833</v>
      </c>
      <c r="N392" s="19">
        <f>IFERROR(__xludf.DUMMYFUNCTION("AVERAGE(QUERY(SORT(GOOGLEFINANCE(B392,""price"",TODAY()-365,TODAY()),1,0),""select Col2 limit 200""))"),596.6979999999998)</f>
        <v>596.698</v>
      </c>
      <c r="O392" s="20" t="str">
        <f t="shared" si="2"/>
        <v>Avoid</v>
      </c>
      <c r="P392" s="21" t="str">
        <f t="shared" si="3"/>
        <v/>
      </c>
      <c r="Q392" s="21" t="str">
        <f t="shared" si="4"/>
        <v/>
      </c>
      <c r="R392" s="22">
        <f>IFERROR(__xludf.DUMMYFUNCTION("GOOGLEFINANCE(B392, ""pe"")
"),95.06)</f>
        <v>95.06</v>
      </c>
    </row>
    <row r="393">
      <c r="A393" s="9" t="s">
        <v>405</v>
      </c>
      <c r="B393" s="11" t="str">
        <f t="shared" si="1"/>
        <v>NSE:FINCABLES</v>
      </c>
      <c r="C393" s="12">
        <f>IFERROR(__xludf.DUMMYFUNCTION("GOOGLEFINANCE(B393,""marketcap"")/10000000"),13670.4789571)</f>
        <v>13670.47896</v>
      </c>
      <c r="D393" s="13">
        <f>IFERROR(__xludf.DUMMYFUNCTION("GOOGLEFINANCE(B393,""price"")"),891.3)</f>
        <v>891.3</v>
      </c>
      <c r="E393" s="14">
        <f>IFERROR(__xludf.DUMMYFUNCTION("GOOGLEFINANCE(B393,""Volume"")"),53785.0)</f>
        <v>53785</v>
      </c>
      <c r="F393" s="14">
        <f t="array" ref="F393">F392</f>
        <v>14</v>
      </c>
      <c r="G393" s="15" t="str">
        <f>IFERROR(__xludf.DUMMYFUNCTION("IF(E393&gt;AVERAGE(INDEX(GOOGLEFINANCE(B393,""volume"",WORKDAY(TODAY(),-$F$1),TODAY()),,2)),""Breakout"","""")"),"")</f>
        <v/>
      </c>
      <c r="H393" s="16">
        <f>IFERROR(__xludf.DUMMYFUNCTION("GOOGLEFINANCE(B393,""price"")"),891.3)</f>
        <v>891.3</v>
      </c>
      <c r="I393" s="17">
        <f>IFERROR(__xludf.DUMMYFUNCTION("AVERAGE(QUERY(SORT(GOOGLEFINANCE(B393,""price"",TODAY()-365,TODAY()),1,0),""select Col2 limit 10""))"),931.6299999999999)</f>
        <v>931.63</v>
      </c>
      <c r="J393" s="17">
        <f>IFERROR(__xludf.DUMMYFUNCTION("AVERAGE(QUERY(SORT(GOOGLEFINANCE(B393,""price"",TODAY()-365,TODAY()),1,0),""select Col2 limit 30""))"),948.78)</f>
        <v>948.78</v>
      </c>
      <c r="K393" s="18">
        <f>IFERROR(__xludf.DUMMYFUNCTION("AVERAGE(QUERY(SORT(GOOGLEFINANCE(B393,""price"",TODAY()-365,TODAY()),1,0),""select Col2 limit 60""))"),949.6849999999997)</f>
        <v>949.685</v>
      </c>
      <c r="L393" s="17">
        <f>IFERROR(__xludf.DUMMYFUNCTION("AVERAGE(QUERY(SORT(GOOGLEFINANCE(B393,""price"",TODAY()-365,TODAY()),1,0),""select Col2 limit 90""))"),926.5250000000002)</f>
        <v>926.525</v>
      </c>
      <c r="M393" s="17">
        <f>IFERROR(__xludf.DUMMYFUNCTION("AVERAGE(QUERY(SORT(GOOGLEFINANCE(B393,""price"",TODAY()-365,TODAY()),1,0),""select Col2 limit 120""))"),921.5745833333335)</f>
        <v>921.5745833</v>
      </c>
      <c r="N393" s="19">
        <f>IFERROR(__xludf.DUMMYFUNCTION("AVERAGE(QUERY(SORT(GOOGLEFINANCE(B393,""price"",TODAY()-365,TODAY()),1,0),""select Col2 limit 200""))"),1026.9305)</f>
        <v>1026.9305</v>
      </c>
      <c r="O393" s="20" t="str">
        <f t="shared" si="2"/>
        <v>Avoid</v>
      </c>
      <c r="P393" s="21" t="str">
        <f t="shared" si="3"/>
        <v/>
      </c>
      <c r="Q393" s="21" t="str">
        <f t="shared" si="4"/>
        <v/>
      </c>
      <c r="R393" s="22">
        <f>IFERROR(__xludf.DUMMYFUNCTION("GOOGLEFINANCE(B393, ""pe"")
"),19.5)</f>
        <v>19.5</v>
      </c>
    </row>
    <row r="394">
      <c r="A394" s="9" t="s">
        <v>406</v>
      </c>
      <c r="B394" s="11" t="str">
        <f t="shared" si="1"/>
        <v>NSE:PFIZER</v>
      </c>
      <c r="C394" s="12">
        <f>IFERROR(__xludf.DUMMYFUNCTION("GOOGLEFINANCE(B394,""marketcap"")/10000000"),24401.833848)</f>
        <v>24401.83385</v>
      </c>
      <c r="D394" s="13">
        <f>IFERROR(__xludf.DUMMYFUNCTION("GOOGLEFINANCE(B394,""price"")"),5335.0)</f>
        <v>5335</v>
      </c>
      <c r="E394" s="14">
        <f>IFERROR(__xludf.DUMMYFUNCTION("GOOGLEFINANCE(B394,""Volume"")"),6668.0)</f>
        <v>6668</v>
      </c>
      <c r="F394" s="14">
        <f t="array" ref="F394">F393</f>
        <v>14</v>
      </c>
      <c r="G394" s="15" t="str">
        <f>IFERROR(__xludf.DUMMYFUNCTION("IF(E394&gt;AVERAGE(INDEX(GOOGLEFINANCE(B394,""volume"",WORKDAY(TODAY(),-$F$1),TODAY()),,2)),""Breakout"","""")"),"")</f>
        <v/>
      </c>
      <c r="H394" s="16">
        <f>IFERROR(__xludf.DUMMYFUNCTION("GOOGLEFINANCE(B394,""price"")"),5335.0)</f>
        <v>5335</v>
      </c>
      <c r="I394" s="17">
        <f>IFERROR(__xludf.DUMMYFUNCTION("AVERAGE(QUERY(SORT(GOOGLEFINANCE(B394,""price"",TODAY()-365,TODAY()),1,0),""select Col2 limit 10""))"),5345.5)</f>
        <v>5345.5</v>
      </c>
      <c r="J394" s="17">
        <f>IFERROR(__xludf.DUMMYFUNCTION("AVERAGE(QUERY(SORT(GOOGLEFINANCE(B394,""price"",TODAY()-365,TODAY()),1,0),""select Col2 limit 30""))"),5579.4)</f>
        <v>5579.4</v>
      </c>
      <c r="K394" s="18">
        <f>IFERROR(__xludf.DUMMYFUNCTION("AVERAGE(QUERY(SORT(GOOGLEFINANCE(B394,""price"",TODAY()-365,TODAY()),1,0),""select Col2 limit 60""))"),5333.653333333334)</f>
        <v>5333.653333</v>
      </c>
      <c r="L394" s="17">
        <f>IFERROR(__xludf.DUMMYFUNCTION("AVERAGE(QUERY(SORT(GOOGLEFINANCE(B394,""price"",TODAY()-365,TODAY()),1,0),""select Col2 limit 90""))"),4930.807777777779)</f>
        <v>4930.807778</v>
      </c>
      <c r="M394" s="17">
        <f>IFERROR(__xludf.DUMMYFUNCTION("AVERAGE(QUERY(SORT(GOOGLEFINANCE(B394,""price"",TODAY()-365,TODAY()),1,0),""select Col2 limit 120""))"),4748.503333333335)</f>
        <v>4748.503333</v>
      </c>
      <c r="N394" s="19">
        <f>IFERROR(__xludf.DUMMYFUNCTION("AVERAGE(QUERY(SORT(GOOGLEFINANCE(B394,""price"",TODAY()-365,TODAY()),1,0),""select Col2 limit 200""))"),4938.88775)</f>
        <v>4938.88775</v>
      </c>
      <c r="O394" s="20" t="str">
        <f t="shared" si="2"/>
        <v>Avoid</v>
      </c>
      <c r="P394" s="21" t="str">
        <f t="shared" si="3"/>
        <v>10 DMA</v>
      </c>
      <c r="Q394" s="21" t="str">
        <f t="shared" si="4"/>
        <v/>
      </c>
      <c r="R394" s="22">
        <f>IFERROR(__xludf.DUMMYFUNCTION("GOOGLEFINANCE(B394, ""pe"")
"),31.79)</f>
        <v>31.79</v>
      </c>
    </row>
    <row r="395">
      <c r="A395" s="9" t="s">
        <v>407</v>
      </c>
      <c r="B395" s="11" t="str">
        <f t="shared" si="1"/>
        <v>NSE:FIVESTAR</v>
      </c>
      <c r="C395" s="12">
        <f>IFERROR(__xludf.DUMMYFUNCTION("GOOGLEFINANCE(B395,""marketcap"")/10000000"),19992.63896)</f>
        <v>19992.63896</v>
      </c>
      <c r="D395" s="13">
        <f>IFERROR(__xludf.DUMMYFUNCTION("GOOGLEFINANCE(B395,""price"")"),679.4)</f>
        <v>679.4</v>
      </c>
      <c r="E395" s="14">
        <f>IFERROR(__xludf.DUMMYFUNCTION("GOOGLEFINANCE(B395,""Volume"")"),325212.0)</f>
        <v>325212</v>
      </c>
      <c r="F395" s="14">
        <f t="array" ref="F395">F394</f>
        <v>14</v>
      </c>
      <c r="G395" s="15" t="str">
        <f>IFERROR(__xludf.DUMMYFUNCTION("IF(E395&gt;AVERAGE(INDEX(GOOGLEFINANCE(B395,""volume"",WORKDAY(TODAY(),-$F$1),TODAY()),,2)),""Breakout"","""")"),"")</f>
        <v/>
      </c>
      <c r="H395" s="16">
        <f>IFERROR(__xludf.DUMMYFUNCTION("GOOGLEFINANCE(B395,""price"")"),679.4)</f>
        <v>679.4</v>
      </c>
      <c r="I395" s="17">
        <f>IFERROR(__xludf.DUMMYFUNCTION("AVERAGE(QUERY(SORT(GOOGLEFINANCE(B395,""price"",TODAY()-365,TODAY()),1,0),""select Col2 limit 10""))"),734.5999999999999)</f>
        <v>734.6</v>
      </c>
      <c r="J395" s="17">
        <f>IFERROR(__xludf.DUMMYFUNCTION("AVERAGE(QUERY(SORT(GOOGLEFINANCE(B395,""price"",TODAY()-365,TODAY()),1,0),""select Col2 limit 30""))"),749.9416666666668)</f>
        <v>749.9416667</v>
      </c>
      <c r="K395" s="18">
        <f>IFERROR(__xludf.DUMMYFUNCTION("AVERAGE(QUERY(SORT(GOOGLEFINANCE(B395,""price"",TODAY()-365,TODAY()),1,0),""select Col2 limit 60""))"),727.5999999999999)</f>
        <v>727.6</v>
      </c>
      <c r="L395" s="17">
        <f>IFERROR(__xludf.DUMMYFUNCTION("AVERAGE(QUERY(SORT(GOOGLEFINANCE(B395,""price"",TODAY()-365,TODAY()),1,0),""select Col2 limit 90""))"),728.4933333333331)</f>
        <v>728.4933333</v>
      </c>
      <c r="M395" s="17">
        <f>IFERROR(__xludf.DUMMYFUNCTION("AVERAGE(QUERY(SORT(GOOGLEFINANCE(B395,""price"",TODAY()-365,TODAY()),1,0),""select Col2 limit 120""))"),724.658333333333)</f>
        <v>724.6583333</v>
      </c>
      <c r="N395" s="19">
        <f>IFERROR(__xludf.DUMMYFUNCTION("AVERAGE(QUERY(SORT(GOOGLEFINANCE(B395,""price"",TODAY()-365,TODAY()),1,0),""select Col2 limit 200""))"),725.2677499999995)</f>
        <v>725.26775</v>
      </c>
      <c r="O395" s="20" t="str">
        <f t="shared" si="2"/>
        <v>Avoid</v>
      </c>
      <c r="P395" s="21" t="str">
        <f t="shared" si="3"/>
        <v/>
      </c>
      <c r="Q395" s="21" t="str">
        <f t="shared" si="4"/>
        <v/>
      </c>
      <c r="R395" s="22">
        <f>IFERROR(__xludf.DUMMYFUNCTION("GOOGLEFINANCE(B395, ""pe"")
"),18.62)</f>
        <v>18.62</v>
      </c>
    </row>
    <row r="396">
      <c r="A396" s="9" t="s">
        <v>408</v>
      </c>
      <c r="B396" s="11" t="str">
        <f t="shared" si="1"/>
        <v>NSE:RADICO</v>
      </c>
      <c r="C396" s="12">
        <f>IFERROR(__xludf.DUMMYFUNCTION("GOOGLEFINANCE(B396,""marketcap"")/10000000"),35993.187)</f>
        <v>35993.187</v>
      </c>
      <c r="D396" s="13">
        <f>IFERROR(__xludf.DUMMYFUNCTION("GOOGLEFINANCE(B396,""price"")"),2683.7)</f>
        <v>2683.7</v>
      </c>
      <c r="E396" s="14">
        <f>IFERROR(__xludf.DUMMYFUNCTION("GOOGLEFINANCE(B396,""Volume"")"),110247.0)</f>
        <v>110247</v>
      </c>
      <c r="F396" s="14">
        <f t="array" ref="F396">F395</f>
        <v>14</v>
      </c>
      <c r="G396" s="15" t="str">
        <f>IFERROR(__xludf.DUMMYFUNCTION("IF(E396&gt;AVERAGE(INDEX(GOOGLEFINANCE(B396,""volume"",WORKDAY(TODAY(),-$F$1),TODAY()),,2)),""Breakout"","""")"),"")</f>
        <v/>
      </c>
      <c r="H396" s="16">
        <f>IFERROR(__xludf.DUMMYFUNCTION("GOOGLEFINANCE(B396,""price"")"),2683.7)</f>
        <v>2683.7</v>
      </c>
      <c r="I396" s="17">
        <f>IFERROR(__xludf.DUMMYFUNCTION("AVERAGE(QUERY(SORT(GOOGLEFINANCE(B396,""price"",TODAY()-365,TODAY()),1,0),""select Col2 limit 10""))"),2736.7200000000003)</f>
        <v>2736.72</v>
      </c>
      <c r="J396" s="17">
        <f>IFERROR(__xludf.DUMMYFUNCTION("AVERAGE(QUERY(SORT(GOOGLEFINANCE(B396,""price"",TODAY()-365,TODAY()),1,0),""select Col2 limit 30""))"),2669.98)</f>
        <v>2669.98</v>
      </c>
      <c r="K396" s="18">
        <f>IFERROR(__xludf.DUMMYFUNCTION("AVERAGE(QUERY(SORT(GOOGLEFINANCE(B396,""price"",TODAY()-365,TODAY()),1,0),""select Col2 limit 60""))"),2610.2566666666667)</f>
        <v>2610.256667</v>
      </c>
      <c r="L396" s="17">
        <f>IFERROR(__xludf.DUMMYFUNCTION("AVERAGE(QUERY(SORT(GOOGLEFINANCE(B396,""price"",TODAY()-365,TODAY()),1,0),""select Col2 limit 90""))"),2532.0949999999993)</f>
        <v>2532.095</v>
      </c>
      <c r="M396" s="17">
        <f>IFERROR(__xludf.DUMMYFUNCTION("AVERAGE(QUERY(SORT(GOOGLEFINANCE(B396,""price"",TODAY()-365,TODAY()),1,0),""select Col2 limit 120""))"),2435.5804166666667)</f>
        <v>2435.580417</v>
      </c>
      <c r="N396" s="19">
        <f>IFERROR(__xludf.DUMMYFUNCTION("AVERAGE(QUERY(SORT(GOOGLEFINANCE(B396,""price"",TODAY()-365,TODAY()),1,0),""select Col2 limit 200""))"),2392.1614999999993)</f>
        <v>2392.1615</v>
      </c>
      <c r="O396" s="20" t="str">
        <f t="shared" si="2"/>
        <v>Avoid</v>
      </c>
      <c r="P396" s="21" t="str">
        <f t="shared" si="3"/>
        <v/>
      </c>
      <c r="Q396" s="21" t="str">
        <f t="shared" si="4"/>
        <v/>
      </c>
      <c r="R396" s="22">
        <f>IFERROR(__xludf.DUMMYFUNCTION("GOOGLEFINANCE(B396, ""pe"")
"),104.38)</f>
        <v>104.38</v>
      </c>
    </row>
    <row r="397">
      <c r="A397" s="9" t="s">
        <v>409</v>
      </c>
      <c r="B397" s="11" t="str">
        <f t="shared" si="1"/>
        <v>NSE:TITAGARH</v>
      </c>
      <c r="C397" s="12">
        <f>IFERROR(__xludf.DUMMYFUNCTION("GOOGLEFINANCE(B397,""marketcap"")/10000000"),11796.6774375)</f>
        <v>11796.67744</v>
      </c>
      <c r="D397" s="13">
        <f>IFERROR(__xludf.DUMMYFUNCTION("GOOGLEFINANCE(B397,""price"")"),875.95)</f>
        <v>875.95</v>
      </c>
      <c r="E397" s="14">
        <f>IFERROR(__xludf.DUMMYFUNCTION("GOOGLEFINANCE(B397,""Volume"")"),762645.0)</f>
        <v>762645</v>
      </c>
      <c r="F397" s="14">
        <f t="array" ref="F397">F396</f>
        <v>14</v>
      </c>
      <c r="G397" s="15" t="str">
        <f>IFERROR(__xludf.DUMMYFUNCTION("IF(E397&gt;AVERAGE(INDEX(GOOGLEFINANCE(B397,""volume"",WORKDAY(TODAY(),-$F$1),TODAY()),,2)),""Breakout"","""")"),"")</f>
        <v/>
      </c>
      <c r="H397" s="16">
        <f>IFERROR(__xludf.DUMMYFUNCTION("GOOGLEFINANCE(B397,""price"")"),875.95)</f>
        <v>875.95</v>
      </c>
      <c r="I397" s="17">
        <f>IFERROR(__xludf.DUMMYFUNCTION("AVERAGE(QUERY(SORT(GOOGLEFINANCE(B397,""price"",TODAY()-365,TODAY()),1,0),""select Col2 limit 10""))"),927.135)</f>
        <v>927.135</v>
      </c>
      <c r="J397" s="17">
        <f>IFERROR(__xludf.DUMMYFUNCTION("AVERAGE(QUERY(SORT(GOOGLEFINANCE(B397,""price"",TODAY()-365,TODAY()),1,0),""select Col2 limit 30""))"),922.5983333333332)</f>
        <v>922.5983333</v>
      </c>
      <c r="K397" s="18">
        <f>IFERROR(__xludf.DUMMYFUNCTION("AVERAGE(QUERY(SORT(GOOGLEFINANCE(B397,""price"",TODAY()-365,TODAY()),1,0),""select Col2 limit 60""))"),892.8241666666665)</f>
        <v>892.8241667</v>
      </c>
      <c r="L397" s="17">
        <f>IFERROR(__xludf.DUMMYFUNCTION("AVERAGE(QUERY(SORT(GOOGLEFINANCE(B397,""price"",TODAY()-365,TODAY()),1,0),""select Col2 limit 90""))"),854.2761111111107)</f>
        <v>854.2761111</v>
      </c>
      <c r="M397" s="17">
        <f>IFERROR(__xludf.DUMMYFUNCTION("AVERAGE(QUERY(SORT(GOOGLEFINANCE(B397,""price"",TODAY()-365,TODAY()),1,0),""select Col2 limit 120""))"),840.5254166666666)</f>
        <v>840.5254167</v>
      </c>
      <c r="N397" s="19">
        <f>IFERROR(__xludf.DUMMYFUNCTION("AVERAGE(QUERY(SORT(GOOGLEFINANCE(B397,""price"",TODAY()-365,TODAY()),1,0),""select Col2 limit 200""))"),960.9684999999996)</f>
        <v>960.9685</v>
      </c>
      <c r="O397" s="20" t="str">
        <f t="shared" si="2"/>
        <v>Avoid</v>
      </c>
      <c r="P397" s="21" t="str">
        <f t="shared" si="3"/>
        <v/>
      </c>
      <c r="Q397" s="21" t="str">
        <f t="shared" si="4"/>
        <v/>
      </c>
      <c r="R397" s="22" t="str">
        <f>IFERROR(__xludf.DUMMYFUNCTION("GOOGLEFINANCE(B397, ""pe"")
"),"#N/A")</f>
        <v>#N/A</v>
      </c>
    </row>
    <row r="398">
      <c r="A398" s="9" t="s">
        <v>410</v>
      </c>
      <c r="B398" s="11" t="str">
        <f t="shared" si="1"/>
        <v>NSE:CIEINDIA</v>
      </c>
      <c r="C398" s="12">
        <f>IFERROR(__xludf.DUMMYFUNCTION("GOOGLEFINANCE(B398,""marketcap"")/10000000"),15409.701151)</f>
        <v>15409.70115</v>
      </c>
      <c r="D398" s="13">
        <f>IFERROR(__xludf.DUMMYFUNCTION("GOOGLEFINANCE(B398,""price"")"),406.5)</f>
        <v>406.5</v>
      </c>
      <c r="E398" s="14">
        <f>IFERROR(__xludf.DUMMYFUNCTION("GOOGLEFINANCE(B398,""Volume"")"),35675.0)</f>
        <v>35675</v>
      </c>
      <c r="F398" s="14">
        <f t="array" ref="F398">F397</f>
        <v>14</v>
      </c>
      <c r="G398" s="15" t="str">
        <f>IFERROR(__xludf.DUMMYFUNCTION("IF(E398&gt;AVERAGE(INDEX(GOOGLEFINANCE(B398,""volume"",WORKDAY(TODAY(),-$F$1),TODAY()),,2)),""Breakout"","""")"),"")</f>
        <v/>
      </c>
      <c r="H398" s="16">
        <f>IFERROR(__xludf.DUMMYFUNCTION("GOOGLEFINANCE(B398,""price"")"),406.5)</f>
        <v>406.5</v>
      </c>
      <c r="I398" s="17">
        <f>IFERROR(__xludf.DUMMYFUNCTION("AVERAGE(QUERY(SORT(GOOGLEFINANCE(B398,""price"",TODAY()-365,TODAY()),1,0),""select Col2 limit 10""))"),426.71999999999997)</f>
        <v>426.72</v>
      </c>
      <c r="J398" s="17">
        <f>IFERROR(__xludf.DUMMYFUNCTION("AVERAGE(QUERY(SORT(GOOGLEFINANCE(B398,""price"",TODAY()-365,TODAY()),1,0),""select Col2 limit 30""))"),439.35333333333335)</f>
        <v>439.3533333</v>
      </c>
      <c r="K398" s="18">
        <f>IFERROR(__xludf.DUMMYFUNCTION("AVERAGE(QUERY(SORT(GOOGLEFINANCE(B398,""price"",TODAY()-365,TODAY()),1,0),""select Col2 limit 60""))"),440.34833333333313)</f>
        <v>440.3483333</v>
      </c>
      <c r="L398" s="17">
        <f>IFERROR(__xludf.DUMMYFUNCTION("AVERAGE(QUERY(SORT(GOOGLEFINANCE(B398,""price"",TODAY()-365,TODAY()),1,0),""select Col2 limit 90""))"),427.79833333333306)</f>
        <v>427.7983333</v>
      </c>
      <c r="M398" s="17">
        <f>IFERROR(__xludf.DUMMYFUNCTION("AVERAGE(QUERY(SORT(GOOGLEFINANCE(B398,""price"",TODAY()-365,TODAY()),1,0),""select Col2 limit 120""))"),426.4054166666663)</f>
        <v>426.4054167</v>
      </c>
      <c r="N398" s="19">
        <f>IFERROR(__xludf.DUMMYFUNCTION("AVERAGE(QUERY(SORT(GOOGLEFINANCE(B398,""price"",TODAY()-365,TODAY()),1,0),""select Col2 limit 200""))"),450.5979999999997)</f>
        <v>450.598</v>
      </c>
      <c r="O398" s="20" t="str">
        <f t="shared" si="2"/>
        <v>Avoid</v>
      </c>
      <c r="P398" s="21" t="str">
        <f t="shared" si="3"/>
        <v/>
      </c>
      <c r="Q398" s="21" t="str">
        <f t="shared" si="4"/>
        <v/>
      </c>
      <c r="R398" s="22">
        <f>IFERROR(__xludf.DUMMYFUNCTION("GOOGLEFINANCE(B398, ""pe"")
"),19.53)</f>
        <v>19.53</v>
      </c>
    </row>
    <row r="399">
      <c r="A399" s="9" t="s">
        <v>411</v>
      </c>
      <c r="B399" s="11" t="str">
        <f t="shared" si="1"/>
        <v>NSE:KEC</v>
      </c>
      <c r="C399" s="12">
        <f>IFERROR(__xludf.DUMMYFUNCTION("GOOGLEFINANCE(B399,""marketcap"")/10000000"),22973.06)</f>
        <v>22973.06</v>
      </c>
      <c r="D399" s="13">
        <f>IFERROR(__xludf.DUMMYFUNCTION("GOOGLEFINANCE(B399,""price"")"),862.05)</f>
        <v>862.05</v>
      </c>
      <c r="E399" s="14">
        <f>IFERROR(__xludf.DUMMYFUNCTION("GOOGLEFINANCE(B399,""Volume"")"),183397.0)</f>
        <v>183397</v>
      </c>
      <c r="F399" s="14">
        <f t="array" ref="F399">F398</f>
        <v>14</v>
      </c>
      <c r="G399" s="15" t="str">
        <f>IFERROR(__xludf.DUMMYFUNCTION("IF(E399&gt;AVERAGE(INDEX(GOOGLEFINANCE(B399,""volume"",WORKDAY(TODAY(),-$F$1),TODAY()),,2)),""Breakout"","""")"),"")</f>
        <v/>
      </c>
      <c r="H399" s="16">
        <f>IFERROR(__xludf.DUMMYFUNCTION("GOOGLEFINANCE(B399,""price"")"),862.05)</f>
        <v>862.05</v>
      </c>
      <c r="I399" s="17">
        <f>IFERROR(__xludf.DUMMYFUNCTION("AVERAGE(QUERY(SORT(GOOGLEFINANCE(B399,""price"",TODAY()-365,TODAY()),1,0),""select Col2 limit 10""))"),872.79)</f>
        <v>872.79</v>
      </c>
      <c r="J399" s="17">
        <f>IFERROR(__xludf.DUMMYFUNCTION("AVERAGE(QUERY(SORT(GOOGLEFINANCE(B399,""price"",TODAY()-365,TODAY()),1,0),""select Col2 limit 30""))"),889.7499999999999)</f>
        <v>889.75</v>
      </c>
      <c r="K399" s="18">
        <f>IFERROR(__xludf.DUMMYFUNCTION("AVERAGE(QUERY(SORT(GOOGLEFINANCE(B399,""price"",TODAY()-365,TODAY()),1,0),""select Col2 limit 60""))"),853.5899999999998)</f>
        <v>853.59</v>
      </c>
      <c r="L399" s="17">
        <f>IFERROR(__xludf.DUMMYFUNCTION("AVERAGE(QUERY(SORT(GOOGLEFINANCE(B399,""price"",TODAY()-365,TODAY()),1,0),""select Col2 limit 90""))"),814.5166666666663)</f>
        <v>814.5166667</v>
      </c>
      <c r="M399" s="17">
        <f>IFERROR(__xludf.DUMMYFUNCTION("AVERAGE(QUERY(SORT(GOOGLEFINANCE(B399,""price"",TODAY()-365,TODAY()),1,0),""select Col2 limit 120""))"),798.7104166666664)</f>
        <v>798.7104167</v>
      </c>
      <c r="N399" s="19">
        <f>IFERROR(__xludf.DUMMYFUNCTION("AVERAGE(QUERY(SORT(GOOGLEFINANCE(B399,""price"",TODAY()-365,TODAY()),1,0),""select Col2 limit 200""))"),895.2599999999998)</f>
        <v>895.26</v>
      </c>
      <c r="O399" s="20" t="str">
        <f t="shared" si="2"/>
        <v>Avoid</v>
      </c>
      <c r="P399" s="21" t="str">
        <f t="shared" si="3"/>
        <v/>
      </c>
      <c r="Q399" s="21" t="str">
        <f t="shared" si="4"/>
        <v/>
      </c>
      <c r="R399" s="22">
        <f>IFERROR(__xludf.DUMMYFUNCTION("GOOGLEFINANCE(B399, ""pe"")
"),39.66)</f>
        <v>39.66</v>
      </c>
    </row>
    <row r="400">
      <c r="A400" s="9" t="s">
        <v>412</v>
      </c>
      <c r="B400" s="11" t="str">
        <f t="shared" si="1"/>
        <v>NSE:CESC</v>
      </c>
      <c r="C400" s="12">
        <f>IFERROR(__xludf.DUMMYFUNCTION("GOOGLEFINANCE(B400,""marketcap"")/10000000"),23137.5033673)</f>
        <v>23137.50337</v>
      </c>
      <c r="D400" s="13">
        <f>IFERROR(__xludf.DUMMYFUNCTION("GOOGLEFINANCE(B400,""price"")"),174.74)</f>
        <v>174.74</v>
      </c>
      <c r="E400" s="14">
        <f>IFERROR(__xludf.DUMMYFUNCTION("GOOGLEFINANCE(B400,""Volume"")"),431739.0)</f>
        <v>431739</v>
      </c>
      <c r="F400" s="14">
        <f t="array" ref="F400">F399</f>
        <v>14</v>
      </c>
      <c r="G400" s="15" t="str">
        <f>IFERROR(__xludf.DUMMYFUNCTION("IF(E400&gt;AVERAGE(INDEX(GOOGLEFINANCE(B400,""volume"",WORKDAY(TODAY(),-$F$1),TODAY()),,2)),""Breakout"","""")"),"")</f>
        <v/>
      </c>
      <c r="H400" s="16">
        <f>IFERROR(__xludf.DUMMYFUNCTION("GOOGLEFINANCE(B400,""price"")"),174.74)</f>
        <v>174.74</v>
      </c>
      <c r="I400" s="17">
        <f>IFERROR(__xludf.DUMMYFUNCTION("AVERAGE(QUERY(SORT(GOOGLEFINANCE(B400,""price"",TODAY()-365,TODAY()),1,0),""select Col2 limit 10""))"),178.57999999999998)</f>
        <v>178.58</v>
      </c>
      <c r="J400" s="17">
        <f>IFERROR(__xludf.DUMMYFUNCTION("AVERAGE(QUERY(SORT(GOOGLEFINANCE(B400,""price"",TODAY()-365,TODAY()),1,0),""select Col2 limit 30""))"),174.3336666666667)</f>
        <v>174.3336667</v>
      </c>
      <c r="K400" s="18">
        <f>IFERROR(__xludf.DUMMYFUNCTION("AVERAGE(QUERY(SORT(GOOGLEFINANCE(B400,""price"",TODAY()-365,TODAY()),1,0),""select Col2 limit 60""))"),170.5366666666667)</f>
        <v>170.5366667</v>
      </c>
      <c r="L400" s="17">
        <f>IFERROR(__xludf.DUMMYFUNCTION("AVERAGE(QUERY(SORT(GOOGLEFINANCE(B400,""price"",TODAY()-365,TODAY()),1,0),""select Col2 limit 90""))"),164.91866666666664)</f>
        <v>164.9186667</v>
      </c>
      <c r="M400" s="17">
        <f>IFERROR(__xludf.DUMMYFUNCTION("AVERAGE(QUERY(SORT(GOOGLEFINANCE(B400,""price"",TODAY()-365,TODAY()),1,0),""select Col2 limit 120""))"),157.45583333333335)</f>
        <v>157.4558333</v>
      </c>
      <c r="N400" s="19">
        <f>IFERROR(__xludf.DUMMYFUNCTION("AVERAGE(QUERY(SORT(GOOGLEFINANCE(B400,""price"",TODAY()-365,TODAY()),1,0),""select Col2 limit 200""))"),165.54850000000002)</f>
        <v>165.5485</v>
      </c>
      <c r="O400" s="20" t="str">
        <f t="shared" si="2"/>
        <v>Avoid</v>
      </c>
      <c r="P400" s="21" t="str">
        <f t="shared" si="3"/>
        <v/>
      </c>
      <c r="Q400" s="21" t="str">
        <f t="shared" si="4"/>
        <v/>
      </c>
      <c r="R400" s="22">
        <f>IFERROR(__xludf.DUMMYFUNCTION("GOOGLEFINANCE(B400, ""pe"")
"),16.93)</f>
        <v>16.93</v>
      </c>
    </row>
    <row r="401">
      <c r="A401" s="9" t="s">
        <v>413</v>
      </c>
      <c r="B401" s="11" t="str">
        <f t="shared" si="1"/>
        <v>NSE:GODFRYPHLP</v>
      </c>
      <c r="C401" s="12">
        <f>IFERROR(__xludf.DUMMYFUNCTION("GOOGLEFINANCE(B401,""marketcap"")/10000000"),45442.67734)</f>
        <v>45442.67734</v>
      </c>
      <c r="D401" s="13">
        <f>IFERROR(__xludf.DUMMYFUNCTION("GOOGLEFINANCE(B401,""price"")"),8747.5)</f>
        <v>8747.5</v>
      </c>
      <c r="E401" s="14">
        <f>IFERROR(__xludf.DUMMYFUNCTION("GOOGLEFINANCE(B401,""Volume"")"),53037.0)</f>
        <v>53037</v>
      </c>
      <c r="F401" s="14">
        <f t="array" ref="F401">F400</f>
        <v>14</v>
      </c>
      <c r="G401" s="15" t="str">
        <f>IFERROR(__xludf.DUMMYFUNCTION("IF(E401&gt;AVERAGE(INDEX(GOOGLEFINANCE(B401,""volume"",WORKDAY(TODAY(),-$F$1),TODAY()),,2)),""Breakout"","""")"),"")</f>
        <v/>
      </c>
      <c r="H401" s="16">
        <f>IFERROR(__xludf.DUMMYFUNCTION("GOOGLEFINANCE(B401,""price"")"),8747.5)</f>
        <v>8747.5</v>
      </c>
      <c r="I401" s="17">
        <f>IFERROR(__xludf.DUMMYFUNCTION("AVERAGE(QUERY(SORT(GOOGLEFINANCE(B401,""price"",TODAY()-365,TODAY()),1,0),""select Col2 limit 10""))"),8938.25)</f>
        <v>8938.25</v>
      </c>
      <c r="J401" s="17">
        <f>IFERROR(__xludf.DUMMYFUNCTION("AVERAGE(QUERY(SORT(GOOGLEFINANCE(B401,""price"",TODAY()-365,TODAY()),1,0),""select Col2 limit 30""))"),8555.383333333333)</f>
        <v>8555.383333</v>
      </c>
      <c r="K401" s="18">
        <f>IFERROR(__xludf.DUMMYFUNCTION("AVERAGE(QUERY(SORT(GOOGLEFINANCE(B401,""price"",TODAY()-365,TODAY()),1,0),""select Col2 limit 60""))"),8393.826666666666)</f>
        <v>8393.826667</v>
      </c>
      <c r="L401" s="17">
        <f>IFERROR(__xludf.DUMMYFUNCTION("AVERAGE(QUERY(SORT(GOOGLEFINANCE(B401,""price"",TODAY()-365,TODAY()),1,0),""select Col2 limit 90""))"),7592.958888888886)</f>
        <v>7592.958889</v>
      </c>
      <c r="M401" s="17">
        <f>IFERROR(__xludf.DUMMYFUNCTION("AVERAGE(QUERY(SORT(GOOGLEFINANCE(B401,""price"",TODAY()-365,TODAY()),1,0),""select Col2 limit 120""))"),6933.337916666663)</f>
        <v>6933.337917</v>
      </c>
      <c r="N401" s="19">
        <f>IFERROR(__xludf.DUMMYFUNCTION("AVERAGE(QUERY(SORT(GOOGLEFINANCE(B401,""price"",TODAY()-365,TODAY()),1,0),""select Col2 limit 200""))"),6664.510499999999)</f>
        <v>6664.5105</v>
      </c>
      <c r="O401" s="20" t="str">
        <f t="shared" si="2"/>
        <v>Avoid</v>
      </c>
      <c r="P401" s="21" t="str">
        <f t="shared" si="3"/>
        <v/>
      </c>
      <c r="Q401" s="21" t="str">
        <f t="shared" si="4"/>
        <v/>
      </c>
      <c r="R401" s="22">
        <f>IFERROR(__xludf.DUMMYFUNCTION("GOOGLEFINANCE(B401, ""pe"")
"),39.31)</f>
        <v>39.31</v>
      </c>
    </row>
    <row r="402">
      <c r="A402" s="9" t="s">
        <v>414</v>
      </c>
      <c r="B402" s="11" t="str">
        <f t="shared" si="1"/>
        <v>NSE:KANSAINER</v>
      </c>
      <c r="C402" s="12">
        <f>IFERROR(__xludf.DUMMYFUNCTION("GOOGLEFINANCE(B402,""marketcap"")/10000000"),19695.1213934)</f>
        <v>19695.12139</v>
      </c>
      <c r="D402" s="13">
        <f>IFERROR(__xludf.DUMMYFUNCTION("GOOGLEFINANCE(B402,""price"")"),243.4)</f>
        <v>243.4</v>
      </c>
      <c r="E402" s="14">
        <f>IFERROR(__xludf.DUMMYFUNCTION("GOOGLEFINANCE(B402,""Volume"")"),38347.0)</f>
        <v>38347</v>
      </c>
      <c r="F402" s="14">
        <f t="array" ref="F402">F401</f>
        <v>14</v>
      </c>
      <c r="G402" s="15" t="str">
        <f>IFERROR(__xludf.DUMMYFUNCTION("IF(E402&gt;AVERAGE(INDEX(GOOGLEFINANCE(B402,""volume"",WORKDAY(TODAY(),-$F$1),TODAY()),,2)),""Breakout"","""")"),"")</f>
        <v/>
      </c>
      <c r="H402" s="16">
        <f>IFERROR(__xludf.DUMMYFUNCTION("GOOGLEFINANCE(B402,""price"")"),243.4)</f>
        <v>243.4</v>
      </c>
      <c r="I402" s="17">
        <f>IFERROR(__xludf.DUMMYFUNCTION("AVERAGE(QUERY(SORT(GOOGLEFINANCE(B402,""price"",TODAY()-365,TODAY()),1,0),""select Col2 limit 10""))"),247.62999999999997)</f>
        <v>247.63</v>
      </c>
      <c r="J402" s="17">
        <f>IFERROR(__xludf.DUMMYFUNCTION("AVERAGE(QUERY(SORT(GOOGLEFINANCE(B402,""price"",TODAY()-365,TODAY()),1,0),""select Col2 limit 30""))"),246.63666666666666)</f>
        <v>246.6366667</v>
      </c>
      <c r="K402" s="18">
        <f>IFERROR(__xludf.DUMMYFUNCTION("AVERAGE(QUERY(SORT(GOOGLEFINANCE(B402,""price"",TODAY()-365,TODAY()),1,0),""select Col2 limit 60""))"),251.12000000000006)</f>
        <v>251.12</v>
      </c>
      <c r="L402" s="17">
        <f>IFERROR(__xludf.DUMMYFUNCTION("AVERAGE(QUERY(SORT(GOOGLEFINANCE(B402,""price"",TODAY()-365,TODAY()),1,0),""select Col2 limit 90""))"),250.0570000000001)</f>
        <v>250.057</v>
      </c>
      <c r="M402" s="17">
        <f>IFERROR(__xludf.DUMMYFUNCTION("AVERAGE(QUERY(SORT(GOOGLEFINANCE(B402,""price"",TODAY()-365,TODAY()),1,0),""select Col2 limit 120""))"),246.32500000000013)</f>
        <v>246.325</v>
      </c>
      <c r="N402" s="19">
        <f>IFERROR(__xludf.DUMMYFUNCTION("AVERAGE(QUERY(SORT(GOOGLEFINANCE(B402,""price"",TODAY()-365,TODAY()),1,0),""select Col2 limit 200""))"),255.0602500000001)</f>
        <v>255.06025</v>
      </c>
      <c r="O402" s="20" t="str">
        <f t="shared" si="2"/>
        <v>Avoid</v>
      </c>
      <c r="P402" s="21" t="str">
        <f t="shared" si="3"/>
        <v/>
      </c>
      <c r="Q402" s="21" t="str">
        <f t="shared" si="4"/>
        <v/>
      </c>
      <c r="R402" s="22">
        <f>IFERROR(__xludf.DUMMYFUNCTION("GOOGLEFINANCE(B402, ""pe"")
"),17.23)</f>
        <v>17.23</v>
      </c>
    </row>
    <row r="403">
      <c r="A403" s="9" t="s">
        <v>415</v>
      </c>
      <c r="B403" s="11" t="str">
        <f t="shared" si="1"/>
        <v>NSE:NATCOPHARM</v>
      </c>
      <c r="C403" s="12">
        <f>IFERROR(__xludf.DUMMYFUNCTION("GOOGLEFINANCE(B403,""marketcap"")/10000000"),17287.8650612)</f>
        <v>17287.86506</v>
      </c>
      <c r="D403" s="13">
        <f>IFERROR(__xludf.DUMMYFUNCTION("GOOGLEFINANCE(B403,""price"")"),964.4)</f>
        <v>964.4</v>
      </c>
      <c r="E403" s="14">
        <f>IFERROR(__xludf.DUMMYFUNCTION("GOOGLEFINANCE(B403,""Volume"")"),343069.0)</f>
        <v>343069</v>
      </c>
      <c r="F403" s="14">
        <f t="array" ref="F403">F402</f>
        <v>14</v>
      </c>
      <c r="G403" s="15" t="str">
        <f>IFERROR(__xludf.DUMMYFUNCTION("IF(E403&gt;AVERAGE(INDEX(GOOGLEFINANCE(B403,""volume"",WORKDAY(TODAY(),-$F$1),TODAY()),,2)),""Breakout"","""")"),"")</f>
        <v/>
      </c>
      <c r="H403" s="16">
        <f>IFERROR(__xludf.DUMMYFUNCTION("GOOGLEFINANCE(B403,""price"")"),964.4)</f>
        <v>964.4</v>
      </c>
      <c r="I403" s="17">
        <f>IFERROR(__xludf.DUMMYFUNCTION("AVERAGE(QUERY(SORT(GOOGLEFINANCE(B403,""price"",TODAY()-365,TODAY()),1,0),""select Col2 limit 10""))"),1010.9550000000002)</f>
        <v>1010.955</v>
      </c>
      <c r="J403" s="17">
        <f>IFERROR(__xludf.DUMMYFUNCTION("AVERAGE(QUERY(SORT(GOOGLEFINANCE(B403,""price"",TODAY()-365,TODAY()),1,0),""select Col2 limit 30""))"),952.7566666666667)</f>
        <v>952.7566667</v>
      </c>
      <c r="K403" s="18">
        <f>IFERROR(__xludf.DUMMYFUNCTION("AVERAGE(QUERY(SORT(GOOGLEFINANCE(B403,""price"",TODAY()-365,TODAY()),1,0),""select Col2 limit 60""))"),907.1316666666668)</f>
        <v>907.1316667</v>
      </c>
      <c r="L403" s="17">
        <f>IFERROR(__xludf.DUMMYFUNCTION("AVERAGE(QUERY(SORT(GOOGLEFINANCE(B403,""price"",TODAY()-365,TODAY()),1,0),""select Col2 limit 90""))"),879.1144444444446)</f>
        <v>879.1144444</v>
      </c>
      <c r="M403" s="17">
        <f>IFERROR(__xludf.DUMMYFUNCTION("AVERAGE(QUERY(SORT(GOOGLEFINANCE(B403,""price"",TODAY()-365,TODAY()),1,0),""select Col2 limit 120""))"),902.7329166666667)</f>
        <v>902.7329167</v>
      </c>
      <c r="N403" s="19">
        <f>IFERROR(__xludf.DUMMYFUNCTION("AVERAGE(QUERY(SORT(GOOGLEFINANCE(B403,""price"",TODAY()-365,TODAY()),1,0),""select Col2 limit 200""))"),1088.3535)</f>
        <v>1088.3535</v>
      </c>
      <c r="O403" s="20" t="str">
        <f t="shared" si="2"/>
        <v>Avoid</v>
      </c>
      <c r="P403" s="21" t="str">
        <f t="shared" si="3"/>
        <v/>
      </c>
      <c r="Q403" s="21" t="str">
        <f t="shared" si="4"/>
        <v/>
      </c>
      <c r="R403" s="22">
        <f>IFERROR(__xludf.DUMMYFUNCTION("GOOGLEFINANCE(B403, ""pe"")
"),9.16)</f>
        <v>9.16</v>
      </c>
    </row>
    <row r="404">
      <c r="A404" s="9" t="s">
        <v>416</v>
      </c>
      <c r="B404" s="11" t="str">
        <f t="shared" si="1"/>
        <v>NSE:KAJARIACER</v>
      </c>
      <c r="C404" s="12">
        <f>IFERROR(__xludf.DUMMYFUNCTION("GOOGLEFINANCE(B404,""marketcap"")/10000000"),18518.5779163)</f>
        <v>18518.57792</v>
      </c>
      <c r="D404" s="13">
        <f>IFERROR(__xludf.DUMMYFUNCTION("GOOGLEFINANCE(B404,""price"")"),1161.9)</f>
        <v>1161.9</v>
      </c>
      <c r="E404" s="14">
        <f>IFERROR(__xludf.DUMMYFUNCTION("GOOGLEFINANCE(B404,""Volume"")"),340223.0)</f>
        <v>340223</v>
      </c>
      <c r="F404" s="14">
        <f t="array" ref="F404">F403</f>
        <v>14</v>
      </c>
      <c r="G404" s="15" t="str">
        <f>IFERROR(__xludf.DUMMYFUNCTION("IF(E404&gt;AVERAGE(INDEX(GOOGLEFINANCE(B404,""volume"",WORKDAY(TODAY(),-$F$1),TODAY()),,2)),""Breakout"","""")"),"")</f>
        <v/>
      </c>
      <c r="H404" s="16">
        <f>IFERROR(__xludf.DUMMYFUNCTION("GOOGLEFINANCE(B404,""price"")"),1161.9)</f>
        <v>1161.9</v>
      </c>
      <c r="I404" s="17">
        <f>IFERROR(__xludf.DUMMYFUNCTION("AVERAGE(QUERY(SORT(GOOGLEFINANCE(B404,""price"",TODAY()-365,TODAY()),1,0),""select Col2 limit 10""))"),1206.65)</f>
        <v>1206.65</v>
      </c>
      <c r="J404" s="17">
        <f>IFERROR(__xludf.DUMMYFUNCTION("AVERAGE(QUERY(SORT(GOOGLEFINANCE(B404,""price"",TODAY()-365,TODAY()),1,0),""select Col2 limit 30""))"),1137.3966666666665)</f>
        <v>1137.396667</v>
      </c>
      <c r="K404" s="18">
        <f>IFERROR(__xludf.DUMMYFUNCTION("AVERAGE(QUERY(SORT(GOOGLEFINANCE(B404,""price"",TODAY()-365,TODAY()),1,0),""select Col2 limit 60""))"),1053.7700000000002)</f>
        <v>1053.77</v>
      </c>
      <c r="L404" s="17">
        <f>IFERROR(__xludf.DUMMYFUNCTION("AVERAGE(QUERY(SORT(GOOGLEFINANCE(B404,""price"",TODAY()-365,TODAY()),1,0),""select Col2 limit 90""))"),980.592777777778)</f>
        <v>980.5927778</v>
      </c>
      <c r="M404" s="17">
        <f>IFERROR(__xludf.DUMMYFUNCTION("AVERAGE(QUERY(SORT(GOOGLEFINANCE(B404,""price"",TODAY()-365,TODAY()),1,0),""select Col2 limit 120""))"),962.3787500000002)</f>
        <v>962.37875</v>
      </c>
      <c r="N404" s="19">
        <f>IFERROR(__xludf.DUMMYFUNCTION("AVERAGE(QUERY(SORT(GOOGLEFINANCE(B404,""price"",TODAY()-365,TODAY()),1,0),""select Col2 limit 200""))"),1052.1174999999998)</f>
        <v>1052.1175</v>
      </c>
      <c r="O404" s="20" t="str">
        <f t="shared" si="2"/>
        <v>Avoid</v>
      </c>
      <c r="P404" s="21" t="str">
        <f t="shared" si="3"/>
        <v/>
      </c>
      <c r="Q404" s="21" t="str">
        <f t="shared" si="4"/>
        <v/>
      </c>
      <c r="R404" s="22">
        <f>IFERROR(__xludf.DUMMYFUNCTION("GOOGLEFINANCE(B404, ""pe"")
"),59.11)</f>
        <v>59.11</v>
      </c>
    </row>
    <row r="405">
      <c r="A405" s="9" t="s">
        <v>417</v>
      </c>
      <c r="B405" s="11" t="str">
        <f t="shared" si="1"/>
        <v>NSE:SWANENERGY</v>
      </c>
      <c r="C405" s="12">
        <f>IFERROR(__xludf.DUMMYFUNCTION("GOOGLEFINANCE(B405,""marketcap"")/10000000"),14926.8179606)</f>
        <v>14926.81796</v>
      </c>
      <c r="D405" s="13">
        <f>IFERROR(__xludf.DUMMYFUNCTION("GOOGLEFINANCE(B405,""price"")"),476.0)</f>
        <v>476</v>
      </c>
      <c r="E405" s="14">
        <f>IFERROR(__xludf.DUMMYFUNCTION("GOOGLEFINANCE(B405,""Volume"")"),1421506.0)</f>
        <v>1421506</v>
      </c>
      <c r="F405" s="14">
        <f t="array" ref="F405">F404</f>
        <v>14</v>
      </c>
      <c r="G405" s="15" t="str">
        <f>IFERROR(__xludf.DUMMYFUNCTION("IF(E405&gt;AVERAGE(INDEX(GOOGLEFINANCE(B405,""volume"",WORKDAY(TODAY(),-$F$1),TODAY()),,2)),""Breakout"","""")"),"")</f>
        <v/>
      </c>
      <c r="H405" s="16">
        <f>IFERROR(__xludf.DUMMYFUNCTION("GOOGLEFINANCE(B405,""price"")"),476.0)</f>
        <v>476</v>
      </c>
      <c r="I405" s="17">
        <f>IFERROR(__xludf.DUMMYFUNCTION("AVERAGE(QUERY(SORT(GOOGLEFINANCE(B405,""price"",TODAY()-365,TODAY()),1,0),""select Col2 limit 10""))"),500.40500000000003)</f>
        <v>500.405</v>
      </c>
      <c r="J405" s="17">
        <f>IFERROR(__xludf.DUMMYFUNCTION("AVERAGE(QUERY(SORT(GOOGLEFINANCE(B405,""price"",TODAY()-365,TODAY()),1,0),""select Col2 limit 30""))"),460.6283333333333)</f>
        <v>460.6283333</v>
      </c>
      <c r="K405" s="18">
        <f>IFERROR(__xludf.DUMMYFUNCTION("AVERAGE(QUERY(SORT(GOOGLEFINANCE(B405,""price"",TODAY()-365,TODAY()),1,0),""select Col2 limit 60""))"),447.24083333333317)</f>
        <v>447.2408333</v>
      </c>
      <c r="L405" s="17">
        <f>IFERROR(__xludf.DUMMYFUNCTION("AVERAGE(QUERY(SORT(GOOGLEFINANCE(B405,""price"",TODAY()-365,TODAY()),1,0),""select Col2 limit 90""))"),439.42166666666645)</f>
        <v>439.4216667</v>
      </c>
      <c r="M405" s="17">
        <f>IFERROR(__xludf.DUMMYFUNCTION("AVERAGE(QUERY(SORT(GOOGLEFINANCE(B405,""price"",TODAY()-365,TODAY()),1,0),""select Col2 limit 120""))"),445.1158333333334)</f>
        <v>445.1158333</v>
      </c>
      <c r="N405" s="19">
        <f>IFERROR(__xludf.DUMMYFUNCTION("AVERAGE(QUERY(SORT(GOOGLEFINANCE(B405,""price"",TODAY()-365,TODAY()),1,0),""select Col2 limit 200""))"),513.5779999999996)</f>
        <v>513.578</v>
      </c>
      <c r="O405" s="20" t="str">
        <f t="shared" si="2"/>
        <v>Avoid</v>
      </c>
      <c r="P405" s="21" t="str">
        <f t="shared" si="3"/>
        <v/>
      </c>
      <c r="Q405" s="21" t="str">
        <f t="shared" si="4"/>
        <v/>
      </c>
      <c r="R405" s="22">
        <f>IFERROR(__xludf.DUMMYFUNCTION("GOOGLEFINANCE(B405, ""pe"")
"),16.51)</f>
        <v>16.51</v>
      </c>
    </row>
    <row r="406">
      <c r="A406" s="9" t="s">
        <v>418</v>
      </c>
      <c r="B406" s="11" t="str">
        <f t="shared" si="1"/>
        <v>NSE:KPIL</v>
      </c>
      <c r="C406" s="12">
        <f>IFERROR(__xludf.DUMMYFUNCTION("GOOGLEFINANCE(B406,""marketcap"")/10000000"),19673.0)</f>
        <v>19673</v>
      </c>
      <c r="D406" s="13">
        <f>IFERROR(__xludf.DUMMYFUNCTION("GOOGLEFINANCE(B406,""price"")"),1141.5)</f>
        <v>1141.5</v>
      </c>
      <c r="E406" s="14">
        <f>IFERROR(__xludf.DUMMYFUNCTION("GOOGLEFINANCE(B406,""Volume"")"),42036.0)</f>
        <v>42036</v>
      </c>
      <c r="F406" s="14">
        <f t="array" ref="F406">F405</f>
        <v>14</v>
      </c>
      <c r="G406" s="15" t="str">
        <f>IFERROR(__xludf.DUMMYFUNCTION("IF(E406&gt;AVERAGE(INDEX(GOOGLEFINANCE(B406,""volume"",WORKDAY(TODAY(),-$F$1),TODAY()),,2)),""Breakout"","""")"),"")</f>
        <v/>
      </c>
      <c r="H406" s="16">
        <f>IFERROR(__xludf.DUMMYFUNCTION("GOOGLEFINANCE(B406,""price"")"),1141.5)</f>
        <v>1141.5</v>
      </c>
      <c r="I406" s="17">
        <f>IFERROR(__xludf.DUMMYFUNCTION("AVERAGE(QUERY(SORT(GOOGLEFINANCE(B406,""price"",TODAY()-365,TODAY()),1,0),""select Col2 limit 10""))"),1191.3799999999997)</f>
        <v>1191.38</v>
      </c>
      <c r="J406" s="17">
        <f>IFERROR(__xludf.DUMMYFUNCTION("AVERAGE(QUERY(SORT(GOOGLEFINANCE(B406,""price"",TODAY()-365,TODAY()),1,0),""select Col2 limit 30""))"),1195.8600000000001)</f>
        <v>1195.86</v>
      </c>
      <c r="K406" s="18">
        <f>IFERROR(__xludf.DUMMYFUNCTION("AVERAGE(QUERY(SORT(GOOGLEFINANCE(B406,""price"",TODAY()-365,TODAY()),1,0),""select Col2 limit 60""))"),1142.7266666666667)</f>
        <v>1142.726667</v>
      </c>
      <c r="L406" s="17">
        <f>IFERROR(__xludf.DUMMYFUNCTION("AVERAGE(QUERY(SORT(GOOGLEFINANCE(B406,""price"",TODAY()-365,TODAY()),1,0),""select Col2 limit 90""))"),1078.94)</f>
        <v>1078.94</v>
      </c>
      <c r="M406" s="17">
        <f>IFERROR(__xludf.DUMMYFUNCTION("AVERAGE(QUERY(SORT(GOOGLEFINANCE(B406,""price"",TODAY()-365,TODAY()),1,0),""select Col2 limit 120""))"),1044.758333333333)</f>
        <v>1044.758333</v>
      </c>
      <c r="N406" s="19">
        <f>IFERROR(__xludf.DUMMYFUNCTION("AVERAGE(QUERY(SORT(GOOGLEFINANCE(B406,""price"",TODAY()-365,TODAY()),1,0),""select Col2 limit 200""))"),1118.7684999999997)</f>
        <v>1118.7685</v>
      </c>
      <c r="O406" s="20" t="str">
        <f t="shared" si="2"/>
        <v>Avoid</v>
      </c>
      <c r="P406" s="21" t="str">
        <f t="shared" si="3"/>
        <v>60 DMA</v>
      </c>
      <c r="Q406" s="21" t="str">
        <f t="shared" si="4"/>
        <v/>
      </c>
      <c r="R406" s="22" t="str">
        <f>IFERROR(__xludf.DUMMYFUNCTION("GOOGLEFINANCE(B406, ""pe"")
"),"#N/A")</f>
        <v>#N/A</v>
      </c>
    </row>
    <row r="407">
      <c r="A407" s="9" t="s">
        <v>419</v>
      </c>
      <c r="B407" s="11" t="str">
        <f t="shared" si="1"/>
        <v>NSE:APLLTD</v>
      </c>
      <c r="C407" s="12">
        <f>IFERROR(__xludf.DUMMYFUNCTION("GOOGLEFINANCE(B407,""marketcap"")/10000000"),19686.8853106)</f>
        <v>19686.88531</v>
      </c>
      <c r="D407" s="13">
        <f>IFERROR(__xludf.DUMMYFUNCTION("GOOGLEFINANCE(B407,""price"")"),1001.0)</f>
        <v>1001</v>
      </c>
      <c r="E407" s="14">
        <f>IFERROR(__xludf.DUMMYFUNCTION("GOOGLEFINANCE(B407,""Volume"")"),106649.0)</f>
        <v>106649</v>
      </c>
      <c r="F407" s="14">
        <f t="array" ref="F407">F406</f>
        <v>14</v>
      </c>
      <c r="G407" s="15" t="str">
        <f>IFERROR(__xludf.DUMMYFUNCTION("IF(E407&gt;AVERAGE(INDEX(GOOGLEFINANCE(B407,""volume"",WORKDAY(TODAY(),-$F$1),TODAY()),,2)),""Breakout"","""")"),"")</f>
        <v/>
      </c>
      <c r="H407" s="16">
        <f>IFERROR(__xludf.DUMMYFUNCTION("GOOGLEFINANCE(B407,""price"")"),1001.0)</f>
        <v>1001</v>
      </c>
      <c r="I407" s="17">
        <f>IFERROR(__xludf.DUMMYFUNCTION("AVERAGE(QUERY(SORT(GOOGLEFINANCE(B407,""price"",TODAY()-365,TODAY()),1,0),""select Col2 limit 10""))"),1023.2)</f>
        <v>1023.2</v>
      </c>
      <c r="J407" s="17">
        <f>IFERROR(__xludf.DUMMYFUNCTION("AVERAGE(QUERY(SORT(GOOGLEFINANCE(B407,""price"",TODAY()-365,TODAY()),1,0),""select Col2 limit 30""))"),993.1833333333332)</f>
        <v>993.1833333</v>
      </c>
      <c r="K407" s="18">
        <f>IFERROR(__xludf.DUMMYFUNCTION("AVERAGE(QUERY(SORT(GOOGLEFINANCE(B407,""price"",TODAY()-365,TODAY()),1,0),""select Col2 limit 60""))"),976.0099999999999)</f>
        <v>976.01</v>
      </c>
      <c r="L407" s="17">
        <f>IFERROR(__xludf.DUMMYFUNCTION("AVERAGE(QUERY(SORT(GOOGLEFINANCE(B407,""price"",TODAY()-365,TODAY()),1,0),""select Col2 limit 90""))"),942.6727777777775)</f>
        <v>942.6727778</v>
      </c>
      <c r="M407" s="17">
        <f>IFERROR(__xludf.DUMMYFUNCTION("AVERAGE(QUERY(SORT(GOOGLEFINANCE(B407,""price"",TODAY()-365,TODAY()),1,0),""select Col2 limit 120""))"),915.6574999999997)</f>
        <v>915.6575</v>
      </c>
      <c r="N407" s="19">
        <f>IFERROR(__xludf.DUMMYFUNCTION("AVERAGE(QUERY(SORT(GOOGLEFINANCE(B407,""price"",TODAY()-365,TODAY()),1,0),""select Col2 limit 200""))"),980.1825000000003)</f>
        <v>980.1825</v>
      </c>
      <c r="O407" s="20" t="str">
        <f t="shared" si="2"/>
        <v>Avoid</v>
      </c>
      <c r="P407" s="21" t="str">
        <f t="shared" si="3"/>
        <v/>
      </c>
      <c r="Q407" s="21" t="str">
        <f t="shared" si="4"/>
        <v/>
      </c>
      <c r="R407" s="22">
        <f>IFERROR(__xludf.DUMMYFUNCTION("GOOGLEFINANCE(B407, ""pe"")
"),33.73)</f>
        <v>33.73</v>
      </c>
    </row>
    <row r="408">
      <c r="A408" s="9" t="s">
        <v>420</v>
      </c>
      <c r="B408" s="11" t="str">
        <f t="shared" si="1"/>
        <v>NSE:DEVYANI</v>
      </c>
      <c r="C408" s="12">
        <f>IFERROR(__xludf.DUMMYFUNCTION("GOOGLEFINANCE(B408,""marketcap"")/10000000"),20920.7550362)</f>
        <v>20920.75504</v>
      </c>
      <c r="D408" s="13">
        <f>IFERROR(__xludf.DUMMYFUNCTION("GOOGLEFINANCE(B408,""price"")"),169.77)</f>
        <v>169.77</v>
      </c>
      <c r="E408" s="14">
        <f>IFERROR(__xludf.DUMMYFUNCTION("GOOGLEFINANCE(B408,""Volume"")"),581240.0)</f>
        <v>581240</v>
      </c>
      <c r="F408" s="14">
        <f t="array" ref="F408">F407</f>
        <v>14</v>
      </c>
      <c r="G408" s="15" t="str">
        <f>IFERROR(__xludf.DUMMYFUNCTION("IF(E408&gt;AVERAGE(INDEX(GOOGLEFINANCE(B408,""volume"",WORKDAY(TODAY(),-$F$1),TODAY()),,2)),""Breakout"","""")"),"#N/A")</f>
        <v>#N/A</v>
      </c>
      <c r="H408" s="16">
        <f>IFERROR(__xludf.DUMMYFUNCTION("GOOGLEFINANCE(B408,""price"")"),169.77)</f>
        <v>169.77</v>
      </c>
      <c r="I408" s="17">
        <f>IFERROR(__xludf.DUMMYFUNCTION("AVERAGE(QUERY(SORT(GOOGLEFINANCE(B408,""price"",TODAY()-365,TODAY()),1,0),""select Col2 limit 10""))"),174.37100000000004)</f>
        <v>174.371</v>
      </c>
      <c r="J408" s="17">
        <f>IFERROR(__xludf.DUMMYFUNCTION("AVERAGE(QUERY(SORT(GOOGLEFINANCE(B408,""price"",TODAY()-365,TODAY()),1,0),""select Col2 limit 30""))"),171.23499999999999)</f>
        <v>171.235</v>
      </c>
      <c r="K408" s="18">
        <f>IFERROR(__xludf.DUMMYFUNCTION("AVERAGE(QUERY(SORT(GOOGLEFINANCE(B408,""price"",TODAY()-365,TODAY()),1,0),""select Col2 limit 60""))"),173.0676666666667)</f>
        <v>173.0676667</v>
      </c>
      <c r="L408" s="17">
        <f>IFERROR(__xludf.DUMMYFUNCTION("AVERAGE(QUERY(SORT(GOOGLEFINANCE(B408,""price"",TODAY()-365,TODAY()),1,0),""select Col2 limit 90""))"),168.43022222222223)</f>
        <v>168.4302222</v>
      </c>
      <c r="M408" s="17">
        <f>IFERROR(__xludf.DUMMYFUNCTION("AVERAGE(QUERY(SORT(GOOGLEFINANCE(B408,""price"",TODAY()-365,TODAY()),1,0),""select Col2 limit 120""))"),168.82633333333337)</f>
        <v>168.8263333</v>
      </c>
      <c r="N408" s="19">
        <f>IFERROR(__xludf.DUMMYFUNCTION("AVERAGE(QUERY(SORT(GOOGLEFINANCE(B408,""price"",TODAY()-365,TODAY()),1,0),""select Col2 limit 200""))"),171.10964999999996)</f>
        <v>171.10965</v>
      </c>
      <c r="O408" s="20" t="str">
        <f t="shared" si="2"/>
        <v>Avoid</v>
      </c>
      <c r="P408" s="21" t="str">
        <f t="shared" si="3"/>
        <v>30 DMA</v>
      </c>
      <c r="Q408" s="21" t="str">
        <f t="shared" si="4"/>
        <v/>
      </c>
      <c r="R408" s="22">
        <f>IFERROR(__xludf.DUMMYFUNCTION("GOOGLEFINANCE(B408, ""pe"")
"),2248.32)</f>
        <v>2248.32</v>
      </c>
    </row>
    <row r="409">
      <c r="A409" s="9" t="s">
        <v>421</v>
      </c>
      <c r="B409" s="11" t="str">
        <f t="shared" si="1"/>
        <v>NSE:ELGIEQUIP</v>
      </c>
      <c r="C409" s="12">
        <f>IFERROR(__xludf.DUMMYFUNCTION("GOOGLEFINANCE(B409,""marketcap"")/10000000"),17504.0811418)</f>
        <v>17504.08114</v>
      </c>
      <c r="D409" s="13">
        <f>IFERROR(__xludf.DUMMYFUNCTION("GOOGLEFINANCE(B409,""price"")"),554.4)</f>
        <v>554.4</v>
      </c>
      <c r="E409" s="14">
        <f>IFERROR(__xludf.DUMMYFUNCTION("GOOGLEFINANCE(B409,""Volume"")"),289856.0)</f>
        <v>289856</v>
      </c>
      <c r="F409" s="14">
        <f t="array" ref="F409">F408</f>
        <v>14</v>
      </c>
      <c r="G409" s="15" t="str">
        <f>IFERROR(__xludf.DUMMYFUNCTION("IF(E409&gt;AVERAGE(INDEX(GOOGLEFINANCE(B409,""volume"",WORKDAY(TODAY(),-$F$1),TODAY()),,2)),""Breakout"","""")"),"")</f>
        <v/>
      </c>
      <c r="H409" s="16">
        <f>IFERROR(__xludf.DUMMYFUNCTION("GOOGLEFINANCE(B409,""price"")"),554.4)</f>
        <v>554.4</v>
      </c>
      <c r="I409" s="17">
        <f>IFERROR(__xludf.DUMMYFUNCTION("AVERAGE(QUERY(SORT(GOOGLEFINANCE(B409,""price"",TODAY()-365,TODAY()),1,0),""select Col2 limit 10""))"),561.1)</f>
        <v>561.1</v>
      </c>
      <c r="J409" s="17">
        <f>IFERROR(__xludf.DUMMYFUNCTION("AVERAGE(QUERY(SORT(GOOGLEFINANCE(B409,""price"",TODAY()-365,TODAY()),1,0),""select Col2 limit 30""))"),542.51)</f>
        <v>542.51</v>
      </c>
      <c r="K409" s="18">
        <f>IFERROR(__xludf.DUMMYFUNCTION("AVERAGE(QUERY(SORT(GOOGLEFINANCE(B409,""price"",TODAY()-365,TODAY()),1,0),""select Col2 limit 60""))"),518.1475000000002)</f>
        <v>518.1475</v>
      </c>
      <c r="L409" s="17">
        <f>IFERROR(__xludf.DUMMYFUNCTION("AVERAGE(QUERY(SORT(GOOGLEFINANCE(B409,""price"",TODAY()-365,TODAY()),1,0),""select Col2 limit 90""))"),501.0066666666669)</f>
        <v>501.0066667</v>
      </c>
      <c r="M409" s="17">
        <f>IFERROR(__xludf.DUMMYFUNCTION("AVERAGE(QUERY(SORT(GOOGLEFINANCE(B409,""price"",TODAY()-365,TODAY()),1,0),""select Col2 limit 120""))"),497.4216666666667)</f>
        <v>497.4216667</v>
      </c>
      <c r="N409" s="19">
        <f>IFERROR(__xludf.DUMMYFUNCTION("AVERAGE(QUERY(SORT(GOOGLEFINANCE(B409,""price"",TODAY()-365,TODAY()),1,0),""select Col2 limit 200""))"),540.0714999999997)</f>
        <v>540.0715</v>
      </c>
      <c r="O409" s="20" t="str">
        <f t="shared" si="2"/>
        <v>Avoid</v>
      </c>
      <c r="P409" s="21" t="str">
        <f t="shared" si="3"/>
        <v/>
      </c>
      <c r="Q409" s="21" t="str">
        <f t="shared" si="4"/>
        <v/>
      </c>
      <c r="R409" s="22">
        <f>IFERROR(__xludf.DUMMYFUNCTION("GOOGLEFINANCE(B409, ""pe"")
"),50.02)</f>
        <v>50.02</v>
      </c>
    </row>
    <row r="410">
      <c r="A410" s="9" t="s">
        <v>422</v>
      </c>
      <c r="B410" s="11" t="str">
        <f t="shared" si="1"/>
        <v>NSE:SUVENPHAR</v>
      </c>
      <c r="C410" s="12" t="str">
        <f>IFERROR(__xludf.DUMMYFUNCTION("GOOGLEFINANCE(B410,""marketcap"")/10000000"),"#N/A")</f>
        <v>#N/A</v>
      </c>
      <c r="D410" s="13" t="str">
        <f>IFERROR(__xludf.DUMMYFUNCTION("GOOGLEFINANCE(B410,""price"")"),"#N/A")</f>
        <v>#N/A</v>
      </c>
      <c r="E410" s="14" t="str">
        <f>IFERROR(__xludf.DUMMYFUNCTION("GOOGLEFINANCE(B410,""Volume"")"),"#N/A")</f>
        <v>#N/A</v>
      </c>
      <c r="F410" s="14">
        <f t="array" ref="F410">F409</f>
        <v>14</v>
      </c>
      <c r="G410" s="15" t="str">
        <f>IFERROR(__xludf.DUMMYFUNCTION("IF(E410&gt;AVERAGE(INDEX(GOOGLEFINANCE(B410,""volume"",WORKDAY(TODAY(),-$F$1),TODAY()),,2)),""Breakout"","""")"),"#N/A")</f>
        <v>#N/A</v>
      </c>
      <c r="H410" s="16" t="str">
        <f>IFERROR(__xludf.DUMMYFUNCTION("GOOGLEFINANCE(B410,""price"")"),"#N/A")</f>
        <v>#N/A</v>
      </c>
      <c r="I410" s="17" t="str">
        <f>IFERROR(__xludf.DUMMYFUNCTION("AVERAGE(QUERY(SORT(GOOGLEFINANCE(B410,""price"",TODAY()-365,TODAY()),1,0),""select Col2 limit 10""))"),"#N/A")</f>
        <v>#N/A</v>
      </c>
      <c r="J410" s="17" t="str">
        <f>IFERROR(__xludf.DUMMYFUNCTION("AVERAGE(QUERY(SORT(GOOGLEFINANCE(B410,""price"",TODAY()-365,TODAY()),1,0),""select Col2 limit 30""))"),"#N/A")</f>
        <v>#N/A</v>
      </c>
      <c r="K410" s="18" t="str">
        <f>IFERROR(__xludf.DUMMYFUNCTION("AVERAGE(QUERY(SORT(GOOGLEFINANCE(B410,""price"",TODAY()-365,TODAY()),1,0),""select Col2 limit 60""))"),"#N/A")</f>
        <v>#N/A</v>
      </c>
      <c r="L410" s="17" t="str">
        <f>IFERROR(__xludf.DUMMYFUNCTION("AVERAGE(QUERY(SORT(GOOGLEFINANCE(B410,""price"",TODAY()-365,TODAY()),1,0),""select Col2 limit 90""))"),"#N/A")</f>
        <v>#N/A</v>
      </c>
      <c r="M410" s="17" t="str">
        <f>IFERROR(__xludf.DUMMYFUNCTION("AVERAGE(QUERY(SORT(GOOGLEFINANCE(B410,""price"",TODAY()-365,TODAY()),1,0),""select Col2 limit 120""))"),"#N/A")</f>
        <v>#N/A</v>
      </c>
      <c r="N410" s="19" t="str">
        <f>IFERROR(__xludf.DUMMYFUNCTION("AVERAGE(QUERY(SORT(GOOGLEFINANCE(B410,""price"",TODAY()-365,TODAY()),1,0),""select Col2 limit 200""))"),"#N/A")</f>
        <v>#N/A</v>
      </c>
      <c r="O410" s="20" t="str">
        <f t="shared" si="2"/>
        <v>#N/A</v>
      </c>
      <c r="P410" s="21" t="str">
        <f t="shared" si="3"/>
        <v>#N/A</v>
      </c>
      <c r="Q410" s="21" t="str">
        <f t="shared" si="4"/>
        <v>#N/A</v>
      </c>
      <c r="R410" s="22" t="str">
        <f>IFERROR(__xludf.DUMMYFUNCTION("GOOGLEFINANCE(B410, ""pe"")
"),"#N/A")</f>
        <v>#N/A</v>
      </c>
    </row>
    <row r="411">
      <c r="A411" s="9" t="s">
        <v>423</v>
      </c>
      <c r="B411" s="11" t="str">
        <f t="shared" si="1"/>
        <v>NSE:PEL</v>
      </c>
      <c r="C411" s="12">
        <f>IFERROR(__xludf.DUMMYFUNCTION("GOOGLEFINANCE(B411,""marketcap"")/10000000"),29696.984235)</f>
        <v>29696.98424</v>
      </c>
      <c r="D411" s="13">
        <f>IFERROR(__xludf.DUMMYFUNCTION("GOOGLEFINANCE(B411,""price"")"),1320.8)</f>
        <v>1320.8</v>
      </c>
      <c r="E411" s="14">
        <f>IFERROR(__xludf.DUMMYFUNCTION("GOOGLEFINANCE(B411,""Volume"")"),610664.0)</f>
        <v>610664</v>
      </c>
      <c r="F411" s="14">
        <f t="array" ref="F411">F410</f>
        <v>14</v>
      </c>
      <c r="G411" s="15" t="str">
        <f>IFERROR(__xludf.DUMMYFUNCTION("IF(E411&gt;AVERAGE(INDEX(GOOGLEFINANCE(B411,""volume"",WORKDAY(TODAY(),-$F$1),TODAY()),,2)),""Breakout"","""")"),"")</f>
        <v/>
      </c>
      <c r="H411" s="16">
        <f>IFERROR(__xludf.DUMMYFUNCTION("GOOGLEFINANCE(B411,""price"")"),1320.8)</f>
        <v>1320.8</v>
      </c>
      <c r="I411" s="17">
        <f>IFERROR(__xludf.DUMMYFUNCTION("AVERAGE(QUERY(SORT(GOOGLEFINANCE(B411,""price"",TODAY()-365,TODAY()),1,0),""select Col2 limit 10""))"),1307.8699999999997)</f>
        <v>1307.87</v>
      </c>
      <c r="J411" s="17">
        <f>IFERROR(__xludf.DUMMYFUNCTION("AVERAGE(QUERY(SORT(GOOGLEFINANCE(B411,""price"",TODAY()-365,TODAY()),1,0),""select Col2 limit 30""))"),1201.4966666666664)</f>
        <v>1201.496667</v>
      </c>
      <c r="K411" s="18">
        <f>IFERROR(__xludf.DUMMYFUNCTION("AVERAGE(QUERY(SORT(GOOGLEFINANCE(B411,""price"",TODAY()-365,TODAY()),1,0),""select Col2 limit 60""))"),1150.1899999999998)</f>
        <v>1150.19</v>
      </c>
      <c r="L411" s="17">
        <f>IFERROR(__xludf.DUMMYFUNCTION("AVERAGE(QUERY(SORT(GOOGLEFINANCE(B411,""price"",TODAY()-365,TODAY()),1,0),""select Col2 limit 90""))"),1094.5483333333336)</f>
        <v>1094.548333</v>
      </c>
      <c r="M411" s="17">
        <f>IFERROR(__xludf.DUMMYFUNCTION("AVERAGE(QUERY(SORT(GOOGLEFINANCE(B411,""price"",TODAY()-365,TODAY()),1,0),""select Col2 limit 120""))"),1058.4191666666673)</f>
        <v>1058.419167</v>
      </c>
      <c r="N411" s="19">
        <f>IFERROR(__xludf.DUMMYFUNCTION("AVERAGE(QUERY(SORT(GOOGLEFINANCE(B411,""price"",TODAY()-365,TODAY()),1,0),""select Col2 limit 200""))"),1070.1555)</f>
        <v>1070.1555</v>
      </c>
      <c r="O411" s="20" t="str">
        <f t="shared" si="2"/>
        <v>Avoid</v>
      </c>
      <c r="P411" s="21" t="str">
        <f t="shared" si="3"/>
        <v/>
      </c>
      <c r="Q411" s="21" t="str">
        <f t="shared" si="4"/>
        <v/>
      </c>
      <c r="R411" s="22">
        <f>IFERROR(__xludf.DUMMYFUNCTION("GOOGLEFINANCE(B411, ""pe"")
"),61.81)</f>
        <v>61.81</v>
      </c>
    </row>
    <row r="412">
      <c r="A412" s="9" t="s">
        <v>424</v>
      </c>
      <c r="B412" s="11" t="str">
        <f t="shared" si="1"/>
        <v>NSE:CELLO</v>
      </c>
      <c r="C412" s="12">
        <f>IFERROR(__xludf.DUMMYFUNCTION("GOOGLEFINANCE(B412,""marketcap"")/10000000"),13146.25212)</f>
        <v>13146.25212</v>
      </c>
      <c r="D412" s="13">
        <f>IFERROR(__xludf.DUMMYFUNCTION("GOOGLEFINANCE(B412,""price"")"),596.2)</f>
        <v>596.2</v>
      </c>
      <c r="E412" s="14">
        <f>IFERROR(__xludf.DUMMYFUNCTION("GOOGLEFINANCE(B412,""Volume"")"),77110.0)</f>
        <v>77110</v>
      </c>
      <c r="F412" s="14">
        <f t="array" ref="F412">F411</f>
        <v>14</v>
      </c>
      <c r="G412" s="15" t="str">
        <f>IFERROR(__xludf.DUMMYFUNCTION("IF(E412&gt;AVERAGE(INDEX(GOOGLEFINANCE(B412,""volume"",WORKDAY(TODAY(),-$F$1),TODAY()),,2)),""Breakout"","""")"),"")</f>
        <v/>
      </c>
      <c r="H412" s="16">
        <f>IFERROR(__xludf.DUMMYFUNCTION("GOOGLEFINANCE(B412,""price"")"),596.2)</f>
        <v>596.2</v>
      </c>
      <c r="I412" s="17">
        <f>IFERROR(__xludf.DUMMYFUNCTION("AVERAGE(QUERY(SORT(GOOGLEFINANCE(B412,""price"",TODAY()-365,TODAY()),1,0),""select Col2 limit 10""))"),617.8050000000001)</f>
        <v>617.805</v>
      </c>
      <c r="J412" s="17">
        <f>IFERROR(__xludf.DUMMYFUNCTION("AVERAGE(QUERY(SORT(GOOGLEFINANCE(B412,""price"",TODAY()-365,TODAY()),1,0),""select Col2 limit 30""))"),611.9216666666667)</f>
        <v>611.9216667</v>
      </c>
      <c r="K412" s="18">
        <f>IFERROR(__xludf.DUMMYFUNCTION("AVERAGE(QUERY(SORT(GOOGLEFINANCE(B412,""price"",TODAY()-365,TODAY()),1,0),""select Col2 limit 60""))"),605.3791666666667)</f>
        <v>605.3791667</v>
      </c>
      <c r="L412" s="17">
        <f>IFERROR(__xludf.DUMMYFUNCTION("AVERAGE(QUERY(SORT(GOOGLEFINANCE(B412,""price"",TODAY()-365,TODAY()),1,0),""select Col2 limit 90""))"),588.0077777777776)</f>
        <v>588.0077778</v>
      </c>
      <c r="M412" s="17">
        <f>IFERROR(__xludf.DUMMYFUNCTION("AVERAGE(QUERY(SORT(GOOGLEFINANCE(B412,""price"",TODAY()-365,TODAY()),1,0),""select Col2 limit 120""))"),590.0958333333333)</f>
        <v>590.0958333</v>
      </c>
      <c r="N412" s="19">
        <f>IFERROR(__xludf.DUMMYFUNCTION("AVERAGE(QUERY(SORT(GOOGLEFINANCE(B412,""price"",TODAY()-365,TODAY()),1,0),""select Col2 limit 200""))"),669.1657499999998)</f>
        <v>669.16575</v>
      </c>
      <c r="O412" s="20" t="str">
        <f t="shared" si="2"/>
        <v>Avoid</v>
      </c>
      <c r="P412" s="21" t="str">
        <f t="shared" si="3"/>
        <v/>
      </c>
      <c r="Q412" s="21" t="str">
        <f t="shared" si="4"/>
        <v/>
      </c>
      <c r="R412" s="22">
        <f>IFERROR(__xludf.DUMMYFUNCTION("GOOGLEFINANCE(B412, ""pe"")
"),38.51)</f>
        <v>38.51</v>
      </c>
    </row>
    <row r="413">
      <c r="A413" s="9" t="s">
        <v>425</v>
      </c>
      <c r="B413" s="11" t="str">
        <f t="shared" si="1"/>
        <v>NSE:SIGNATURE</v>
      </c>
      <c r="C413" s="12">
        <f>IFERROR(__xludf.DUMMYFUNCTION("GOOGLEFINANCE(B413,""marketcap"")/10000000"),16481.90511)</f>
        <v>16481.90511</v>
      </c>
      <c r="D413" s="13">
        <f>IFERROR(__xludf.DUMMYFUNCTION("GOOGLEFINANCE(B413,""price"")"),1175.1)</f>
        <v>1175.1</v>
      </c>
      <c r="E413" s="14">
        <f>IFERROR(__xludf.DUMMYFUNCTION("GOOGLEFINANCE(B413,""Volume"")"),174455.0)</f>
        <v>174455</v>
      </c>
      <c r="F413" s="14">
        <f t="array" ref="F413">F412</f>
        <v>14</v>
      </c>
      <c r="G413" s="15" t="str">
        <f>IFERROR(__xludf.DUMMYFUNCTION("IF(E413&gt;AVERAGE(INDEX(GOOGLEFINANCE(B413,""volume"",WORKDAY(TODAY(),-$F$1),TODAY()),,2)),""Breakout"","""")"),"")</f>
        <v/>
      </c>
      <c r="H413" s="16">
        <f>IFERROR(__xludf.DUMMYFUNCTION("GOOGLEFINANCE(B413,""price"")"),1175.1)</f>
        <v>1175.1</v>
      </c>
      <c r="I413" s="17">
        <f>IFERROR(__xludf.DUMMYFUNCTION("AVERAGE(QUERY(SORT(GOOGLEFINANCE(B413,""price"",TODAY()-365,TODAY()),1,0),""select Col2 limit 10""))"),1230.8600000000001)</f>
        <v>1230.86</v>
      </c>
      <c r="J413" s="17">
        <f>IFERROR(__xludf.DUMMYFUNCTION("AVERAGE(QUERY(SORT(GOOGLEFINANCE(B413,""price"",TODAY()-365,TODAY()),1,0),""select Col2 limit 30""))"),1245.1566666666668)</f>
        <v>1245.156667</v>
      </c>
      <c r="K413" s="18">
        <f>IFERROR(__xludf.DUMMYFUNCTION("AVERAGE(QUERY(SORT(GOOGLEFINANCE(B413,""price"",TODAY()-365,TODAY()),1,0),""select Col2 limit 60""))"),1230.7199999999998)</f>
        <v>1230.72</v>
      </c>
      <c r="L413" s="17">
        <f>IFERROR(__xludf.DUMMYFUNCTION("AVERAGE(QUERY(SORT(GOOGLEFINANCE(B413,""price"",TODAY()-365,TODAY()),1,0),""select Col2 limit 90""))"),1194.5072222222218)</f>
        <v>1194.507222</v>
      </c>
      <c r="M413" s="17">
        <f>IFERROR(__xludf.DUMMYFUNCTION("AVERAGE(QUERY(SORT(GOOGLEFINANCE(B413,""price"",TODAY()-365,TODAY()),1,0),""select Col2 limit 120""))"),1182.3870833333333)</f>
        <v>1182.387083</v>
      </c>
      <c r="N413" s="19">
        <f>IFERROR(__xludf.DUMMYFUNCTION("AVERAGE(QUERY(SORT(GOOGLEFINANCE(B413,""price"",TODAY()-365,TODAY()),1,0),""select Col2 limit 200""))"),1237.7047499999996)</f>
        <v>1237.70475</v>
      </c>
      <c r="O413" s="20" t="str">
        <f t="shared" si="2"/>
        <v>Avoid</v>
      </c>
      <c r="P413" s="21" t="str">
        <f t="shared" si="3"/>
        <v>120 DMA</v>
      </c>
      <c r="Q413" s="21" t="str">
        <f t="shared" si="4"/>
        <v/>
      </c>
      <c r="R413" s="22">
        <f>IFERROR(__xludf.DUMMYFUNCTION("GOOGLEFINANCE(B413, ""pe"")
"),163.42)</f>
        <v>163.42</v>
      </c>
    </row>
    <row r="414">
      <c r="A414" s="9" t="s">
        <v>426</v>
      </c>
      <c r="B414" s="11" t="str">
        <f t="shared" si="1"/>
        <v>NSE:CREDITACC</v>
      </c>
      <c r="C414" s="12">
        <f>IFERROR(__xludf.DUMMYFUNCTION("GOOGLEFINANCE(B414,""marketcap"")/10000000"),20677.65207)</f>
        <v>20677.65207</v>
      </c>
      <c r="D414" s="13">
        <f>IFERROR(__xludf.DUMMYFUNCTION("GOOGLEFINANCE(B414,""price"")"),1294.4)</f>
        <v>1294.4</v>
      </c>
      <c r="E414" s="14">
        <f>IFERROR(__xludf.DUMMYFUNCTION("GOOGLEFINANCE(B414,""Volume"")"),120841.0)</f>
        <v>120841</v>
      </c>
      <c r="F414" s="14">
        <f t="array" ref="F414">F413</f>
        <v>14</v>
      </c>
      <c r="G414" s="15" t="str">
        <f>IFERROR(__xludf.DUMMYFUNCTION("IF(E414&gt;AVERAGE(INDEX(GOOGLEFINANCE(B414,""volume"",WORKDAY(TODAY(),-$F$1),TODAY()),,2)),""Breakout"","""")"),"")</f>
        <v/>
      </c>
      <c r="H414" s="16">
        <f>IFERROR(__xludf.DUMMYFUNCTION("GOOGLEFINANCE(B414,""price"")"),1294.4)</f>
        <v>1294.4</v>
      </c>
      <c r="I414" s="17">
        <f>IFERROR(__xludf.DUMMYFUNCTION("AVERAGE(QUERY(SORT(GOOGLEFINANCE(B414,""price"",TODAY()-365,TODAY()),1,0),""select Col2 limit 10""))"),1308.01)</f>
        <v>1308.01</v>
      </c>
      <c r="J414" s="17">
        <f>IFERROR(__xludf.DUMMYFUNCTION("AVERAGE(QUERY(SORT(GOOGLEFINANCE(B414,""price"",TODAY()-365,TODAY()),1,0),""select Col2 limit 30""))"),1247.0966666666668)</f>
        <v>1247.096667</v>
      </c>
      <c r="K414" s="18">
        <f>IFERROR(__xludf.DUMMYFUNCTION("AVERAGE(QUERY(SORT(GOOGLEFINANCE(B414,""price"",TODAY()-365,TODAY()),1,0),""select Col2 limit 60""))"),1204.6)</f>
        <v>1204.6</v>
      </c>
      <c r="L414" s="17">
        <f>IFERROR(__xludf.DUMMYFUNCTION("AVERAGE(QUERY(SORT(GOOGLEFINANCE(B414,""price"",TODAY()-365,TODAY()),1,0),""select Col2 limit 90""))"),1147.762777777778)</f>
        <v>1147.762778</v>
      </c>
      <c r="M414" s="17">
        <f>IFERROR(__xludf.DUMMYFUNCTION("AVERAGE(QUERY(SORT(GOOGLEFINANCE(B414,""price"",TODAY()-365,TODAY()),1,0),""select Col2 limit 120""))"),1104.1754166666672)</f>
        <v>1104.175417</v>
      </c>
      <c r="N414" s="19">
        <f>IFERROR(__xludf.DUMMYFUNCTION("AVERAGE(QUERY(SORT(GOOGLEFINANCE(B414,""price"",TODAY()-365,TODAY()),1,0),""select Col2 limit 200""))"),1042.3270000000005)</f>
        <v>1042.327</v>
      </c>
      <c r="O414" s="20" t="str">
        <f t="shared" si="2"/>
        <v>Avoid</v>
      </c>
      <c r="P414" s="21" t="str">
        <f t="shared" si="3"/>
        <v/>
      </c>
      <c r="Q414" s="21" t="str">
        <f t="shared" si="4"/>
        <v/>
      </c>
      <c r="R414" s="22">
        <f>IFERROR(__xludf.DUMMYFUNCTION("GOOGLEFINANCE(B414, ""pe"")
"),107.09)</f>
        <v>107.09</v>
      </c>
    </row>
    <row r="415">
      <c r="A415" s="9" t="s">
        <v>427</v>
      </c>
      <c r="B415" s="11" t="str">
        <f t="shared" si="1"/>
        <v>NSE:RELAXO</v>
      </c>
      <c r="C415" s="12">
        <f>IFERROR(__xludf.DUMMYFUNCTION("GOOGLEFINANCE(B415,""marketcap"")/10000000"),12038.4011411)</f>
        <v>12038.40114</v>
      </c>
      <c r="D415" s="13">
        <f>IFERROR(__xludf.DUMMYFUNCTION("GOOGLEFINANCE(B415,""price"")"),483.75)</f>
        <v>483.75</v>
      </c>
      <c r="E415" s="14">
        <f>IFERROR(__xludf.DUMMYFUNCTION("GOOGLEFINANCE(B415,""Volume"")"),92163.0)</f>
        <v>92163</v>
      </c>
      <c r="F415" s="14">
        <f t="array" ref="F415">F414</f>
        <v>14</v>
      </c>
      <c r="G415" s="15" t="str">
        <f>IFERROR(__xludf.DUMMYFUNCTION("IF(E415&gt;AVERAGE(INDEX(GOOGLEFINANCE(B415,""volume"",WORKDAY(TODAY(),-$F$1),TODAY()),,2)),""Breakout"","""")"),"")</f>
        <v/>
      </c>
      <c r="H415" s="16">
        <f>IFERROR(__xludf.DUMMYFUNCTION("GOOGLEFINANCE(B415,""price"")"),483.75)</f>
        <v>483.75</v>
      </c>
      <c r="I415" s="17">
        <f>IFERROR(__xludf.DUMMYFUNCTION("AVERAGE(QUERY(SORT(GOOGLEFINANCE(B415,""price"",TODAY()-365,TODAY()),1,0),""select Col2 limit 10""))"),497.30999999999995)</f>
        <v>497.31</v>
      </c>
      <c r="J415" s="17">
        <f>IFERROR(__xludf.DUMMYFUNCTION("AVERAGE(QUERY(SORT(GOOGLEFINANCE(B415,""price"",TODAY()-365,TODAY()),1,0),""select Col2 limit 30""))"),462.52833333333336)</f>
        <v>462.5283333</v>
      </c>
      <c r="K415" s="18">
        <f>IFERROR(__xludf.DUMMYFUNCTION("AVERAGE(QUERY(SORT(GOOGLEFINANCE(B415,""price"",TODAY()-365,TODAY()),1,0),""select Col2 limit 60""))"),447.0025)</f>
        <v>447.0025</v>
      </c>
      <c r="L415" s="17">
        <f>IFERROR(__xludf.DUMMYFUNCTION("AVERAGE(QUERY(SORT(GOOGLEFINANCE(B415,""price"",TODAY()-365,TODAY()),1,0),""select Col2 limit 90""))"),437.1383333333332)</f>
        <v>437.1383333</v>
      </c>
      <c r="M415" s="17">
        <f>IFERROR(__xludf.DUMMYFUNCTION("AVERAGE(QUERY(SORT(GOOGLEFINANCE(B415,""price"",TODAY()-365,TODAY()),1,0),""select Col2 limit 120""))"),444.9012499999999)</f>
        <v>444.90125</v>
      </c>
      <c r="N415" s="19">
        <f>IFERROR(__xludf.DUMMYFUNCTION("AVERAGE(QUERY(SORT(GOOGLEFINANCE(B415,""price"",TODAY()-365,TODAY()),1,0),""select Col2 limit 200""))"),536.7325)</f>
        <v>536.7325</v>
      </c>
      <c r="O415" s="20" t="str">
        <f t="shared" si="2"/>
        <v>Avoid</v>
      </c>
      <c r="P415" s="21" t="str">
        <f t="shared" si="3"/>
        <v/>
      </c>
      <c r="Q415" s="21" t="str">
        <f t="shared" si="4"/>
        <v/>
      </c>
      <c r="R415" s="22">
        <f>IFERROR(__xludf.DUMMYFUNCTION("GOOGLEFINANCE(B415, ""pe"")
"),70.72)</f>
        <v>70.72</v>
      </c>
    </row>
    <row r="416">
      <c r="A416" s="9" t="s">
        <v>428</v>
      </c>
      <c r="B416" s="11" t="str">
        <f t="shared" si="1"/>
        <v>NSE:ATUL</v>
      </c>
      <c r="C416" s="12">
        <f>IFERROR(__xludf.DUMMYFUNCTION("GOOGLEFINANCE(B416,""marketcap"")/10000000"),19515.4639875)</f>
        <v>19515.46399</v>
      </c>
      <c r="D416" s="13">
        <f>IFERROR(__xludf.DUMMYFUNCTION("GOOGLEFINANCE(B416,""price"")"),6633.5)</f>
        <v>6633.5</v>
      </c>
      <c r="E416" s="14">
        <f>IFERROR(__xludf.DUMMYFUNCTION("GOOGLEFINANCE(B416,""Volume"")"),17883.0)</f>
        <v>17883</v>
      </c>
      <c r="F416" s="14">
        <f t="array" ref="F416">F415</f>
        <v>14</v>
      </c>
      <c r="G416" s="15" t="str">
        <f>IFERROR(__xludf.DUMMYFUNCTION("IF(E416&gt;AVERAGE(INDEX(GOOGLEFINANCE(B416,""volume"",WORKDAY(TODAY(),-$F$1),TODAY()),,2)),""Breakout"","""")"),"")</f>
        <v/>
      </c>
      <c r="H416" s="16">
        <f>IFERROR(__xludf.DUMMYFUNCTION("GOOGLEFINANCE(B416,""price"")"),6633.5)</f>
        <v>6633.5</v>
      </c>
      <c r="I416" s="17">
        <f>IFERROR(__xludf.DUMMYFUNCTION("AVERAGE(QUERY(SORT(GOOGLEFINANCE(B416,""price"",TODAY()-365,TODAY()),1,0),""select Col2 limit 10""))"),7018.7)</f>
        <v>7018.7</v>
      </c>
      <c r="J416" s="17">
        <f>IFERROR(__xludf.DUMMYFUNCTION("AVERAGE(QUERY(SORT(GOOGLEFINANCE(B416,""price"",TODAY()-365,TODAY()),1,0),""select Col2 limit 30""))"),7228.966666666666)</f>
        <v>7228.966667</v>
      </c>
      <c r="K416" s="18">
        <f>IFERROR(__xludf.DUMMYFUNCTION("AVERAGE(QUERY(SORT(GOOGLEFINANCE(B416,""price"",TODAY()-365,TODAY()),1,0),""select Col2 limit 60""))"),7129.208333333333)</f>
        <v>7129.208333</v>
      </c>
      <c r="L416" s="17">
        <f>IFERROR(__xludf.DUMMYFUNCTION("AVERAGE(QUERY(SORT(GOOGLEFINANCE(B416,""price"",TODAY()-365,TODAY()),1,0),""select Col2 limit 90""))"),6715.9911111111105)</f>
        <v>6715.991111</v>
      </c>
      <c r="M416" s="17">
        <f>IFERROR(__xludf.DUMMYFUNCTION("AVERAGE(QUERY(SORT(GOOGLEFINANCE(B416,""price"",TODAY()-365,TODAY()),1,0),""select Col2 limit 120""))"),6469.8933333333325)</f>
        <v>6469.893333</v>
      </c>
      <c r="N416" s="19">
        <f>IFERROR(__xludf.DUMMYFUNCTION("AVERAGE(QUERY(SORT(GOOGLEFINANCE(B416,""price"",TODAY()-365,TODAY()),1,0),""select Col2 limit 200""))"),6801.23275)</f>
        <v>6801.23275</v>
      </c>
      <c r="O416" s="20" t="str">
        <f t="shared" si="2"/>
        <v>Avoid</v>
      </c>
      <c r="P416" s="21" t="str">
        <f t="shared" si="3"/>
        <v/>
      </c>
      <c r="Q416" s="21" t="str">
        <f t="shared" si="4"/>
        <v/>
      </c>
      <c r="R416" s="22">
        <f>IFERROR(__xludf.DUMMYFUNCTION("GOOGLEFINANCE(B416, ""pe"")
"),39.06)</f>
        <v>39.06</v>
      </c>
    </row>
    <row r="417">
      <c r="A417" s="9" t="s">
        <v>429</v>
      </c>
      <c r="B417" s="11" t="str">
        <f t="shared" si="1"/>
        <v>NSE:CAMS</v>
      </c>
      <c r="C417" s="12">
        <f>IFERROR(__xludf.DUMMYFUNCTION("GOOGLEFINANCE(B417,""marketcap"")/10000000"),19430.218809)</f>
        <v>19430.21881</v>
      </c>
      <c r="D417" s="13">
        <f>IFERROR(__xludf.DUMMYFUNCTION("GOOGLEFINANCE(B417,""price"")"),3927.1)</f>
        <v>3927.1</v>
      </c>
      <c r="E417" s="14">
        <f>IFERROR(__xludf.DUMMYFUNCTION("GOOGLEFINANCE(B417,""Volume"")"),230214.0)</f>
        <v>230214</v>
      </c>
      <c r="F417" s="14">
        <f t="array" ref="F417">F416</f>
        <v>14</v>
      </c>
      <c r="G417" s="15" t="str">
        <f>IFERROR(__xludf.DUMMYFUNCTION("IF(E417&gt;AVERAGE(INDEX(GOOGLEFINANCE(B417,""volume"",WORKDAY(TODAY(),-$F$1),TODAY()),,2)),""Breakout"","""")"),"")</f>
        <v/>
      </c>
      <c r="H417" s="16">
        <f>IFERROR(__xludf.DUMMYFUNCTION("GOOGLEFINANCE(B417,""price"")"),3927.1)</f>
        <v>3927.1</v>
      </c>
      <c r="I417" s="17">
        <f>IFERROR(__xludf.DUMMYFUNCTION("AVERAGE(QUERY(SORT(GOOGLEFINANCE(B417,""price"",TODAY()-365,TODAY()),1,0),""select Col2 limit 10""))"),4200.24)</f>
        <v>4200.24</v>
      </c>
      <c r="J417" s="17">
        <f>IFERROR(__xludf.DUMMYFUNCTION("AVERAGE(QUERY(SORT(GOOGLEFINANCE(B417,""price"",TODAY()-365,TODAY()),1,0),""select Col2 limit 30""))"),4191.9333333333325)</f>
        <v>4191.933333</v>
      </c>
      <c r="K417" s="18">
        <f>IFERROR(__xludf.DUMMYFUNCTION("AVERAGE(QUERY(SORT(GOOGLEFINANCE(B417,""price"",TODAY()-365,TODAY()),1,0),""select Col2 limit 60""))"),4060.0800000000004)</f>
        <v>4060.08</v>
      </c>
      <c r="L417" s="17">
        <f>IFERROR(__xludf.DUMMYFUNCTION("AVERAGE(QUERY(SORT(GOOGLEFINANCE(B417,""price"",TODAY()-365,TODAY()),1,0),""select Col2 limit 90""))"),3969.5516666666667)</f>
        <v>3969.551667</v>
      </c>
      <c r="M417" s="17">
        <f>IFERROR(__xludf.DUMMYFUNCTION("AVERAGE(QUERY(SORT(GOOGLEFINANCE(B417,""price"",TODAY()-365,TODAY()),1,0),""select Col2 limit 120""))"),3832.35875)</f>
        <v>3832.35875</v>
      </c>
      <c r="N417" s="19">
        <f>IFERROR(__xludf.DUMMYFUNCTION("AVERAGE(QUERY(SORT(GOOGLEFINANCE(B417,""price"",TODAY()-365,TODAY()),1,0),""select Col2 limit 200""))"),4171.205499999999)</f>
        <v>4171.2055</v>
      </c>
      <c r="O417" s="20" t="str">
        <f t="shared" si="2"/>
        <v>Avoid</v>
      </c>
      <c r="P417" s="21" t="str">
        <f t="shared" si="3"/>
        <v/>
      </c>
      <c r="Q417" s="21" t="str">
        <f t="shared" si="4"/>
        <v/>
      </c>
      <c r="R417" s="22">
        <f>IFERROR(__xludf.DUMMYFUNCTION("GOOGLEFINANCE(B417, ""pe"")
"),41.32)</f>
        <v>41.32</v>
      </c>
    </row>
    <row r="418">
      <c r="A418" s="9" t="s">
        <v>430</v>
      </c>
      <c r="B418" s="11" t="str">
        <f t="shared" si="1"/>
        <v>NSE:PNBHOUSING</v>
      </c>
      <c r="C418" s="12">
        <f>IFERROR(__xludf.DUMMYFUNCTION("GOOGLEFINANCE(B418,""marketcap"")/10000000"),26723.5568171)</f>
        <v>26723.55682</v>
      </c>
      <c r="D418" s="13">
        <f>IFERROR(__xludf.DUMMYFUNCTION("GOOGLEFINANCE(B418,""price"")"),1026.9)</f>
        <v>1026.9</v>
      </c>
      <c r="E418" s="14">
        <f>IFERROR(__xludf.DUMMYFUNCTION("GOOGLEFINANCE(B418,""Volume"")"),702027.0)</f>
        <v>702027</v>
      </c>
      <c r="F418" s="14">
        <f t="array" ref="F418">F417</f>
        <v>14</v>
      </c>
      <c r="G418" s="15" t="str">
        <f>IFERROR(__xludf.DUMMYFUNCTION("IF(E418&gt;AVERAGE(INDEX(GOOGLEFINANCE(B418,""volume"",WORKDAY(TODAY(),-$F$1),TODAY()),,2)),""Breakout"","""")"),"")</f>
        <v/>
      </c>
      <c r="H418" s="16">
        <f>IFERROR(__xludf.DUMMYFUNCTION("GOOGLEFINANCE(B418,""price"")"),1026.9)</f>
        <v>1026.9</v>
      </c>
      <c r="I418" s="17">
        <f>IFERROR(__xludf.DUMMYFUNCTION("AVERAGE(QUERY(SORT(GOOGLEFINANCE(B418,""price"",TODAY()-365,TODAY()),1,0),""select Col2 limit 10""))"),1076.35)</f>
        <v>1076.35</v>
      </c>
      <c r="J418" s="17">
        <f>IFERROR(__xludf.DUMMYFUNCTION("AVERAGE(QUERY(SORT(GOOGLEFINANCE(B418,""price"",TODAY()-365,TODAY()),1,0),""select Col2 limit 30""))"),1078.6399999999999)</f>
        <v>1078.64</v>
      </c>
      <c r="K418" s="18">
        <f>IFERROR(__xludf.DUMMYFUNCTION("AVERAGE(QUERY(SORT(GOOGLEFINANCE(B418,""price"",TODAY()-365,TODAY()),1,0),""select Col2 limit 60""))"),1071.44)</f>
        <v>1071.44</v>
      </c>
      <c r="L418" s="17">
        <f>IFERROR(__xludf.DUMMYFUNCTION("AVERAGE(QUERY(SORT(GOOGLEFINANCE(B418,""price"",TODAY()-365,TODAY()),1,0),""select Col2 limit 90""))"),1024.6149999999998)</f>
        <v>1024.615</v>
      </c>
      <c r="M418" s="17">
        <f>IFERROR(__xludf.DUMMYFUNCTION("AVERAGE(QUERY(SORT(GOOGLEFINANCE(B418,""price"",TODAY()-365,TODAY()),1,0),""select Col2 limit 120""))"),974.2658333333329)</f>
        <v>974.2658333</v>
      </c>
      <c r="N418" s="19">
        <f>IFERROR(__xludf.DUMMYFUNCTION("AVERAGE(QUERY(SORT(GOOGLEFINANCE(B418,""price"",TODAY()-365,TODAY()),1,0),""select Col2 limit 200""))"),948.05625)</f>
        <v>948.05625</v>
      </c>
      <c r="O418" s="20" t="str">
        <f t="shared" si="2"/>
        <v>Avoid</v>
      </c>
      <c r="P418" s="21" t="str">
        <f t="shared" si="3"/>
        <v/>
      </c>
      <c r="Q418" s="21" t="str">
        <f t="shared" si="4"/>
        <v/>
      </c>
      <c r="R418" s="22">
        <f>IFERROR(__xludf.DUMMYFUNCTION("GOOGLEFINANCE(B418, ""pe"")
"),13.15)</f>
        <v>13.15</v>
      </c>
    </row>
    <row r="419">
      <c r="A419" s="9" t="s">
        <v>431</v>
      </c>
      <c r="B419" s="11" t="str">
        <f t="shared" si="1"/>
        <v>NSE:CYIENT</v>
      </c>
      <c r="C419" s="12">
        <f>IFERROR(__xludf.DUMMYFUNCTION("GOOGLEFINANCE(B419,""marketcap"")/10000000"),13518.784478)</f>
        <v>13518.78448</v>
      </c>
      <c r="D419" s="13">
        <f>IFERROR(__xludf.DUMMYFUNCTION("GOOGLEFINANCE(B419,""price"")"),1226.9)</f>
        <v>1226.9</v>
      </c>
      <c r="E419" s="14">
        <f>IFERROR(__xludf.DUMMYFUNCTION("GOOGLEFINANCE(B419,""Volume"")"),418978.0)</f>
        <v>418978</v>
      </c>
      <c r="F419" s="14">
        <f t="array" ref="F419">F418</f>
        <v>14</v>
      </c>
      <c r="G419" s="15" t="str">
        <f>IFERROR(__xludf.DUMMYFUNCTION("IF(E419&gt;AVERAGE(INDEX(GOOGLEFINANCE(B419,""volume"",WORKDAY(TODAY(),-$F$1),TODAY()),,2)),""Breakout"","""")"),"")</f>
        <v/>
      </c>
      <c r="H419" s="16">
        <f>IFERROR(__xludf.DUMMYFUNCTION("GOOGLEFINANCE(B419,""price"")"),1226.9)</f>
        <v>1226.9</v>
      </c>
      <c r="I419" s="17">
        <f>IFERROR(__xludf.DUMMYFUNCTION("AVERAGE(QUERY(SORT(GOOGLEFINANCE(B419,""price"",TODAY()-365,TODAY()),1,0),""select Col2 limit 10""))"),1279.7599999999998)</f>
        <v>1279.76</v>
      </c>
      <c r="J419" s="17">
        <f>IFERROR(__xludf.DUMMYFUNCTION("AVERAGE(QUERY(SORT(GOOGLEFINANCE(B419,""price"",TODAY()-365,TODAY()),1,0),""select Col2 limit 30""))"),1294.2099999999996)</f>
        <v>1294.21</v>
      </c>
      <c r="K419" s="18">
        <f>IFERROR(__xludf.DUMMYFUNCTION("AVERAGE(QUERY(SORT(GOOGLEFINANCE(B419,""price"",TODAY()-365,TODAY()),1,0),""select Col2 limit 60""))"),1295.0733333333326)</f>
        <v>1295.073333</v>
      </c>
      <c r="L419" s="17">
        <f>IFERROR(__xludf.DUMMYFUNCTION("AVERAGE(QUERY(SORT(GOOGLEFINANCE(B419,""price"",TODAY()-365,TODAY()),1,0),""select Col2 limit 90""))"),1269.9011111111104)</f>
        <v>1269.901111</v>
      </c>
      <c r="M419" s="17">
        <f>IFERROR(__xludf.DUMMYFUNCTION("AVERAGE(QUERY(SORT(GOOGLEFINANCE(B419,""price"",TODAY()-365,TODAY()),1,0),""select Col2 limit 120""))"),1295.0012499999996)</f>
        <v>1295.00125</v>
      </c>
      <c r="N419" s="19">
        <f>IFERROR(__xludf.DUMMYFUNCTION("AVERAGE(QUERY(SORT(GOOGLEFINANCE(B419,""price"",TODAY()-365,TODAY()),1,0),""select Col2 limit 200""))"),1508.458249999999)</f>
        <v>1508.45825</v>
      </c>
      <c r="O419" s="20" t="str">
        <f t="shared" si="2"/>
        <v>Avoid</v>
      </c>
      <c r="P419" s="21" t="str">
        <f t="shared" si="3"/>
        <v/>
      </c>
      <c r="Q419" s="21" t="str">
        <f t="shared" si="4"/>
        <v/>
      </c>
      <c r="R419" s="22">
        <f>IFERROR(__xludf.DUMMYFUNCTION("GOOGLEFINANCE(B419, ""pe"")
"),21.86)</f>
        <v>21.86</v>
      </c>
    </row>
    <row r="420">
      <c r="A420" s="9" t="s">
        <v>432</v>
      </c>
      <c r="B420" s="11" t="str">
        <f t="shared" si="1"/>
        <v>NSE:VINATIORGA</v>
      </c>
      <c r="C420" s="12">
        <f>IFERROR(__xludf.DUMMYFUNCTION("GOOGLEFINANCE(B420,""marketcap"")/10000000"),19178.136)</f>
        <v>19178.136</v>
      </c>
      <c r="D420" s="13">
        <f>IFERROR(__xludf.DUMMYFUNCTION("GOOGLEFINANCE(B420,""price"")"),1850.0)</f>
        <v>1850</v>
      </c>
      <c r="E420" s="14">
        <f>IFERROR(__xludf.DUMMYFUNCTION("GOOGLEFINANCE(B420,""Volume"")"),20988.0)</f>
        <v>20988</v>
      </c>
      <c r="F420" s="14">
        <f t="array" ref="F420">F419</f>
        <v>14</v>
      </c>
      <c r="G420" s="15" t="str">
        <f>IFERROR(__xludf.DUMMYFUNCTION("IF(E420&gt;AVERAGE(INDEX(GOOGLEFINANCE(B420,""volume"",WORKDAY(TODAY(),-$F$1),TODAY()),,2)),""Breakout"","""")"),"")</f>
        <v/>
      </c>
      <c r="H420" s="16">
        <f>IFERROR(__xludf.DUMMYFUNCTION("GOOGLEFINANCE(B420,""price"")"),1850.0)</f>
        <v>1850</v>
      </c>
      <c r="I420" s="17">
        <f>IFERROR(__xludf.DUMMYFUNCTION("AVERAGE(QUERY(SORT(GOOGLEFINANCE(B420,""price"",TODAY()-365,TODAY()),1,0),""select Col2 limit 10""))"),1946.4300000000003)</f>
        <v>1946.43</v>
      </c>
      <c r="J420" s="17">
        <f>IFERROR(__xludf.DUMMYFUNCTION("AVERAGE(QUERY(SORT(GOOGLEFINANCE(B420,""price"",TODAY()-365,TODAY()),1,0),""select Col2 limit 30""))"),1947.6533333333332)</f>
        <v>1947.653333</v>
      </c>
      <c r="K420" s="18">
        <f>IFERROR(__xludf.DUMMYFUNCTION("AVERAGE(QUERY(SORT(GOOGLEFINANCE(B420,""price"",TODAY()-365,TODAY()),1,0),""select Col2 limit 60""))"),1871.3750000000002)</f>
        <v>1871.375</v>
      </c>
      <c r="L420" s="17">
        <f>IFERROR(__xludf.DUMMYFUNCTION("AVERAGE(QUERY(SORT(GOOGLEFINANCE(B420,""price"",TODAY()-365,TODAY()),1,0),""select Col2 limit 90""))"),1779.287777777778)</f>
        <v>1779.287778</v>
      </c>
      <c r="M420" s="17">
        <f>IFERROR(__xludf.DUMMYFUNCTION("AVERAGE(QUERY(SORT(GOOGLEFINANCE(B420,""price"",TODAY()-365,TODAY()),1,0),""select Col2 limit 120""))"),1740.4141666666676)</f>
        <v>1740.414167</v>
      </c>
      <c r="N420" s="19">
        <f>IFERROR(__xludf.DUMMYFUNCTION("AVERAGE(QUERY(SORT(GOOGLEFINANCE(B420,""price"",TODAY()-365,TODAY()),1,0),""select Col2 limit 200""))"),1776.4342500000002)</f>
        <v>1776.43425</v>
      </c>
      <c r="O420" s="20" t="str">
        <f t="shared" si="2"/>
        <v>Avoid</v>
      </c>
      <c r="P420" s="21" t="str">
        <f t="shared" si="3"/>
        <v/>
      </c>
      <c r="Q420" s="21" t="str">
        <f t="shared" si="4"/>
        <v/>
      </c>
      <c r="R420" s="22">
        <f>IFERROR(__xludf.DUMMYFUNCTION("GOOGLEFINANCE(B420, ""pe"")
"),47.33)</f>
        <v>47.33</v>
      </c>
    </row>
    <row r="421">
      <c r="A421" s="9" t="s">
        <v>433</v>
      </c>
      <c r="B421" s="11" t="str">
        <f t="shared" si="1"/>
        <v>NSE:BLUEDART</v>
      </c>
      <c r="C421" s="12">
        <f>IFERROR(__xludf.DUMMYFUNCTION("GOOGLEFINANCE(B421,""marketcap"")/10000000"),15571.4475)</f>
        <v>15571.4475</v>
      </c>
      <c r="D421" s="13">
        <f>IFERROR(__xludf.DUMMYFUNCTION("GOOGLEFINANCE(B421,""price"")"),6567.5)</f>
        <v>6567.5</v>
      </c>
      <c r="E421" s="14">
        <f>IFERROR(__xludf.DUMMYFUNCTION("GOOGLEFINANCE(B421,""Volume"")"),6720.0)</f>
        <v>6720</v>
      </c>
      <c r="F421" s="14">
        <f t="array" ref="F421">F420</f>
        <v>14</v>
      </c>
      <c r="G421" s="15" t="str">
        <f>IFERROR(__xludf.DUMMYFUNCTION("IF(E421&gt;AVERAGE(INDEX(GOOGLEFINANCE(B421,""volume"",WORKDAY(TODAY(),-$F$1),TODAY()),,2)),""Breakout"","""")"),"")</f>
        <v/>
      </c>
      <c r="H421" s="16">
        <f>IFERROR(__xludf.DUMMYFUNCTION("GOOGLEFINANCE(B421,""price"")"),6567.5)</f>
        <v>6567.5</v>
      </c>
      <c r="I421" s="17">
        <f>IFERROR(__xludf.DUMMYFUNCTION("AVERAGE(QUERY(SORT(GOOGLEFINANCE(B421,""price"",TODAY()-365,TODAY()),1,0),""select Col2 limit 10""))"),6845.05)</f>
        <v>6845.05</v>
      </c>
      <c r="J421" s="17">
        <f>IFERROR(__xludf.DUMMYFUNCTION("AVERAGE(QUERY(SORT(GOOGLEFINANCE(B421,""price"",TODAY()-365,TODAY()),1,0),""select Col2 limit 30""))"),6602.333333333333)</f>
        <v>6602.333333</v>
      </c>
      <c r="K421" s="18">
        <f>IFERROR(__xludf.DUMMYFUNCTION("AVERAGE(QUERY(SORT(GOOGLEFINANCE(B421,""price"",TODAY()-365,TODAY()),1,0),""select Col2 limit 60""))"),6648.758333333333)</f>
        <v>6648.758333</v>
      </c>
      <c r="L421" s="17">
        <f>IFERROR(__xludf.DUMMYFUNCTION("AVERAGE(QUERY(SORT(GOOGLEFINANCE(B421,""price"",TODAY()-365,TODAY()),1,0),""select Col2 limit 90""))"),6500.799444444444)</f>
        <v>6500.799444</v>
      </c>
      <c r="M421" s="17">
        <f>IFERROR(__xludf.DUMMYFUNCTION("AVERAGE(QUERY(SORT(GOOGLEFINANCE(B421,""price"",TODAY()-365,TODAY()),1,0),""select Col2 limit 120""))"),6415.554583333332)</f>
        <v>6415.554583</v>
      </c>
      <c r="N421" s="19">
        <f>IFERROR(__xludf.DUMMYFUNCTION("AVERAGE(QUERY(SORT(GOOGLEFINANCE(B421,""price"",TODAY()-365,TODAY()),1,0),""select Col2 limit 200""))"),6829.3802499999965)</f>
        <v>6829.38025</v>
      </c>
      <c r="O421" s="20" t="str">
        <f t="shared" si="2"/>
        <v>Avoid</v>
      </c>
      <c r="P421" s="21" t="str">
        <f t="shared" si="3"/>
        <v>30 DMA</v>
      </c>
      <c r="Q421" s="21" t="str">
        <f t="shared" si="4"/>
        <v/>
      </c>
      <c r="R421" s="22">
        <f>IFERROR(__xludf.DUMMYFUNCTION("GOOGLEFINANCE(B421, ""pe"")
"),61.74)</f>
        <v>61.74</v>
      </c>
    </row>
    <row r="422">
      <c r="A422" s="9" t="s">
        <v>434</v>
      </c>
      <c r="B422" s="11" t="str">
        <f t="shared" si="1"/>
        <v>NSE:INOXWIND</v>
      </c>
      <c r="C422" s="12">
        <f>IFERROR(__xludf.DUMMYFUNCTION("GOOGLEFINANCE(B422,""marketcap"")/10000000"),20570.0972621)</f>
        <v>20570.09726</v>
      </c>
      <c r="D422" s="13">
        <f>IFERROR(__xludf.DUMMYFUNCTION("GOOGLEFINANCE(B422,""price"")"),158.09)</f>
        <v>158.09</v>
      </c>
      <c r="E422" s="14">
        <f>IFERROR(__xludf.DUMMYFUNCTION("GOOGLEFINANCE(B422,""Volume"")"),4689068.0)</f>
        <v>4689068</v>
      </c>
      <c r="F422" s="14">
        <f t="array" ref="F422">F421</f>
        <v>14</v>
      </c>
      <c r="G422" s="15" t="str">
        <f>IFERROR(__xludf.DUMMYFUNCTION("IF(E422&gt;AVERAGE(INDEX(GOOGLEFINANCE(B422,""volume"",WORKDAY(TODAY(),-$F$1),TODAY()),,2)),""Breakout"","""")"),"#N/A")</f>
        <v>#N/A</v>
      </c>
      <c r="H422" s="16">
        <f>IFERROR(__xludf.DUMMYFUNCTION("GOOGLEFINANCE(B422,""price"")"),158.09)</f>
        <v>158.09</v>
      </c>
      <c r="I422" s="17">
        <f>IFERROR(__xludf.DUMMYFUNCTION("AVERAGE(QUERY(SORT(GOOGLEFINANCE(B422,""price"",TODAY()-365,TODAY()),1,0),""select Col2 limit 10""))"),165.793)</f>
        <v>165.793</v>
      </c>
      <c r="J422" s="17">
        <f>IFERROR(__xludf.DUMMYFUNCTION("AVERAGE(QUERY(SORT(GOOGLEFINANCE(B422,""price"",TODAY()-365,TODAY()),1,0),""select Col2 limit 30""))"),171.38400000000001)</f>
        <v>171.384</v>
      </c>
      <c r="K422" s="18">
        <f>IFERROR(__xludf.DUMMYFUNCTION("AVERAGE(QUERY(SORT(GOOGLEFINANCE(B422,""price"",TODAY()-365,TODAY()),1,0),""select Col2 limit 60""))"),175.83666666666664)</f>
        <v>175.8366667</v>
      </c>
      <c r="L422" s="17">
        <f>IFERROR(__xludf.DUMMYFUNCTION("AVERAGE(QUERY(SORT(GOOGLEFINANCE(B422,""price"",TODAY()-365,TODAY()),1,0),""select Col2 limit 90""))"),171.7168888888889)</f>
        <v>171.7168889</v>
      </c>
      <c r="M422" s="17">
        <f>IFERROR(__xludf.DUMMYFUNCTION("AVERAGE(QUERY(SORT(GOOGLEFINANCE(B422,""price"",TODAY()-365,TODAY()),1,0),""select Col2 limit 120""))"),170.02575000000007)</f>
        <v>170.02575</v>
      </c>
      <c r="N422" s="19">
        <f>IFERROR(__xludf.DUMMYFUNCTION("AVERAGE(QUERY(SORT(GOOGLEFINANCE(B422,""price"",TODAY()-365,TODAY()),1,0),""select Col2 limit 200""))"),178.94020000000003)</f>
        <v>178.9402</v>
      </c>
      <c r="O422" s="20" t="str">
        <f t="shared" si="2"/>
        <v>Avoid</v>
      </c>
      <c r="P422" s="21" t="str">
        <f t="shared" si="3"/>
        <v/>
      </c>
      <c r="Q422" s="21" t="str">
        <f t="shared" si="4"/>
        <v/>
      </c>
      <c r="R422" s="22">
        <f>IFERROR(__xludf.DUMMYFUNCTION("GOOGLEFINANCE(B422, ""pe"")
"),58.46)</f>
        <v>58.46</v>
      </c>
    </row>
    <row r="423">
      <c r="A423" s="9" t="s">
        <v>435</v>
      </c>
      <c r="B423" s="11" t="str">
        <f t="shared" si="1"/>
        <v>NSE:BSOFT</v>
      </c>
      <c r="C423" s="12">
        <f>IFERROR(__xludf.DUMMYFUNCTION("GOOGLEFINANCE(B423,""marketcap"")/10000000"),10870.1299151)</f>
        <v>10870.12992</v>
      </c>
      <c r="D423" s="13">
        <f>IFERROR(__xludf.DUMMYFUNCTION("GOOGLEFINANCE(B423,""price"")"),390.95)</f>
        <v>390.95</v>
      </c>
      <c r="E423" s="14">
        <f>IFERROR(__xludf.DUMMYFUNCTION("GOOGLEFINANCE(B423,""Volume"")"),417547.0)</f>
        <v>417547</v>
      </c>
      <c r="F423" s="14">
        <f t="array" ref="F423">F422</f>
        <v>14</v>
      </c>
      <c r="G423" s="15" t="str">
        <f>IFERROR(__xludf.DUMMYFUNCTION("IF(E423&gt;AVERAGE(INDEX(GOOGLEFINANCE(B423,""volume"",WORKDAY(TODAY(),-$F$1),TODAY()),,2)),""Breakout"","""")"),"")</f>
        <v/>
      </c>
      <c r="H423" s="16">
        <f>IFERROR(__xludf.DUMMYFUNCTION("GOOGLEFINANCE(B423,""price"")"),390.95)</f>
        <v>390.95</v>
      </c>
      <c r="I423" s="17">
        <f>IFERROR(__xludf.DUMMYFUNCTION("AVERAGE(QUERY(SORT(GOOGLEFINANCE(B423,""price"",TODAY()-365,TODAY()),1,0),""select Col2 limit 10""))"),415.09)</f>
        <v>415.09</v>
      </c>
      <c r="J423" s="17">
        <f>IFERROR(__xludf.DUMMYFUNCTION("AVERAGE(QUERY(SORT(GOOGLEFINANCE(B423,""price"",TODAY()-365,TODAY()),1,0),""select Col2 limit 30""))"),424.9133333333333)</f>
        <v>424.9133333</v>
      </c>
      <c r="K423" s="18">
        <f>IFERROR(__xludf.DUMMYFUNCTION("AVERAGE(QUERY(SORT(GOOGLEFINANCE(B423,""price"",TODAY()-365,TODAY()),1,0),""select Col2 limit 60""))"),419.02250000000015)</f>
        <v>419.0225</v>
      </c>
      <c r="L423" s="17">
        <f>IFERROR(__xludf.DUMMYFUNCTION("AVERAGE(QUERY(SORT(GOOGLEFINANCE(B423,""price"",TODAY()-365,TODAY()),1,0),""select Col2 limit 90""))"),408.0477777777778)</f>
        <v>408.0477778</v>
      </c>
      <c r="M423" s="17">
        <f>IFERROR(__xludf.DUMMYFUNCTION("AVERAGE(QUERY(SORT(GOOGLEFINANCE(B423,""price"",TODAY()-365,TODAY()),1,0),""select Col2 limit 120""))"),424.005)</f>
        <v>424.005</v>
      </c>
      <c r="N423" s="19">
        <f>IFERROR(__xludf.DUMMYFUNCTION("AVERAGE(QUERY(SORT(GOOGLEFINANCE(B423,""price"",TODAY()-365,TODAY()),1,0),""select Col2 limit 200""))"),482.8357499999999)</f>
        <v>482.83575</v>
      </c>
      <c r="O423" s="20" t="str">
        <f t="shared" si="2"/>
        <v>Avoid</v>
      </c>
      <c r="P423" s="21" t="str">
        <f t="shared" si="3"/>
        <v/>
      </c>
      <c r="Q423" s="21" t="str">
        <f t="shared" si="4"/>
        <v/>
      </c>
      <c r="R423" s="22">
        <f>IFERROR(__xludf.DUMMYFUNCTION("GOOGLEFINANCE(B423, ""pe"")
"),7.19)</f>
        <v>7.19</v>
      </c>
    </row>
    <row r="424">
      <c r="A424" s="9" t="s">
        <v>436</v>
      </c>
      <c r="B424" s="11" t="str">
        <f t="shared" si="1"/>
        <v>NSE:VGUARD</v>
      </c>
      <c r="C424" s="12">
        <f>IFERROR(__xludf.DUMMYFUNCTION("GOOGLEFINANCE(B424,""marketcap"")/10000000"),17156.37177)</f>
        <v>17156.37177</v>
      </c>
      <c r="D424" s="13">
        <f>IFERROR(__xludf.DUMMYFUNCTION("GOOGLEFINANCE(B424,""price"")"),393.5)</f>
        <v>393.5</v>
      </c>
      <c r="E424" s="14">
        <f>IFERROR(__xludf.DUMMYFUNCTION("GOOGLEFINANCE(B424,""Volume"")"),85270.0)</f>
        <v>85270</v>
      </c>
      <c r="F424" s="14">
        <f t="array" ref="F424">F423</f>
        <v>14</v>
      </c>
      <c r="G424" s="15" t="str">
        <f>IFERROR(__xludf.DUMMYFUNCTION("IF(E424&gt;AVERAGE(INDEX(GOOGLEFINANCE(B424,""volume"",WORKDAY(TODAY(),-$F$1),TODAY()),,2)),""Breakout"","""")"),"")</f>
        <v/>
      </c>
      <c r="H424" s="16">
        <f>IFERROR(__xludf.DUMMYFUNCTION("GOOGLEFINANCE(B424,""price"")"),393.5)</f>
        <v>393.5</v>
      </c>
      <c r="I424" s="17" t="str">
        <f>IFERROR(__xludf.DUMMYFUNCTION("AVERAGE(QUERY(SORT(GOOGLEFINANCE(B424,""price"",TODAY()-365,TODAY()),1,0),""select Col2 limit 10""))"),"#N/A")</f>
        <v>#N/A</v>
      </c>
      <c r="J424" s="17" t="str">
        <f>IFERROR(__xludf.DUMMYFUNCTION("AVERAGE(QUERY(SORT(GOOGLEFINANCE(B424,""price"",TODAY()-365,TODAY()),1,0),""select Col2 limit 30""))"),"#N/A")</f>
        <v>#N/A</v>
      </c>
      <c r="K424" s="18" t="str">
        <f>IFERROR(__xludf.DUMMYFUNCTION("AVERAGE(QUERY(SORT(GOOGLEFINANCE(B424,""price"",TODAY()-365,TODAY()),1,0),""select Col2 limit 60""))"),"#N/A")</f>
        <v>#N/A</v>
      </c>
      <c r="L424" s="17" t="str">
        <f>IFERROR(__xludf.DUMMYFUNCTION("AVERAGE(QUERY(SORT(GOOGLEFINANCE(B424,""price"",TODAY()-365,TODAY()),1,0),""select Col2 limit 90""))"),"#N/A")</f>
        <v>#N/A</v>
      </c>
      <c r="M424" s="17" t="str">
        <f>IFERROR(__xludf.DUMMYFUNCTION("AVERAGE(QUERY(SORT(GOOGLEFINANCE(B424,""price"",TODAY()-365,TODAY()),1,0),""select Col2 limit 120""))"),"#N/A")</f>
        <v>#N/A</v>
      </c>
      <c r="N424" s="19" t="str">
        <f>IFERROR(__xludf.DUMMYFUNCTION("AVERAGE(QUERY(SORT(GOOGLEFINANCE(B424,""price"",TODAY()-365,TODAY()),1,0),""select Col2 limit 200""))"),"#N/A")</f>
        <v>#N/A</v>
      </c>
      <c r="O424" s="20" t="str">
        <f t="shared" si="2"/>
        <v>#N/A</v>
      </c>
      <c r="P424" s="21" t="str">
        <f t="shared" si="3"/>
        <v>#N/A</v>
      </c>
      <c r="Q424" s="21" t="str">
        <f t="shared" si="4"/>
        <v>#N/A</v>
      </c>
      <c r="R424" s="22">
        <f>IFERROR(__xludf.DUMMYFUNCTION("GOOGLEFINANCE(B424, ""pe"")
"),55.13)</f>
        <v>55.13</v>
      </c>
    </row>
    <row r="425">
      <c r="A425" s="9" t="s">
        <v>437</v>
      </c>
      <c r="B425" s="11" t="str">
        <f t="shared" si="1"/>
        <v>NSE:TTML</v>
      </c>
      <c r="C425" s="12">
        <f>IFERROR(__xludf.DUMMYFUNCTION("GOOGLEFINANCE(B425,""marketcap"")/10000000"),12014.9967)</f>
        <v>12014.9967</v>
      </c>
      <c r="D425" s="13">
        <f>IFERROR(__xludf.DUMMYFUNCTION("GOOGLEFINANCE(B425,""price"")"),61.6)</f>
        <v>61.6</v>
      </c>
      <c r="E425" s="14">
        <f>IFERROR(__xludf.DUMMYFUNCTION("GOOGLEFINANCE(B425,""Volume"")"),231768.0)</f>
        <v>231768</v>
      </c>
      <c r="F425" s="14">
        <f t="array" ref="F425">F424</f>
        <v>14</v>
      </c>
      <c r="G425" s="15" t="str">
        <f>IFERROR(__xludf.DUMMYFUNCTION("IF(E425&gt;AVERAGE(INDEX(GOOGLEFINANCE(B425,""volume"",WORKDAY(TODAY(),-$F$1),TODAY()),,2)),""Breakout"","""")"),"")</f>
        <v/>
      </c>
      <c r="H425" s="16">
        <f>IFERROR(__xludf.DUMMYFUNCTION("GOOGLEFINANCE(B425,""price"")"),61.6)</f>
        <v>61.6</v>
      </c>
      <c r="I425" s="17">
        <f>IFERROR(__xludf.DUMMYFUNCTION("AVERAGE(QUERY(SORT(GOOGLEFINANCE(B425,""price"",TODAY()-365,TODAY()),1,0),""select Col2 limit 10""))"),63.376999999999995)</f>
        <v>63.377</v>
      </c>
      <c r="J425" s="17">
        <f>IFERROR(__xludf.DUMMYFUNCTION("AVERAGE(QUERY(SORT(GOOGLEFINANCE(B425,""price"",TODAY()-365,TODAY()),1,0),""select Col2 limit 30""))"),66.60766666666665)</f>
        <v>66.60766667</v>
      </c>
      <c r="K425" s="18">
        <f>IFERROR(__xludf.DUMMYFUNCTION("AVERAGE(QUERY(SORT(GOOGLEFINANCE(B425,""price"",TODAY()-365,TODAY()),1,0),""select Col2 limit 60""))"),65.36783333333332)</f>
        <v>65.36783333</v>
      </c>
      <c r="L425" s="17">
        <f>IFERROR(__xludf.DUMMYFUNCTION("AVERAGE(QUERY(SORT(GOOGLEFINANCE(B425,""price"",TODAY()-365,TODAY()),1,0),""select Col2 limit 90""))"),63.37255555555555)</f>
        <v>63.37255556</v>
      </c>
      <c r="M425" s="17">
        <f>IFERROR(__xludf.DUMMYFUNCTION("AVERAGE(QUERY(SORT(GOOGLEFINANCE(B425,""price"",TODAY()-365,TODAY()),1,0),""select Col2 limit 120""))"),64.62866666666667)</f>
        <v>64.62866667</v>
      </c>
      <c r="N425" s="19">
        <f>IFERROR(__xludf.DUMMYFUNCTION("AVERAGE(QUERY(SORT(GOOGLEFINANCE(B425,""price"",TODAY()-365,TODAY()),1,0),""select Col2 limit 200""))"),69.44925)</f>
        <v>69.44925</v>
      </c>
      <c r="O425" s="20" t="str">
        <f t="shared" si="2"/>
        <v>Avoid</v>
      </c>
      <c r="P425" s="21" t="str">
        <f t="shared" si="3"/>
        <v/>
      </c>
      <c r="Q425" s="21" t="str">
        <f t="shared" si="4"/>
        <v/>
      </c>
      <c r="R425" s="22" t="str">
        <f>IFERROR(__xludf.DUMMYFUNCTION("GOOGLEFINANCE(B425, ""pe"")
"),"#N/A")</f>
        <v>#N/A</v>
      </c>
    </row>
    <row r="426">
      <c r="A426" s="9" t="s">
        <v>438</v>
      </c>
      <c r="B426" s="11" t="str">
        <f t="shared" si="1"/>
        <v>NSE:POLYMED</v>
      </c>
      <c r="C426" s="12">
        <f>IFERROR(__xludf.DUMMYFUNCTION("GOOGLEFINANCE(B426,""marketcap"")/10000000"),20203.3315703)</f>
        <v>20203.33157</v>
      </c>
      <c r="D426" s="13">
        <f>IFERROR(__xludf.DUMMYFUNCTION("GOOGLEFINANCE(B426,""price"")"),1993.9)</f>
        <v>1993.9</v>
      </c>
      <c r="E426" s="14">
        <f>IFERROR(__xludf.DUMMYFUNCTION("GOOGLEFINANCE(B426,""Volume"")"),68782.0)</f>
        <v>68782</v>
      </c>
      <c r="F426" s="14">
        <f t="array" ref="F426">F425</f>
        <v>14</v>
      </c>
      <c r="G426" s="15" t="str">
        <f>IFERROR(__xludf.DUMMYFUNCTION("IF(E426&gt;AVERAGE(INDEX(GOOGLEFINANCE(B426,""volume"",WORKDAY(TODAY(),-$F$1),TODAY()),,2)),""Breakout"","""")"),"")</f>
        <v/>
      </c>
      <c r="H426" s="16">
        <f>IFERROR(__xludf.DUMMYFUNCTION("GOOGLEFINANCE(B426,""price"")"),1993.9)</f>
        <v>1993.9</v>
      </c>
      <c r="I426" s="17">
        <f>IFERROR(__xludf.DUMMYFUNCTION("AVERAGE(QUERY(SORT(GOOGLEFINANCE(B426,""price"",TODAY()-365,TODAY()),1,0),""select Col2 limit 10""))"),2108.96)</f>
        <v>2108.96</v>
      </c>
      <c r="J426" s="17">
        <f>IFERROR(__xludf.DUMMYFUNCTION("AVERAGE(QUERY(SORT(GOOGLEFINANCE(B426,""price"",TODAY()-365,TODAY()),1,0),""select Col2 limit 30""))"),2160.18)</f>
        <v>2160.18</v>
      </c>
      <c r="K426" s="18">
        <f>IFERROR(__xludf.DUMMYFUNCTION("AVERAGE(QUERY(SORT(GOOGLEFINANCE(B426,""price"",TODAY()-365,TODAY()),1,0),""select Col2 limit 60""))"),2277.9766666666665)</f>
        <v>2277.976667</v>
      </c>
      <c r="L426" s="17">
        <f>IFERROR(__xludf.DUMMYFUNCTION("AVERAGE(QUERY(SORT(GOOGLEFINANCE(B426,""price"",TODAY()-365,TODAY()),1,0),""select Col2 limit 90""))"),2284.223333333333)</f>
        <v>2284.223333</v>
      </c>
      <c r="M426" s="17">
        <f>IFERROR(__xludf.DUMMYFUNCTION("AVERAGE(QUERY(SORT(GOOGLEFINANCE(B426,""price"",TODAY()-365,TODAY()),1,0),""select Col2 limit 120""))"),2272.712083333332)</f>
        <v>2272.712083</v>
      </c>
      <c r="N426" s="19">
        <f>IFERROR(__xludf.DUMMYFUNCTION("AVERAGE(QUERY(SORT(GOOGLEFINANCE(B426,""price"",TODAY()-365,TODAY()),1,0),""select Col2 limit 200""))"),2416.519749999999)</f>
        <v>2416.51975</v>
      </c>
      <c r="O426" s="20" t="str">
        <f t="shared" si="2"/>
        <v>Avoid</v>
      </c>
      <c r="P426" s="21" t="str">
        <f t="shared" si="3"/>
        <v/>
      </c>
      <c r="Q426" s="21" t="str">
        <f t="shared" si="4"/>
        <v/>
      </c>
      <c r="R426" s="22">
        <f>IFERROR(__xludf.DUMMYFUNCTION("GOOGLEFINANCE(B426, ""pe"")
"),58.45)</f>
        <v>58.45</v>
      </c>
    </row>
    <row r="427">
      <c r="A427" s="9" t="s">
        <v>439</v>
      </c>
      <c r="B427" s="11" t="str">
        <f t="shared" si="1"/>
        <v>NSE:IIFL</v>
      </c>
      <c r="C427" s="12">
        <f>IFERROR(__xludf.DUMMYFUNCTION("GOOGLEFINANCE(B427,""marketcap"")/10000000"),21862.66908)</f>
        <v>21862.66908</v>
      </c>
      <c r="D427" s="13">
        <f>IFERROR(__xludf.DUMMYFUNCTION("GOOGLEFINANCE(B427,""price"")"),514.2)</f>
        <v>514.2</v>
      </c>
      <c r="E427" s="14">
        <f>IFERROR(__xludf.DUMMYFUNCTION("GOOGLEFINANCE(B427,""Volume"")"),486817.0)</f>
        <v>486817</v>
      </c>
      <c r="F427" s="14">
        <f t="array" ref="F427">F426</f>
        <v>14</v>
      </c>
      <c r="G427" s="15" t="str">
        <f>IFERROR(__xludf.DUMMYFUNCTION("IF(E427&gt;AVERAGE(INDEX(GOOGLEFINANCE(B427,""volume"",WORKDAY(TODAY(),-$F$1),TODAY()),,2)),""Breakout"","""")"),"")</f>
        <v/>
      </c>
      <c r="H427" s="16">
        <f>IFERROR(__xludf.DUMMYFUNCTION("GOOGLEFINANCE(B427,""price"")"),514.2)</f>
        <v>514.2</v>
      </c>
      <c r="I427" s="17">
        <f>IFERROR(__xludf.DUMMYFUNCTION("AVERAGE(QUERY(SORT(GOOGLEFINANCE(B427,""price"",TODAY()-365,TODAY()),1,0),""select Col2 limit 10""))"),528.135)</f>
        <v>528.135</v>
      </c>
      <c r="J427" s="17">
        <f>IFERROR(__xludf.DUMMYFUNCTION("AVERAGE(QUERY(SORT(GOOGLEFINANCE(B427,""price"",TODAY()-365,TODAY()),1,0),""select Col2 limit 30""))"),498.595)</f>
        <v>498.595</v>
      </c>
      <c r="K427" s="18">
        <f>IFERROR(__xludf.DUMMYFUNCTION("AVERAGE(QUERY(SORT(GOOGLEFINANCE(B427,""price"",TODAY()-365,TODAY()),1,0),""select Col2 limit 60""))"),458.94166666666666)</f>
        <v>458.9416667</v>
      </c>
      <c r="L427" s="17">
        <f>IFERROR(__xludf.DUMMYFUNCTION("AVERAGE(QUERY(SORT(GOOGLEFINANCE(B427,""price"",TODAY()-365,TODAY()),1,0),""select Col2 limit 90""))"),419.69055555555565)</f>
        <v>419.6905556</v>
      </c>
      <c r="M427" s="17">
        <f>IFERROR(__xludf.DUMMYFUNCTION("AVERAGE(QUERY(SORT(GOOGLEFINANCE(B427,""price"",TODAY()-365,TODAY()),1,0),""select Col2 limit 120""))"),396.5587499999999)</f>
        <v>396.55875</v>
      </c>
      <c r="N427" s="19">
        <f>IFERROR(__xludf.DUMMYFUNCTION("AVERAGE(QUERY(SORT(GOOGLEFINANCE(B427,""price"",TODAY()-365,TODAY()),1,0),""select Col2 limit 200""))"),407.5895)</f>
        <v>407.5895</v>
      </c>
      <c r="O427" s="20" t="str">
        <f t="shared" si="2"/>
        <v>Avoid</v>
      </c>
      <c r="P427" s="21" t="str">
        <f t="shared" si="3"/>
        <v/>
      </c>
      <c r="Q427" s="21" t="str">
        <f t="shared" si="4"/>
        <v/>
      </c>
      <c r="R427" s="22">
        <f>IFERROR(__xludf.DUMMYFUNCTION("GOOGLEFINANCE(B427, ""pe"")
"),59.03)</f>
        <v>59.03</v>
      </c>
    </row>
    <row r="428">
      <c r="A428" s="9" t="s">
        <v>440</v>
      </c>
      <c r="B428" s="11" t="str">
        <f t="shared" si="1"/>
        <v>NSE:HSCL</v>
      </c>
      <c r="C428" s="12">
        <f>IFERROR(__xludf.DUMMYFUNCTION("GOOGLEFINANCE(B428,""marketcap"")/10000000"),24235.6642125)</f>
        <v>24235.66421</v>
      </c>
      <c r="D428" s="13">
        <f>IFERROR(__xludf.DUMMYFUNCTION("GOOGLEFINANCE(B428,""price"")"),490.75)</f>
        <v>490.75</v>
      </c>
      <c r="E428" s="14">
        <f>IFERROR(__xludf.DUMMYFUNCTION("GOOGLEFINANCE(B428,""Volume"")"),569313.0)</f>
        <v>569313</v>
      </c>
      <c r="F428" s="14">
        <f t="array" ref="F428">F427</f>
        <v>14</v>
      </c>
      <c r="G428" s="15" t="str">
        <f>IFERROR(__xludf.DUMMYFUNCTION("IF(E428&gt;AVERAGE(INDEX(GOOGLEFINANCE(B428,""volume"",WORKDAY(TODAY(),-$F$1),TODAY()),,2)),""Breakout"","""")"),"")</f>
        <v/>
      </c>
      <c r="H428" s="16">
        <f>IFERROR(__xludf.DUMMYFUNCTION("GOOGLEFINANCE(B428,""price"")"),490.75)</f>
        <v>490.75</v>
      </c>
      <c r="I428" s="17">
        <f>IFERROR(__xludf.DUMMYFUNCTION("AVERAGE(QUERY(SORT(GOOGLEFINANCE(B428,""price"",TODAY()-365,TODAY()),1,0),""select Col2 limit 10""))"),512.51)</f>
        <v>512.51</v>
      </c>
      <c r="J428" s="17">
        <f>IFERROR(__xludf.DUMMYFUNCTION("AVERAGE(QUERY(SORT(GOOGLEFINANCE(B428,""price"",TODAY()-365,TODAY()),1,0),""select Col2 limit 30""))"),489.6166666666666)</f>
        <v>489.6166667</v>
      </c>
      <c r="K428" s="18">
        <f>IFERROR(__xludf.DUMMYFUNCTION("AVERAGE(QUERY(SORT(GOOGLEFINANCE(B428,""price"",TODAY()-365,TODAY()),1,0),""select Col2 limit 60""))"),477.19999999999993)</f>
        <v>477.2</v>
      </c>
      <c r="L428" s="17">
        <f>IFERROR(__xludf.DUMMYFUNCTION("AVERAGE(QUERY(SORT(GOOGLEFINANCE(B428,""price"",TODAY()-365,TODAY()),1,0),""select Col2 limit 90""))"),465.1277777777778)</f>
        <v>465.1277778</v>
      </c>
      <c r="M428" s="17">
        <f>IFERROR(__xludf.DUMMYFUNCTION("AVERAGE(QUERY(SORT(GOOGLEFINANCE(B428,""price"",TODAY()-365,TODAY()),1,0),""select Col2 limit 120""))"),460.34208333333333)</f>
        <v>460.3420833</v>
      </c>
      <c r="N428" s="19">
        <f>IFERROR(__xludf.DUMMYFUNCTION("AVERAGE(QUERY(SORT(GOOGLEFINANCE(B428,""price"",TODAY()-365,TODAY()),1,0),""select Col2 limit 200""))"),500.68950000000035)</f>
        <v>500.6895</v>
      </c>
      <c r="O428" s="20" t="str">
        <f t="shared" si="2"/>
        <v>Avoid</v>
      </c>
      <c r="P428" s="21" t="str">
        <f t="shared" si="3"/>
        <v/>
      </c>
      <c r="Q428" s="21" t="str">
        <f t="shared" si="4"/>
        <v/>
      </c>
      <c r="R428" s="22">
        <f>IFERROR(__xludf.DUMMYFUNCTION("GOOGLEFINANCE(B428, ""pe"")
"),39.68)</f>
        <v>39.68</v>
      </c>
    </row>
    <row r="429">
      <c r="A429" s="9" t="s">
        <v>441</v>
      </c>
      <c r="B429" s="11" t="str">
        <f t="shared" si="1"/>
        <v>NSE:SOBHA</v>
      </c>
      <c r="C429" s="12">
        <f>IFERROR(__xludf.DUMMYFUNCTION("GOOGLEFINANCE(B429,""marketcap"")/10000000"),17092.3858016)</f>
        <v>17092.3858</v>
      </c>
      <c r="D429" s="13">
        <f>IFERROR(__xludf.DUMMYFUNCTION("GOOGLEFINANCE(B429,""price"")"),1597.5)</f>
        <v>1597.5</v>
      </c>
      <c r="E429" s="14">
        <f>IFERROR(__xludf.DUMMYFUNCTION("GOOGLEFINANCE(B429,""Volume"")"),247257.0)</f>
        <v>247257</v>
      </c>
      <c r="F429" s="14">
        <f t="array" ref="F429">F428</f>
        <v>14</v>
      </c>
      <c r="G429" s="15" t="str">
        <f>IFERROR(__xludf.DUMMYFUNCTION("IF(E429&gt;AVERAGE(INDEX(GOOGLEFINANCE(B429,""volume"",WORKDAY(TODAY(),-$F$1),TODAY()),,2)),""Breakout"","""")"),"")</f>
        <v/>
      </c>
      <c r="H429" s="16">
        <f>IFERROR(__xludf.DUMMYFUNCTION("GOOGLEFINANCE(B429,""price"")"),1597.5)</f>
        <v>1597.5</v>
      </c>
      <c r="I429" s="17">
        <f>IFERROR(__xludf.DUMMYFUNCTION("AVERAGE(QUERY(SORT(GOOGLEFINANCE(B429,""price"",TODAY()-365,TODAY()),1,0),""select Col2 limit 10""))"),1647.95)</f>
        <v>1647.95</v>
      </c>
      <c r="J429" s="17">
        <f>IFERROR(__xludf.DUMMYFUNCTION("AVERAGE(QUERY(SORT(GOOGLEFINANCE(B429,""price"",TODAY()-365,TODAY()),1,0),""select Col2 limit 30""))"),1558.1466666666668)</f>
        <v>1558.146667</v>
      </c>
      <c r="K429" s="18">
        <f>IFERROR(__xludf.DUMMYFUNCTION("AVERAGE(QUERY(SORT(GOOGLEFINANCE(B429,""price"",TODAY()-365,TODAY()),1,0),""select Col2 limit 60""))"),1488.6550000000004)</f>
        <v>1488.655</v>
      </c>
      <c r="L429" s="17">
        <f>IFERROR(__xludf.DUMMYFUNCTION("AVERAGE(QUERY(SORT(GOOGLEFINANCE(B429,""price"",TODAY()-365,TODAY()),1,0),""select Col2 limit 90""))"),1401.3377777777785)</f>
        <v>1401.337778</v>
      </c>
      <c r="M429" s="17">
        <f>IFERROR(__xludf.DUMMYFUNCTION("AVERAGE(QUERY(SORT(GOOGLEFINANCE(B429,""price"",TODAY()-365,TODAY()),1,0),""select Col2 limit 120""))"),1356.4058333333342)</f>
        <v>1356.405833</v>
      </c>
      <c r="N429" s="19">
        <f>IFERROR(__xludf.DUMMYFUNCTION("AVERAGE(QUERY(SORT(GOOGLEFINANCE(B429,""price"",TODAY()-365,TODAY()),1,0),""select Col2 limit 200""))"),1437.7130000000002)</f>
        <v>1437.713</v>
      </c>
      <c r="O429" s="20" t="str">
        <f t="shared" si="2"/>
        <v>Avoid</v>
      </c>
      <c r="P429" s="21" t="str">
        <f t="shared" si="3"/>
        <v/>
      </c>
      <c r="Q429" s="21" t="str">
        <f t="shared" si="4"/>
        <v/>
      </c>
      <c r="R429" s="22">
        <f>IFERROR(__xludf.DUMMYFUNCTION("GOOGLEFINANCE(B429, ""pe"")
"),173.86)</f>
        <v>173.86</v>
      </c>
    </row>
    <row r="430">
      <c r="A430" s="9" t="s">
        <v>442</v>
      </c>
      <c r="B430" s="11" t="str">
        <f t="shared" si="1"/>
        <v>NSE:FINPIPE</v>
      </c>
      <c r="C430" s="12">
        <f>IFERROR(__xludf.DUMMYFUNCTION("GOOGLEFINANCE(B430,""marketcap"")/10000000"),12949.3496491)</f>
        <v>12949.34965</v>
      </c>
      <c r="D430" s="13">
        <f>IFERROR(__xludf.DUMMYFUNCTION("GOOGLEFINANCE(B430,""price"")"),208.9)</f>
        <v>208.9</v>
      </c>
      <c r="E430" s="14">
        <f>IFERROR(__xludf.DUMMYFUNCTION("GOOGLEFINANCE(B430,""Volume"")"),284035.0)</f>
        <v>284035</v>
      </c>
      <c r="F430" s="14">
        <f t="array" ref="F430">F429</f>
        <v>14</v>
      </c>
      <c r="G430" s="15" t="str">
        <f>IFERROR(__xludf.DUMMYFUNCTION("IF(E430&gt;AVERAGE(INDEX(GOOGLEFINANCE(B430,""volume"",WORKDAY(TODAY(),-$F$1),TODAY()),,2)),""Breakout"","""")"),"")</f>
        <v/>
      </c>
      <c r="H430" s="16">
        <f>IFERROR(__xludf.DUMMYFUNCTION("GOOGLEFINANCE(B430,""price"")"),208.9)</f>
        <v>208.9</v>
      </c>
      <c r="I430" s="17">
        <f>IFERROR(__xludf.DUMMYFUNCTION("AVERAGE(QUERY(SORT(GOOGLEFINANCE(B430,""price"",TODAY()-365,TODAY()),1,0),""select Col2 limit 10""))"),208.987)</f>
        <v>208.987</v>
      </c>
      <c r="J430" s="17">
        <f>IFERROR(__xludf.DUMMYFUNCTION("AVERAGE(QUERY(SORT(GOOGLEFINANCE(B430,""price"",TODAY()-365,TODAY()),1,0),""select Col2 limit 30""))"),212.95166666666663)</f>
        <v>212.9516667</v>
      </c>
      <c r="K430" s="18">
        <f>IFERROR(__xludf.DUMMYFUNCTION("AVERAGE(QUERY(SORT(GOOGLEFINANCE(B430,""price"",TODAY()-365,TODAY()),1,0),""select Col2 limit 60""))"),207.87449999999995)</f>
        <v>207.8745</v>
      </c>
      <c r="L430" s="17">
        <f>IFERROR(__xludf.DUMMYFUNCTION("AVERAGE(QUERY(SORT(GOOGLEFINANCE(B430,""price"",TODAY()-365,TODAY()),1,0),""select Col2 limit 90""))"),197.37199999999996)</f>
        <v>197.372</v>
      </c>
      <c r="M430" s="17">
        <f>IFERROR(__xludf.DUMMYFUNCTION("AVERAGE(QUERY(SORT(GOOGLEFINANCE(B430,""price"",TODAY()-365,TODAY()),1,0),""select Col2 limit 120""))"),194.84916666666666)</f>
        <v>194.8491667</v>
      </c>
      <c r="N430" s="19">
        <f>IFERROR(__xludf.DUMMYFUNCTION("AVERAGE(QUERY(SORT(GOOGLEFINANCE(B430,""price"",TODAY()-365,TODAY()),1,0),""select Col2 limit 200""))"),221.97025000000002)</f>
        <v>221.97025</v>
      </c>
      <c r="O430" s="20" t="str">
        <f t="shared" si="2"/>
        <v>Avoid</v>
      </c>
      <c r="P430" s="21" t="str">
        <f t="shared" si="3"/>
        <v>10 DMA</v>
      </c>
      <c r="Q430" s="21" t="str">
        <f t="shared" si="4"/>
        <v/>
      </c>
      <c r="R430" s="22">
        <f>IFERROR(__xludf.DUMMYFUNCTION("GOOGLEFINANCE(B430, ""pe"")
"),16.17)</f>
        <v>16.17</v>
      </c>
    </row>
    <row r="431">
      <c r="A431" s="9" t="s">
        <v>443</v>
      </c>
      <c r="B431" s="11" t="str">
        <f t="shared" si="1"/>
        <v>NSE:CHAMBLFERT</v>
      </c>
      <c r="C431" s="12">
        <f>IFERROR(__xludf.DUMMYFUNCTION("GOOGLEFINANCE(B431,""marketcap"")/10000000"),21336.7324219)</f>
        <v>21336.73242</v>
      </c>
      <c r="D431" s="13">
        <f>IFERROR(__xludf.DUMMYFUNCTION("GOOGLEFINANCE(B431,""price"")"),532.55)</f>
        <v>532.55</v>
      </c>
      <c r="E431" s="14">
        <f>IFERROR(__xludf.DUMMYFUNCTION("GOOGLEFINANCE(B431,""Volume"")"),1014220.0)</f>
        <v>1014220</v>
      </c>
      <c r="F431" s="14">
        <f t="array" ref="F431">F430</f>
        <v>14</v>
      </c>
      <c r="G431" s="15" t="str">
        <f>IFERROR(__xludf.DUMMYFUNCTION("IF(E431&gt;AVERAGE(INDEX(GOOGLEFINANCE(B431,""volume"",WORKDAY(TODAY(),-$F$1),TODAY()),,2)),""Breakout"","""")"),"")</f>
        <v/>
      </c>
      <c r="H431" s="16">
        <f>IFERROR(__xludf.DUMMYFUNCTION("GOOGLEFINANCE(B431,""price"")"),532.55)</f>
        <v>532.55</v>
      </c>
      <c r="I431" s="17">
        <f>IFERROR(__xludf.DUMMYFUNCTION("AVERAGE(QUERY(SORT(GOOGLEFINANCE(B431,""price"",TODAY()-365,TODAY()),1,0),""select Col2 limit 10""))"),550.705)</f>
        <v>550.705</v>
      </c>
      <c r="J431" s="17">
        <f>IFERROR(__xludf.DUMMYFUNCTION("AVERAGE(QUERY(SORT(GOOGLEFINANCE(B431,""price"",TODAY()-365,TODAY()),1,0),""select Col2 limit 30""))"),554.1899999999999)</f>
        <v>554.19</v>
      </c>
      <c r="K431" s="18">
        <f>IFERROR(__xludf.DUMMYFUNCTION("AVERAGE(QUERY(SORT(GOOGLEFINANCE(B431,""price"",TODAY()-365,TODAY()),1,0),""select Col2 limit 60""))"),581.0049999999998)</f>
        <v>581.005</v>
      </c>
      <c r="L431" s="17">
        <f>IFERROR(__xludf.DUMMYFUNCTION("AVERAGE(QUERY(SORT(GOOGLEFINANCE(B431,""price"",TODAY()-365,TODAY()),1,0),""select Col2 limit 90""))"),601.0799999999998)</f>
        <v>601.08</v>
      </c>
      <c r="M431" s="17">
        <f>IFERROR(__xludf.DUMMYFUNCTION("AVERAGE(QUERY(SORT(GOOGLEFINANCE(B431,""price"",TODAY()-365,TODAY()),1,0),""select Col2 limit 120""))"),586.3449999999999)</f>
        <v>586.345</v>
      </c>
      <c r="N431" s="19">
        <f>IFERROR(__xludf.DUMMYFUNCTION("AVERAGE(QUERY(SORT(GOOGLEFINANCE(B431,""price"",TODAY()-365,TODAY()),1,0),""select Col2 limit 200""))"),549.8985000000002)</f>
        <v>549.8985</v>
      </c>
      <c r="O431" s="20" t="str">
        <f t="shared" si="2"/>
        <v>Avoid</v>
      </c>
      <c r="P431" s="21" t="str">
        <f t="shared" si="3"/>
        <v/>
      </c>
      <c r="Q431" s="21" t="str">
        <f t="shared" si="4"/>
        <v/>
      </c>
      <c r="R431" s="22">
        <f>IFERROR(__xludf.DUMMYFUNCTION("GOOGLEFINANCE(B431, ""pe"")
"),12.93)</f>
        <v>12.93</v>
      </c>
    </row>
    <row r="432">
      <c r="A432" s="9" t="s">
        <v>444</v>
      </c>
      <c r="B432" s="11" t="str">
        <f t="shared" si="1"/>
        <v>NSE:RRKABEL</v>
      </c>
      <c r="C432" s="12">
        <f>IFERROR(__xludf.DUMMYFUNCTION("GOOGLEFINANCE(B432,""marketcap"")/10000000"),15510.9029159)</f>
        <v>15510.90292</v>
      </c>
      <c r="D432" s="13">
        <f>IFERROR(__xludf.DUMMYFUNCTION("GOOGLEFINANCE(B432,""price"")"),1372.9)</f>
        <v>1372.9</v>
      </c>
      <c r="E432" s="14">
        <f>IFERROR(__xludf.DUMMYFUNCTION("GOOGLEFINANCE(B432,""Volume"")"),96838.0)</f>
        <v>96838</v>
      </c>
      <c r="F432" s="14">
        <f t="array" ref="F432">F431</f>
        <v>14</v>
      </c>
      <c r="G432" s="15" t="str">
        <f>IFERROR(__xludf.DUMMYFUNCTION("IF(E432&gt;AVERAGE(INDEX(GOOGLEFINANCE(B432,""volume"",WORKDAY(TODAY(),-$F$1),TODAY()),,2)),""Breakout"","""")"),"")</f>
        <v/>
      </c>
      <c r="H432" s="16">
        <f>IFERROR(__xludf.DUMMYFUNCTION("GOOGLEFINANCE(B432,""price"")"),1372.9)</f>
        <v>1372.9</v>
      </c>
      <c r="I432" s="17">
        <f>IFERROR(__xludf.DUMMYFUNCTION("AVERAGE(QUERY(SORT(GOOGLEFINANCE(B432,""price"",TODAY()-365,TODAY()),1,0),""select Col2 limit 10""))"),1424.6299999999999)</f>
        <v>1424.63</v>
      </c>
      <c r="J432" s="17">
        <f>IFERROR(__xludf.DUMMYFUNCTION("AVERAGE(QUERY(SORT(GOOGLEFINANCE(B432,""price"",TODAY()-365,TODAY()),1,0),""select Col2 limit 30""))"),1373.813333333333)</f>
        <v>1373.813333</v>
      </c>
      <c r="K432" s="18">
        <f>IFERROR(__xludf.DUMMYFUNCTION("AVERAGE(QUERY(SORT(GOOGLEFINANCE(B432,""price"",TODAY()-365,TODAY()),1,0),""select Col2 limit 60""))"),1347.2400000000002)</f>
        <v>1347.24</v>
      </c>
      <c r="L432" s="17">
        <f>IFERROR(__xludf.DUMMYFUNCTION("AVERAGE(QUERY(SORT(GOOGLEFINANCE(B432,""price"",TODAY()-365,TODAY()),1,0),""select Col2 limit 90""))"),1210.6627777777774)</f>
        <v>1210.662778</v>
      </c>
      <c r="M432" s="17">
        <f>IFERROR(__xludf.DUMMYFUNCTION("AVERAGE(QUERY(SORT(GOOGLEFINANCE(B432,""price"",TODAY()-365,TODAY()),1,0),""select Col2 limit 120""))"),1175.3537499999995)</f>
        <v>1175.35375</v>
      </c>
      <c r="N432" s="19">
        <f>IFERROR(__xludf.DUMMYFUNCTION("AVERAGE(QUERY(SORT(GOOGLEFINANCE(B432,""price"",TODAY()-365,TODAY()),1,0),""select Col2 limit 200""))"),1296.4037499999993)</f>
        <v>1296.40375</v>
      </c>
      <c r="O432" s="20" t="str">
        <f t="shared" si="2"/>
        <v>Avoid</v>
      </c>
      <c r="P432" s="21" t="str">
        <f t="shared" si="3"/>
        <v>30 DMA</v>
      </c>
      <c r="Q432" s="21" t="str">
        <f t="shared" si="4"/>
        <v/>
      </c>
      <c r="R432" s="22">
        <f>IFERROR(__xludf.DUMMYFUNCTION("GOOGLEFINANCE(B432, ""pe"")
"),49.78)</f>
        <v>49.78</v>
      </c>
    </row>
    <row r="433">
      <c r="A433" s="9" t="s">
        <v>445</v>
      </c>
      <c r="B433" s="11" t="str">
        <f t="shared" si="1"/>
        <v>NSE:PTCIL</v>
      </c>
      <c r="C433" s="12">
        <f>IFERROR(__xludf.DUMMYFUNCTION("GOOGLEFINANCE(B433,""marketcap"")/10000000"),21734.46606)</f>
        <v>21734.46606</v>
      </c>
      <c r="D433" s="13">
        <f>IFERROR(__xludf.DUMMYFUNCTION("GOOGLEFINANCE(B433,""price"")"),14513.0)</f>
        <v>14513</v>
      </c>
      <c r="E433" s="14">
        <f>IFERROR(__xludf.DUMMYFUNCTION("GOOGLEFINANCE(B433,""Volume"")"),4632.0)</f>
        <v>4632</v>
      </c>
      <c r="F433" s="14">
        <f t="array" ref="F433">F432</f>
        <v>14</v>
      </c>
      <c r="G433" s="15" t="str">
        <f>IFERROR(__xludf.DUMMYFUNCTION("IF(E433&gt;AVERAGE(INDEX(GOOGLEFINANCE(B433,""volume"",WORKDAY(TODAY(),-$F$1),TODAY()),,2)),""Breakout"","""")"),"")</f>
        <v/>
      </c>
      <c r="H433" s="16">
        <f>IFERROR(__xludf.DUMMYFUNCTION("GOOGLEFINANCE(B433,""price"")"),14513.0)</f>
        <v>14513</v>
      </c>
      <c r="I433" s="17">
        <f>IFERROR(__xludf.DUMMYFUNCTION("AVERAGE(QUERY(SORT(GOOGLEFINANCE(B433,""price"",TODAY()-365,TODAY()),1,0),""select Col2 limit 10""))"),14533.7)</f>
        <v>14533.7</v>
      </c>
      <c r="J433" s="17">
        <f>IFERROR(__xludf.DUMMYFUNCTION("AVERAGE(QUERY(SORT(GOOGLEFINANCE(B433,""price"",TODAY()-365,TODAY()),1,0),""select Col2 limit 30""))"),14705.533333333333)</f>
        <v>14705.53333</v>
      </c>
      <c r="K433" s="18">
        <f>IFERROR(__xludf.DUMMYFUNCTION("AVERAGE(QUERY(SORT(GOOGLEFINANCE(B433,""price"",TODAY()-365,TODAY()),1,0),""select Col2 limit 60""))"),14540.516666666666)</f>
        <v>14540.51667</v>
      </c>
      <c r="L433" s="17">
        <f>IFERROR(__xludf.DUMMYFUNCTION("AVERAGE(QUERY(SORT(GOOGLEFINANCE(B433,""price"",TODAY()-365,TODAY()),1,0),""select Col2 limit 90""))"),14279.508888888884)</f>
        <v>14279.50889</v>
      </c>
      <c r="M433" s="17">
        <f>IFERROR(__xludf.DUMMYFUNCTION("AVERAGE(QUERY(SORT(GOOGLEFINANCE(B433,""price"",TODAY()-365,TODAY()),1,0),""select Col2 limit 120""))"),13796.66958333333)</f>
        <v>13796.66958</v>
      </c>
      <c r="N433" s="19">
        <f>IFERROR(__xludf.DUMMYFUNCTION("AVERAGE(QUERY(SORT(GOOGLEFINANCE(B433,""price"",TODAY()-365,TODAY()),1,0),""select Col2 limit 200""))"),13542.209999999988)</f>
        <v>13542.21</v>
      </c>
      <c r="O433" s="20" t="str">
        <f t="shared" si="2"/>
        <v>Avoid</v>
      </c>
      <c r="P433" s="21" t="str">
        <f t="shared" si="3"/>
        <v>10 DMA</v>
      </c>
      <c r="Q433" s="21" t="str">
        <f t="shared" si="4"/>
        <v/>
      </c>
      <c r="R433" s="22">
        <f>IFERROR(__xludf.DUMMYFUNCTION("GOOGLEFINANCE(B433, ""pe"")
"),351.8)</f>
        <v>351.8</v>
      </c>
    </row>
    <row r="434">
      <c r="A434" s="9" t="s">
        <v>446</v>
      </c>
      <c r="B434" s="11" t="str">
        <f t="shared" si="1"/>
        <v>NSE:BATAINDIA</v>
      </c>
      <c r="C434" s="12">
        <f>IFERROR(__xludf.DUMMYFUNCTION("GOOGLEFINANCE(B434,""marketcap"")/10000000"),15436.15275)</f>
        <v>15436.15275</v>
      </c>
      <c r="D434" s="13">
        <f>IFERROR(__xludf.DUMMYFUNCTION("GOOGLEFINANCE(B434,""price"")"),1201.0)</f>
        <v>1201</v>
      </c>
      <c r="E434" s="14">
        <f>IFERROR(__xludf.DUMMYFUNCTION("GOOGLEFINANCE(B434,""Volume"")"),29963.0)</f>
        <v>29963</v>
      </c>
      <c r="F434" s="14">
        <f t="array" ref="F434">F433</f>
        <v>14</v>
      </c>
      <c r="G434" s="15" t="str">
        <f>IFERROR(__xludf.DUMMYFUNCTION("IF(E434&gt;AVERAGE(INDEX(GOOGLEFINANCE(B434,""volume"",WORKDAY(TODAY(),-$F$1),TODAY()),,2)),""Breakout"","""")"),"")</f>
        <v/>
      </c>
      <c r="H434" s="16">
        <f>IFERROR(__xludf.DUMMYFUNCTION("GOOGLEFINANCE(B434,""price"")"),1201.0)</f>
        <v>1201</v>
      </c>
      <c r="I434" s="17">
        <f>IFERROR(__xludf.DUMMYFUNCTION("AVERAGE(QUERY(SORT(GOOGLEFINANCE(B434,""price"",TODAY()-365,TODAY()),1,0),""select Col2 limit 10""))"),1222.7100000000003)</f>
        <v>1222.71</v>
      </c>
      <c r="J434" s="17">
        <f>IFERROR(__xludf.DUMMYFUNCTION("AVERAGE(QUERY(SORT(GOOGLEFINANCE(B434,""price"",TODAY()-365,TODAY()),1,0),""select Col2 limit 30""))"),1224.5933333333337)</f>
        <v>1224.593333</v>
      </c>
      <c r="K434" s="18">
        <f>IFERROR(__xludf.DUMMYFUNCTION("AVERAGE(QUERY(SORT(GOOGLEFINANCE(B434,""price"",TODAY()-365,TODAY()),1,0),""select Col2 limit 60""))"),1228.7216666666668)</f>
        <v>1228.721667</v>
      </c>
      <c r="L434" s="17">
        <f>IFERROR(__xludf.DUMMYFUNCTION("AVERAGE(QUERY(SORT(GOOGLEFINANCE(B434,""price"",TODAY()-365,TODAY()),1,0),""select Col2 limit 90""))"),1227.4927777777777)</f>
        <v>1227.492778</v>
      </c>
      <c r="M434" s="17">
        <f>IFERROR(__xludf.DUMMYFUNCTION("AVERAGE(QUERY(SORT(GOOGLEFINANCE(B434,""price"",TODAY()-365,TODAY()),1,0),""select Col2 limit 120""))"),1243.6004166666667)</f>
        <v>1243.600417</v>
      </c>
      <c r="N434" s="19">
        <f>IFERROR(__xludf.DUMMYFUNCTION("AVERAGE(QUERY(SORT(GOOGLEFINANCE(B434,""price"",TODAY()-365,TODAY()),1,0),""select Col2 limit 200""))"),1294.9969999999998)</f>
        <v>1294.997</v>
      </c>
      <c r="O434" s="20" t="str">
        <f t="shared" si="2"/>
        <v>Avoid</v>
      </c>
      <c r="P434" s="21" t="str">
        <f t="shared" si="3"/>
        <v/>
      </c>
      <c r="Q434" s="21" t="str">
        <f t="shared" si="4"/>
        <v/>
      </c>
      <c r="R434" s="22">
        <f>IFERROR(__xludf.DUMMYFUNCTION("GOOGLEFINANCE(B434, ""pe"")
"),46.74)</f>
        <v>46.74</v>
      </c>
    </row>
    <row r="435">
      <c r="A435" s="9" t="s">
        <v>447</v>
      </c>
      <c r="B435" s="11" t="str">
        <f t="shared" si="1"/>
        <v>NSE:MCX</v>
      </c>
      <c r="C435" s="12">
        <f>IFERROR(__xludf.DUMMYFUNCTION("GOOGLEFINANCE(B435,""marketcap"")/10000000"),39821.276086)</f>
        <v>39821.27609</v>
      </c>
      <c r="D435" s="13">
        <f>IFERROR(__xludf.DUMMYFUNCTION("GOOGLEFINANCE(B435,""price"")"),7809.5)</f>
        <v>7809.5</v>
      </c>
      <c r="E435" s="14">
        <f>IFERROR(__xludf.DUMMYFUNCTION("GOOGLEFINANCE(B435,""Volume"")"),242089.0)</f>
        <v>242089</v>
      </c>
      <c r="F435" s="14">
        <f t="array" ref="F435">F434</f>
        <v>14</v>
      </c>
      <c r="G435" s="15" t="str">
        <f>IFERROR(__xludf.DUMMYFUNCTION("IF(E435&gt;AVERAGE(INDEX(GOOGLEFINANCE(B435,""volume"",WORKDAY(TODAY(),-$F$1),TODAY()),,2)),""Breakout"","""")"),"")</f>
        <v/>
      </c>
      <c r="H435" s="16">
        <f>IFERROR(__xludf.DUMMYFUNCTION("GOOGLEFINANCE(B435,""price"")"),7809.5)</f>
        <v>7809.5</v>
      </c>
      <c r="I435" s="17" t="str">
        <f>IFERROR(__xludf.DUMMYFUNCTION("AVERAGE(QUERY(SORT(GOOGLEFINANCE(B435,""price"",TODAY()-365,TODAY()),1,0),""select Col2 limit 10""))"),"#N/A")</f>
        <v>#N/A</v>
      </c>
      <c r="J435" s="17" t="str">
        <f>IFERROR(__xludf.DUMMYFUNCTION("AVERAGE(QUERY(SORT(GOOGLEFINANCE(B435,""price"",TODAY()-365,TODAY()),1,0),""select Col2 limit 30""))"),"#N/A")</f>
        <v>#N/A</v>
      </c>
      <c r="K435" s="18" t="str">
        <f>IFERROR(__xludf.DUMMYFUNCTION("AVERAGE(QUERY(SORT(GOOGLEFINANCE(B435,""price"",TODAY()-365,TODAY()),1,0),""select Col2 limit 60""))"),"#N/A")</f>
        <v>#N/A</v>
      </c>
      <c r="L435" s="17" t="str">
        <f>IFERROR(__xludf.DUMMYFUNCTION("AVERAGE(QUERY(SORT(GOOGLEFINANCE(B435,""price"",TODAY()-365,TODAY()),1,0),""select Col2 limit 90""))"),"#N/A")</f>
        <v>#N/A</v>
      </c>
      <c r="M435" s="17" t="str">
        <f>IFERROR(__xludf.DUMMYFUNCTION("AVERAGE(QUERY(SORT(GOOGLEFINANCE(B435,""price"",TODAY()-365,TODAY()),1,0),""select Col2 limit 120""))"),"#N/A")</f>
        <v>#N/A</v>
      </c>
      <c r="N435" s="19" t="str">
        <f>IFERROR(__xludf.DUMMYFUNCTION("AVERAGE(QUERY(SORT(GOOGLEFINANCE(B435,""price"",TODAY()-365,TODAY()),1,0),""select Col2 limit 200""))"),"#N/A")</f>
        <v>#N/A</v>
      </c>
      <c r="O435" s="20" t="str">
        <f t="shared" si="2"/>
        <v>#N/A</v>
      </c>
      <c r="P435" s="21" t="str">
        <f t="shared" si="3"/>
        <v>#N/A</v>
      </c>
      <c r="Q435" s="21" t="str">
        <f t="shared" si="4"/>
        <v>#N/A</v>
      </c>
      <c r="R435" s="22">
        <f>IFERROR(__xludf.DUMMYFUNCTION("GOOGLEFINANCE(B435, ""pe"")
"),71.23)</f>
        <v>71.23</v>
      </c>
    </row>
    <row r="436">
      <c r="A436" s="9" t="s">
        <v>448</v>
      </c>
      <c r="B436" s="11" t="str">
        <f t="shared" si="1"/>
        <v>NSE:ABSLAMC</v>
      </c>
      <c r="C436" s="12">
        <f>IFERROR(__xludf.DUMMYFUNCTION("GOOGLEFINANCE(B436,""marketcap"")/10000000"),25233.1542775)</f>
        <v>25233.15428</v>
      </c>
      <c r="D436" s="13">
        <f>IFERROR(__xludf.DUMMYFUNCTION("GOOGLEFINANCE(B436,""price"")"),874.9)</f>
        <v>874.9</v>
      </c>
      <c r="E436" s="14">
        <f>IFERROR(__xludf.DUMMYFUNCTION("GOOGLEFINANCE(B436,""Volume"")"),265466.0)</f>
        <v>265466</v>
      </c>
      <c r="F436" s="14">
        <f t="array" ref="F436">F435</f>
        <v>14</v>
      </c>
      <c r="G436" s="15" t="str">
        <f>IFERROR(__xludf.DUMMYFUNCTION("IF(E436&gt;AVERAGE(INDEX(GOOGLEFINANCE(B436,""volume"",WORKDAY(TODAY(),-$F$1),TODAY()),,2)),""Breakout"","""")"),"")</f>
        <v/>
      </c>
      <c r="H436" s="16">
        <f>IFERROR(__xludf.DUMMYFUNCTION("GOOGLEFINANCE(B436,""price"")"),874.9)</f>
        <v>874.9</v>
      </c>
      <c r="I436" s="17">
        <f>IFERROR(__xludf.DUMMYFUNCTION("AVERAGE(QUERY(SORT(GOOGLEFINANCE(B436,""price"",TODAY()-365,TODAY()),1,0),""select Col2 limit 10""))"),870.475)</f>
        <v>870.475</v>
      </c>
      <c r="J436" s="17">
        <f>IFERROR(__xludf.DUMMYFUNCTION("AVERAGE(QUERY(SORT(GOOGLEFINANCE(B436,""price"",TODAY()-365,TODAY()),1,0),""select Col2 limit 30""))"),815.6383333333331)</f>
        <v>815.6383333</v>
      </c>
      <c r="K436" s="18">
        <f>IFERROR(__xludf.DUMMYFUNCTION("AVERAGE(QUERY(SORT(GOOGLEFINANCE(B436,""price"",TODAY()-365,TODAY()),1,0),""select Col2 limit 60""))"),768.2333333333332)</f>
        <v>768.2333333</v>
      </c>
      <c r="L436" s="17">
        <f>IFERROR(__xludf.DUMMYFUNCTION("AVERAGE(QUERY(SORT(GOOGLEFINANCE(B436,""price"",TODAY()-365,TODAY()),1,0),""select Col2 limit 90""))"),725.6044444444444)</f>
        <v>725.6044444</v>
      </c>
      <c r="M436" s="17">
        <f>IFERROR(__xludf.DUMMYFUNCTION("AVERAGE(QUERY(SORT(GOOGLEFINANCE(B436,""price"",TODAY()-365,TODAY()),1,0),""select Col2 limit 120""))"),705.7716666666669)</f>
        <v>705.7716667</v>
      </c>
      <c r="N436" s="19">
        <f>IFERROR(__xludf.DUMMYFUNCTION("AVERAGE(QUERY(SORT(GOOGLEFINANCE(B436,""price"",TODAY()-365,TODAY()),1,0),""select Col2 limit 200""))"),737.4465000000002)</f>
        <v>737.4465</v>
      </c>
      <c r="O436" s="20" t="str">
        <f t="shared" si="2"/>
        <v>Avoid</v>
      </c>
      <c r="P436" s="21" t="str">
        <f t="shared" si="3"/>
        <v/>
      </c>
      <c r="Q436" s="21" t="str">
        <f t="shared" si="4"/>
        <v/>
      </c>
      <c r="R436" s="22">
        <f>IFERROR(__xludf.DUMMYFUNCTION("GOOGLEFINANCE(B436, ""pe"")
"),26.02)</f>
        <v>26.02</v>
      </c>
    </row>
    <row r="437">
      <c r="A437" s="9" t="s">
        <v>449</v>
      </c>
      <c r="B437" s="11" t="str">
        <f t="shared" si="1"/>
        <v>NSE:NCC</v>
      </c>
      <c r="C437" s="12">
        <f>IFERROR(__xludf.DUMMYFUNCTION("GOOGLEFINANCE(B437,""marketcap"")/10000000"),13805.0891485)</f>
        <v>13805.08915</v>
      </c>
      <c r="D437" s="13">
        <f>IFERROR(__xludf.DUMMYFUNCTION("GOOGLEFINANCE(B437,""price"")"),219.24)</f>
        <v>219.24</v>
      </c>
      <c r="E437" s="14">
        <f>IFERROR(__xludf.DUMMYFUNCTION("GOOGLEFINANCE(B437,""Volume"")"),1551847.0)</f>
        <v>1551847</v>
      </c>
      <c r="F437" s="14">
        <f t="array" ref="F437">F436</f>
        <v>14</v>
      </c>
      <c r="G437" s="15" t="str">
        <f>IFERROR(__xludf.DUMMYFUNCTION("IF(E437&gt;AVERAGE(INDEX(GOOGLEFINANCE(B437,""volume"",WORKDAY(TODAY(),-$F$1),TODAY()),,2)),""Breakout"","""")"),"")</f>
        <v/>
      </c>
      <c r="H437" s="16">
        <f>IFERROR(__xludf.DUMMYFUNCTION("GOOGLEFINANCE(B437,""price"")"),219.24)</f>
        <v>219.24</v>
      </c>
      <c r="I437" s="17">
        <f>IFERROR(__xludf.DUMMYFUNCTION("AVERAGE(QUERY(SORT(GOOGLEFINANCE(B437,""price"",TODAY()-365,TODAY()),1,0),""select Col2 limit 10""))"),226.238)</f>
        <v>226.238</v>
      </c>
      <c r="J437" s="17">
        <f>IFERROR(__xludf.DUMMYFUNCTION("AVERAGE(QUERY(SORT(GOOGLEFINANCE(B437,""price"",TODAY()-365,TODAY()),1,0),""select Col2 limit 30""))"),225.83533333333335)</f>
        <v>225.8353333</v>
      </c>
      <c r="K437" s="18">
        <f>IFERROR(__xludf.DUMMYFUNCTION("AVERAGE(QUERY(SORT(GOOGLEFINANCE(B437,""price"",TODAY()-365,TODAY()),1,0),""select Col2 limit 60""))"),227.4735000000001)</f>
        <v>227.4735</v>
      </c>
      <c r="L437" s="17">
        <f>IFERROR(__xludf.DUMMYFUNCTION("AVERAGE(QUERY(SORT(GOOGLEFINANCE(B437,""price"",TODAY()-365,TODAY()),1,0),""select Col2 limit 90""))"),221.6494444444445)</f>
        <v>221.6494444</v>
      </c>
      <c r="M437" s="17">
        <f>IFERROR(__xludf.DUMMYFUNCTION("AVERAGE(QUERY(SORT(GOOGLEFINANCE(B437,""price"",TODAY()-365,TODAY()),1,0),""select Col2 limit 120""))"),215.71058333333337)</f>
        <v>215.7105833</v>
      </c>
      <c r="N437" s="19">
        <f>IFERROR(__xludf.DUMMYFUNCTION("AVERAGE(QUERY(SORT(GOOGLEFINANCE(B437,""price"",TODAY()-365,TODAY()),1,0),""select Col2 limit 200""))"),243.5956)</f>
        <v>243.5956</v>
      </c>
      <c r="O437" s="20" t="str">
        <f t="shared" si="2"/>
        <v>Avoid</v>
      </c>
      <c r="P437" s="21" t="str">
        <f t="shared" si="3"/>
        <v/>
      </c>
      <c r="Q437" s="21" t="str">
        <f t="shared" si="4"/>
        <v/>
      </c>
      <c r="R437" s="22">
        <f>IFERROR(__xludf.DUMMYFUNCTION("GOOGLEFINANCE(B437, ""pe"")
"),16.83)</f>
        <v>16.83</v>
      </c>
    </row>
    <row r="438">
      <c r="A438" s="9" t="s">
        <v>450</v>
      </c>
      <c r="B438" s="11" t="str">
        <f t="shared" si="1"/>
        <v>NSE:BEML</v>
      </c>
      <c r="C438" s="12">
        <f>IFERROR(__xludf.DUMMYFUNCTION("GOOGLEFINANCE(B438,""marketcap"")/10000000"),16915.8525941)</f>
        <v>16915.85259</v>
      </c>
      <c r="D438" s="13">
        <f>IFERROR(__xludf.DUMMYFUNCTION("GOOGLEFINANCE(B438,""price"")"),4052.2)</f>
        <v>4052.2</v>
      </c>
      <c r="E438" s="14">
        <f>IFERROR(__xludf.DUMMYFUNCTION("GOOGLEFINANCE(B438,""Volume"")"),217214.0)</f>
        <v>217214</v>
      </c>
      <c r="F438" s="14">
        <f t="array" ref="F438">F437</f>
        <v>14</v>
      </c>
      <c r="G438" s="15" t="str">
        <f>IFERROR(__xludf.DUMMYFUNCTION("IF(E438&gt;AVERAGE(INDEX(GOOGLEFINANCE(B438,""volume"",WORKDAY(TODAY(),-$F$1),TODAY()),,2)),""Breakout"","""")"),"")</f>
        <v/>
      </c>
      <c r="H438" s="16">
        <f>IFERROR(__xludf.DUMMYFUNCTION("GOOGLEFINANCE(B438,""price"")"),4052.2)</f>
        <v>4052.2</v>
      </c>
      <c r="I438" s="17">
        <f>IFERROR(__xludf.DUMMYFUNCTION("AVERAGE(QUERY(SORT(GOOGLEFINANCE(B438,""price"",TODAY()-365,TODAY()),1,0),""select Col2 limit 10""))"),4422.93)</f>
        <v>4422.93</v>
      </c>
      <c r="J438" s="17">
        <f>IFERROR(__xludf.DUMMYFUNCTION("AVERAGE(QUERY(SORT(GOOGLEFINANCE(B438,""price"",TODAY()-365,TODAY()),1,0),""select Col2 limit 30""))"),4465.683333333333)</f>
        <v>4465.683333</v>
      </c>
      <c r="K438" s="18">
        <f>IFERROR(__xludf.DUMMYFUNCTION("AVERAGE(QUERY(SORT(GOOGLEFINANCE(B438,""price"",TODAY()-365,TODAY()),1,0),""select Col2 limit 60""))"),4155.515)</f>
        <v>4155.515</v>
      </c>
      <c r="L438" s="17">
        <f>IFERROR(__xludf.DUMMYFUNCTION("AVERAGE(QUERY(SORT(GOOGLEFINANCE(B438,""price"",TODAY()-365,TODAY()),1,0),""select Col2 limit 90""))"),3769.467222222222)</f>
        <v>3769.467222</v>
      </c>
      <c r="M438" s="17">
        <f>IFERROR(__xludf.DUMMYFUNCTION("AVERAGE(QUERY(SORT(GOOGLEFINANCE(B438,""price"",TODAY()-365,TODAY()),1,0),""select Col2 limit 120""))"),3534.638333333333)</f>
        <v>3534.638333</v>
      </c>
      <c r="N438" s="19">
        <f>IFERROR(__xludf.DUMMYFUNCTION("AVERAGE(QUERY(SORT(GOOGLEFINANCE(B438,""price"",TODAY()-365,TODAY()),1,0),""select Col2 limit 200""))"),3697.8432500000013)</f>
        <v>3697.84325</v>
      </c>
      <c r="O438" s="20" t="str">
        <f t="shared" si="2"/>
        <v>Avoid</v>
      </c>
      <c r="P438" s="21" t="str">
        <f t="shared" si="3"/>
        <v/>
      </c>
      <c r="Q438" s="21" t="str">
        <f t="shared" si="4"/>
        <v/>
      </c>
      <c r="R438" s="22">
        <f>IFERROR(__xludf.DUMMYFUNCTION("GOOGLEFINANCE(B438, ""pe"")
"),57.66)</f>
        <v>57.66</v>
      </c>
    </row>
    <row r="439">
      <c r="A439" s="9" t="s">
        <v>451</v>
      </c>
      <c r="B439" s="11" t="str">
        <f t="shared" si="1"/>
        <v>NSE:AFFLE</v>
      </c>
      <c r="C439" s="12">
        <f>IFERROR(__xludf.DUMMYFUNCTION("GOOGLEFINANCE(B439,""marketcap"")/10000000"),25090.7346163)</f>
        <v>25090.73462</v>
      </c>
      <c r="D439" s="13">
        <f>IFERROR(__xludf.DUMMYFUNCTION("GOOGLEFINANCE(B439,""price"")"),1783.3)</f>
        <v>1783.3</v>
      </c>
      <c r="E439" s="14">
        <f>IFERROR(__xludf.DUMMYFUNCTION("GOOGLEFINANCE(B439,""Volume"")"),315050.0)</f>
        <v>315050</v>
      </c>
      <c r="F439" s="14">
        <f t="array" ref="F439">F438</f>
        <v>14</v>
      </c>
      <c r="G439" s="15" t="str">
        <f>IFERROR(__xludf.DUMMYFUNCTION("IF(E439&gt;AVERAGE(INDEX(GOOGLEFINANCE(B439,""volume"",WORKDAY(TODAY(),-$F$1),TODAY()),,2)),""Breakout"","""")"),"Breakout")</f>
        <v>Breakout</v>
      </c>
      <c r="H439" s="16">
        <f>IFERROR(__xludf.DUMMYFUNCTION("GOOGLEFINANCE(B439,""price"")"),1783.3)</f>
        <v>1783.3</v>
      </c>
      <c r="I439" s="17">
        <f>IFERROR(__xludf.DUMMYFUNCTION("AVERAGE(QUERY(SORT(GOOGLEFINANCE(B439,""price"",TODAY()-365,TODAY()),1,0),""select Col2 limit 10""))"),1906.6599999999999)</f>
        <v>1906.66</v>
      </c>
      <c r="J439" s="17">
        <f>IFERROR(__xludf.DUMMYFUNCTION("AVERAGE(QUERY(SORT(GOOGLEFINANCE(B439,""price"",TODAY()-365,TODAY()),1,0),""select Col2 limit 30""))"),1941.8400000000001)</f>
        <v>1941.84</v>
      </c>
      <c r="K439" s="18">
        <f>IFERROR(__xludf.DUMMYFUNCTION("AVERAGE(QUERY(SORT(GOOGLEFINANCE(B439,""price"",TODAY()-365,TODAY()),1,0),""select Col2 limit 60""))"),1830.3916666666664)</f>
        <v>1830.391667</v>
      </c>
      <c r="L439" s="17">
        <f>IFERROR(__xludf.DUMMYFUNCTION("AVERAGE(QUERY(SORT(GOOGLEFINANCE(B439,""price"",TODAY()-365,TODAY()),1,0),""select Col2 limit 90""))"),1737.4761111111109)</f>
        <v>1737.476111</v>
      </c>
      <c r="M439" s="17">
        <f>IFERROR(__xludf.DUMMYFUNCTION("AVERAGE(QUERY(SORT(GOOGLEFINANCE(B439,""price"",TODAY()-365,TODAY()),1,0),""select Col2 limit 120""))"),1679.0512499999995)</f>
        <v>1679.05125</v>
      </c>
      <c r="N439" s="19">
        <f>IFERROR(__xludf.DUMMYFUNCTION("AVERAGE(QUERY(SORT(GOOGLEFINANCE(B439,""price"",TODAY()-365,TODAY()),1,0),""select Col2 limit 200""))"),1660.1639999999993)</f>
        <v>1660.164</v>
      </c>
      <c r="O439" s="20" t="str">
        <f t="shared" si="2"/>
        <v>Avoid</v>
      </c>
      <c r="P439" s="21" t="str">
        <f t="shared" si="3"/>
        <v/>
      </c>
      <c r="Q439" s="21" t="str">
        <f t="shared" si="4"/>
        <v/>
      </c>
      <c r="R439" s="22">
        <f>IFERROR(__xludf.DUMMYFUNCTION("GOOGLEFINANCE(B439, ""pe"")
"),66.15)</f>
        <v>66.15</v>
      </c>
    </row>
    <row r="440">
      <c r="A440" s="9" t="s">
        <v>452</v>
      </c>
      <c r="B440" s="11" t="str">
        <f t="shared" si="1"/>
        <v>NSE:AADHARHFC</v>
      </c>
      <c r="C440" s="12">
        <f>IFERROR(__xludf.DUMMYFUNCTION("GOOGLEFINANCE(B440,""marketcap"")/10000000"),22598.8663895)</f>
        <v>22598.86639</v>
      </c>
      <c r="D440" s="13">
        <f>IFERROR(__xludf.DUMMYFUNCTION("GOOGLEFINANCE(B440,""price"")"),521.8)</f>
        <v>521.8</v>
      </c>
      <c r="E440" s="14">
        <f>IFERROR(__xludf.DUMMYFUNCTION("GOOGLEFINANCE(B440,""Volume"")"),5751790.0)</f>
        <v>5751790</v>
      </c>
      <c r="F440" s="14">
        <f t="array" ref="F440">F439</f>
        <v>14</v>
      </c>
      <c r="G440" s="15" t="str">
        <f>IFERROR(__xludf.DUMMYFUNCTION("IF(E440&gt;AVERAGE(INDEX(GOOGLEFINANCE(B440,""volume"",WORKDAY(TODAY(),-$F$1),TODAY()),,2)),""Breakout"","""")"),"Breakout")</f>
        <v>Breakout</v>
      </c>
      <c r="H440" s="16">
        <f>IFERROR(__xludf.DUMMYFUNCTION("GOOGLEFINANCE(B440,""price"")"),521.8)</f>
        <v>521.8</v>
      </c>
      <c r="I440" s="17">
        <f>IFERROR(__xludf.DUMMYFUNCTION("AVERAGE(QUERY(SORT(GOOGLEFINANCE(B440,""price"",TODAY()-365,TODAY()),1,0),""select Col2 limit 10""))"),501.07499999999993)</f>
        <v>501.075</v>
      </c>
      <c r="J440" s="17">
        <f>IFERROR(__xludf.DUMMYFUNCTION("AVERAGE(QUERY(SORT(GOOGLEFINANCE(B440,""price"",TODAY()-365,TODAY()),1,0),""select Col2 limit 30""))"),466.275)</f>
        <v>466.275</v>
      </c>
      <c r="K440" s="18">
        <f>IFERROR(__xludf.DUMMYFUNCTION("AVERAGE(QUERY(SORT(GOOGLEFINANCE(B440,""price"",TODAY()-365,TODAY()),1,0),""select Col2 limit 60""))"),456.6508333333333)</f>
        <v>456.6508333</v>
      </c>
      <c r="L440" s="17">
        <f>IFERROR(__xludf.DUMMYFUNCTION("AVERAGE(QUERY(SORT(GOOGLEFINANCE(B440,""price"",TODAY()-365,TODAY()),1,0),""select Col2 limit 90""))"),454.0938888888886)</f>
        <v>454.0938889</v>
      </c>
      <c r="M440" s="17">
        <f>IFERROR(__xludf.DUMMYFUNCTION("AVERAGE(QUERY(SORT(GOOGLEFINANCE(B440,""price"",TODAY()-365,TODAY()),1,0),""select Col2 limit 120""))"),438.9204166666666)</f>
        <v>438.9204167</v>
      </c>
      <c r="N440" s="19">
        <f>IFERROR(__xludf.DUMMYFUNCTION("AVERAGE(QUERY(SORT(GOOGLEFINANCE(B440,""price"",TODAY()-365,TODAY()),1,0),""select Col2 limit 200""))"),433.5784999999997)</f>
        <v>433.5785</v>
      </c>
      <c r="O440" s="20" t="str">
        <f t="shared" si="2"/>
        <v>Avoid</v>
      </c>
      <c r="P440" s="21" t="str">
        <f t="shared" si="3"/>
        <v/>
      </c>
      <c r="Q440" s="21" t="str">
        <f t="shared" si="4"/>
        <v/>
      </c>
      <c r="R440" s="22">
        <f>IFERROR(__xludf.DUMMYFUNCTION("GOOGLEFINANCE(B440, ""pe"")
"),24.12)</f>
        <v>24.12</v>
      </c>
    </row>
    <row r="441">
      <c r="A441" s="9" t="s">
        <v>453</v>
      </c>
      <c r="B441" s="11" t="str">
        <f t="shared" si="1"/>
        <v>NSE:TRITURBINE</v>
      </c>
      <c r="C441" s="12">
        <f>IFERROR(__xludf.DUMMYFUNCTION("GOOGLEFINANCE(B441,""marketcap"")/10000000"),19549.42935)</f>
        <v>19549.42935</v>
      </c>
      <c r="D441" s="13">
        <f>IFERROR(__xludf.DUMMYFUNCTION("GOOGLEFINANCE(B441,""price"")"),615.0)</f>
        <v>615</v>
      </c>
      <c r="E441" s="14">
        <f>IFERROR(__xludf.DUMMYFUNCTION("GOOGLEFINANCE(B441,""Volume"")"),291056.0)</f>
        <v>291056</v>
      </c>
      <c r="F441" s="14">
        <f t="array" ref="F441">F440</f>
        <v>14</v>
      </c>
      <c r="G441" s="15" t="str">
        <f>IFERROR(__xludf.DUMMYFUNCTION("IF(E441&gt;AVERAGE(INDEX(GOOGLEFINANCE(B441,""volume"",WORKDAY(TODAY(),-$F$1),TODAY()),,2)),""Breakout"","""")"),"")</f>
        <v/>
      </c>
      <c r="H441" s="16">
        <f>IFERROR(__xludf.DUMMYFUNCTION("GOOGLEFINANCE(B441,""price"")"),615.0)</f>
        <v>615</v>
      </c>
      <c r="I441" s="17">
        <f>IFERROR(__xludf.DUMMYFUNCTION("AVERAGE(QUERY(SORT(GOOGLEFINANCE(B441,""price"",TODAY()-365,TODAY()),1,0),""select Col2 limit 10""))"),647.6)</f>
        <v>647.6</v>
      </c>
      <c r="J441" s="17">
        <f>IFERROR(__xludf.DUMMYFUNCTION("AVERAGE(QUERY(SORT(GOOGLEFINANCE(B441,""price"",TODAY()-365,TODAY()),1,0),""select Col2 limit 30""))"),629.0716666666668)</f>
        <v>629.0716667</v>
      </c>
      <c r="K441" s="18">
        <f>IFERROR(__xludf.DUMMYFUNCTION("AVERAGE(QUERY(SORT(GOOGLEFINANCE(B441,""price"",TODAY()-365,TODAY()),1,0),""select Col2 limit 60""))"),603.5475000000001)</f>
        <v>603.5475</v>
      </c>
      <c r="L441" s="17">
        <f>IFERROR(__xludf.DUMMYFUNCTION("AVERAGE(QUERY(SORT(GOOGLEFINANCE(B441,""price"",TODAY()-365,TODAY()),1,0),""select Col2 limit 90""))"),578.7061111111112)</f>
        <v>578.7061111</v>
      </c>
      <c r="M441" s="17">
        <f>IFERROR(__xludf.DUMMYFUNCTION("AVERAGE(QUERY(SORT(GOOGLEFINANCE(B441,""price"",TODAY()-365,TODAY()),1,0),""select Col2 limit 120""))"),574.0937500000001)</f>
        <v>574.09375</v>
      </c>
      <c r="N441" s="19">
        <f>IFERROR(__xludf.DUMMYFUNCTION("AVERAGE(QUERY(SORT(GOOGLEFINANCE(B441,""price"",TODAY()-365,TODAY()),1,0),""select Col2 limit 200""))"),634.96275)</f>
        <v>634.96275</v>
      </c>
      <c r="O441" s="20" t="str">
        <f t="shared" si="2"/>
        <v>Avoid</v>
      </c>
      <c r="P441" s="21" t="str">
        <f t="shared" si="3"/>
        <v/>
      </c>
      <c r="Q441" s="21" t="str">
        <f t="shared" si="4"/>
        <v/>
      </c>
      <c r="R441" s="22">
        <f>IFERROR(__xludf.DUMMYFUNCTION("GOOGLEFINANCE(B441, ""pe"")
"),54.52)</f>
        <v>54.52</v>
      </c>
    </row>
    <row r="442">
      <c r="A442" s="9" t="s">
        <v>454</v>
      </c>
      <c r="B442" s="11" t="str">
        <f t="shared" si="1"/>
        <v>NSE:ANGELONE</v>
      </c>
      <c r="C442" s="12">
        <f>IFERROR(__xludf.DUMMYFUNCTION("GOOGLEFINANCE(B442,""marketcap"")/10000000"),24125.9150875)</f>
        <v>24125.91509</v>
      </c>
      <c r="D442" s="13">
        <f>IFERROR(__xludf.DUMMYFUNCTION("GOOGLEFINANCE(B442,""price"")"),2660.4)</f>
        <v>2660.4</v>
      </c>
      <c r="E442" s="14">
        <f>IFERROR(__xludf.DUMMYFUNCTION("GOOGLEFINANCE(B442,""Volume"")"),383485.0)</f>
        <v>383485</v>
      </c>
      <c r="F442" s="14">
        <f t="array" ref="F442">F441</f>
        <v>14</v>
      </c>
      <c r="G442" s="15" t="str">
        <f>IFERROR(__xludf.DUMMYFUNCTION("IF(E442&gt;AVERAGE(INDEX(GOOGLEFINANCE(B442,""volume"",WORKDAY(TODAY(),-$F$1),TODAY()),,2)),""Breakout"","""")"),"")</f>
        <v/>
      </c>
      <c r="H442" s="16">
        <f>IFERROR(__xludf.DUMMYFUNCTION("GOOGLEFINANCE(B442,""price"")"),2660.4)</f>
        <v>2660.4</v>
      </c>
      <c r="I442" s="17" t="str">
        <f>IFERROR(__xludf.DUMMYFUNCTION("AVERAGE(QUERY(SORT(GOOGLEFINANCE(B442,""price"",TODAY()-365,TODAY()),1,0),""select Col2 limit 10""))"),"#N/A")</f>
        <v>#N/A</v>
      </c>
      <c r="J442" s="17" t="str">
        <f>IFERROR(__xludf.DUMMYFUNCTION("AVERAGE(QUERY(SORT(GOOGLEFINANCE(B442,""price"",TODAY()-365,TODAY()),1,0),""select Col2 limit 30""))"),"#N/A")</f>
        <v>#N/A</v>
      </c>
      <c r="K442" s="18" t="str">
        <f>IFERROR(__xludf.DUMMYFUNCTION("AVERAGE(QUERY(SORT(GOOGLEFINANCE(B442,""price"",TODAY()-365,TODAY()),1,0),""select Col2 limit 60""))"),"#N/A")</f>
        <v>#N/A</v>
      </c>
      <c r="L442" s="17" t="str">
        <f>IFERROR(__xludf.DUMMYFUNCTION("AVERAGE(QUERY(SORT(GOOGLEFINANCE(B442,""price"",TODAY()-365,TODAY()),1,0),""select Col2 limit 90""))"),"#N/A")</f>
        <v>#N/A</v>
      </c>
      <c r="M442" s="17" t="str">
        <f>IFERROR(__xludf.DUMMYFUNCTION("AVERAGE(QUERY(SORT(GOOGLEFINANCE(B442,""price"",TODAY()-365,TODAY()),1,0),""select Col2 limit 120""))"),"#N/A")</f>
        <v>#N/A</v>
      </c>
      <c r="N442" s="19" t="str">
        <f>IFERROR(__xludf.DUMMYFUNCTION("AVERAGE(QUERY(SORT(GOOGLEFINANCE(B442,""price"",TODAY()-365,TODAY()),1,0),""select Col2 limit 200""))"),"#N/A")</f>
        <v>#N/A</v>
      </c>
      <c r="O442" s="20" t="str">
        <f t="shared" si="2"/>
        <v>#N/A</v>
      </c>
      <c r="P442" s="21" t="str">
        <f t="shared" si="3"/>
        <v>#N/A</v>
      </c>
      <c r="Q442" s="21" t="str">
        <f t="shared" si="4"/>
        <v>#N/A</v>
      </c>
      <c r="R442" s="22">
        <f>IFERROR(__xludf.DUMMYFUNCTION("GOOGLEFINANCE(B442, ""pe"")
"),24.76)</f>
        <v>24.76</v>
      </c>
    </row>
    <row r="443">
      <c r="A443" s="9" t="s">
        <v>455</v>
      </c>
      <c r="B443" s="11" t="str">
        <f t="shared" si="1"/>
        <v>NSE:TBOTEK</v>
      </c>
      <c r="C443" s="12">
        <f>IFERROR(__xludf.DUMMYFUNCTION("GOOGLEFINANCE(B443,""marketcap"")/10000000"),14523.9117645)</f>
        <v>14523.91176</v>
      </c>
      <c r="D443" s="13">
        <f>IFERROR(__xludf.DUMMYFUNCTION("GOOGLEFINANCE(B443,""price"")"),1365.1)</f>
        <v>1365.1</v>
      </c>
      <c r="E443" s="14">
        <f>IFERROR(__xludf.DUMMYFUNCTION("GOOGLEFINANCE(B443,""Volume"")"),20086.0)</f>
        <v>20086</v>
      </c>
      <c r="F443" s="14">
        <f t="array" ref="F443">F442</f>
        <v>14</v>
      </c>
      <c r="G443" s="15" t="str">
        <f>IFERROR(__xludf.DUMMYFUNCTION("IF(E443&gt;AVERAGE(INDEX(GOOGLEFINANCE(B443,""volume"",WORKDAY(TODAY(),-$F$1),TODAY()),,2)),""Breakout"","""")"),"")</f>
        <v/>
      </c>
      <c r="H443" s="16">
        <f>IFERROR(__xludf.DUMMYFUNCTION("GOOGLEFINANCE(B443,""price"")"),1365.1)</f>
        <v>1365.1</v>
      </c>
      <c r="I443" s="17">
        <f>IFERROR(__xludf.DUMMYFUNCTION("AVERAGE(QUERY(SORT(GOOGLEFINANCE(B443,""price"",TODAY()-365,TODAY()),1,0),""select Col2 limit 10""))"),1406.7)</f>
        <v>1406.7</v>
      </c>
      <c r="J443" s="17">
        <f>IFERROR(__xludf.DUMMYFUNCTION("AVERAGE(QUERY(SORT(GOOGLEFINANCE(B443,""price"",TODAY()-365,TODAY()),1,0),""select Col2 limit 30""))"),1361.8533333333335)</f>
        <v>1361.853333</v>
      </c>
      <c r="K443" s="18">
        <f>IFERROR(__xludf.DUMMYFUNCTION("AVERAGE(QUERY(SORT(GOOGLEFINANCE(B443,""price"",TODAY()-365,TODAY()),1,0),""select Col2 limit 60""))"),1304.9466666666667)</f>
        <v>1304.946667</v>
      </c>
      <c r="L443" s="17">
        <f>IFERROR(__xludf.DUMMYFUNCTION("AVERAGE(QUERY(SORT(GOOGLEFINANCE(B443,""price"",TODAY()-365,TODAY()),1,0),""select Col2 limit 90""))"),1248.244444444444)</f>
        <v>1248.244444</v>
      </c>
      <c r="M443" s="17">
        <f>IFERROR(__xludf.DUMMYFUNCTION("AVERAGE(QUERY(SORT(GOOGLEFINANCE(B443,""price"",TODAY()-365,TODAY()),1,0),""select Col2 limit 120""))"),1305.9020833333332)</f>
        <v>1305.902083</v>
      </c>
      <c r="N443" s="19">
        <f>IFERROR(__xludf.DUMMYFUNCTION("AVERAGE(QUERY(SORT(GOOGLEFINANCE(B443,""price"",TODAY()-365,TODAY()),1,0),""select Col2 limit 200""))"),1443.3089999999993)</f>
        <v>1443.309</v>
      </c>
      <c r="O443" s="20" t="str">
        <f t="shared" si="2"/>
        <v>Avoid</v>
      </c>
      <c r="P443" s="21" t="str">
        <f t="shared" si="3"/>
        <v/>
      </c>
      <c r="Q443" s="21" t="str">
        <f t="shared" si="4"/>
        <v/>
      </c>
      <c r="R443" s="22">
        <f>IFERROR(__xludf.DUMMYFUNCTION("GOOGLEFINANCE(B443, ""pe"")
"),63.58)</f>
        <v>63.58</v>
      </c>
    </row>
    <row r="444">
      <c r="A444" s="9" t="s">
        <v>456</v>
      </c>
      <c r="B444" s="11" t="str">
        <f t="shared" si="1"/>
        <v>NSE:TRIDENT</v>
      </c>
      <c r="C444" s="12">
        <f>IFERROR(__xludf.DUMMYFUNCTION("GOOGLEFINANCE(B444,""marketcap"")/10000000"),15684.6885647)</f>
        <v>15684.68856</v>
      </c>
      <c r="D444" s="13">
        <f>IFERROR(__xludf.DUMMYFUNCTION("GOOGLEFINANCE(B444,""price"")"),31.05)</f>
        <v>31.05</v>
      </c>
      <c r="E444" s="14">
        <f>IFERROR(__xludf.DUMMYFUNCTION("GOOGLEFINANCE(B444,""Volume"")"),1.0873826E7)</f>
        <v>10873826</v>
      </c>
      <c r="F444" s="14">
        <f t="array" ref="F444">F443</f>
        <v>14</v>
      </c>
      <c r="G444" s="15" t="str">
        <f>IFERROR(__xludf.DUMMYFUNCTION("IF(E444&gt;AVERAGE(INDEX(GOOGLEFINANCE(B444,""volume"",WORKDAY(TODAY(),-$F$1),TODAY()),,2)),""Breakout"","""")"),"")</f>
        <v/>
      </c>
      <c r="H444" s="16">
        <f>IFERROR(__xludf.DUMMYFUNCTION("GOOGLEFINANCE(B444,""price"")"),31.05)</f>
        <v>31.05</v>
      </c>
      <c r="I444" s="17">
        <f>IFERROR(__xludf.DUMMYFUNCTION("AVERAGE(QUERY(SORT(GOOGLEFINANCE(B444,""price"",TODAY()-365,TODAY()),1,0),""select Col2 limit 10""))"),31.312)</f>
        <v>31.312</v>
      </c>
      <c r="J444" s="17">
        <f>IFERROR(__xludf.DUMMYFUNCTION("AVERAGE(QUERY(SORT(GOOGLEFINANCE(B444,""price"",TODAY()-365,TODAY()),1,0),""select Col2 limit 30""))"),31.046000000000003)</f>
        <v>31.046</v>
      </c>
      <c r="K444" s="18">
        <f>IFERROR(__xludf.DUMMYFUNCTION("AVERAGE(QUERY(SORT(GOOGLEFINANCE(B444,""price"",TODAY()-365,TODAY()),1,0),""select Col2 limit 60""))"),30.70583333333333)</f>
        <v>30.70583333</v>
      </c>
      <c r="L444" s="17">
        <f>IFERROR(__xludf.DUMMYFUNCTION("AVERAGE(QUERY(SORT(GOOGLEFINANCE(B444,""price"",TODAY()-365,TODAY()),1,0),""select Col2 limit 90""))"),29.250444444444444)</f>
        <v>29.25044444</v>
      </c>
      <c r="M444" s="17">
        <f>IFERROR(__xludf.DUMMYFUNCTION("AVERAGE(QUERY(SORT(GOOGLEFINANCE(B444,""price"",TODAY()-365,TODAY()),1,0),""select Col2 limit 120""))"),28.927000000000003)</f>
        <v>28.927</v>
      </c>
      <c r="N444" s="19">
        <f>IFERROR(__xludf.DUMMYFUNCTION("AVERAGE(QUERY(SORT(GOOGLEFINANCE(B444,""price"",TODAY()-365,TODAY()),1,0),""select Col2 limit 200""))"),30.762350000000005)</f>
        <v>30.76235</v>
      </c>
      <c r="O444" s="20" t="str">
        <f t="shared" si="2"/>
        <v>Avoid</v>
      </c>
      <c r="P444" s="21" t="str">
        <f t="shared" si="3"/>
        <v>10 DMA</v>
      </c>
      <c r="Q444" s="21" t="str">
        <f t="shared" si="4"/>
        <v/>
      </c>
      <c r="R444" s="22">
        <f>IFERROR(__xludf.DUMMYFUNCTION("GOOGLEFINANCE(B444, ""pe"")
"),37.04)</f>
        <v>37.04</v>
      </c>
    </row>
    <row r="445">
      <c r="A445" s="9" t="s">
        <v>457</v>
      </c>
      <c r="B445" s="11" t="str">
        <f t="shared" si="1"/>
        <v>NSE:SHYAMMETL</v>
      </c>
      <c r="C445" s="12">
        <f>IFERROR(__xludf.DUMMYFUNCTION("GOOGLEFINANCE(B445,""marketcap"")/10000000"),27053.5280712)</f>
        <v>27053.52807</v>
      </c>
      <c r="D445" s="13">
        <f>IFERROR(__xludf.DUMMYFUNCTION("GOOGLEFINANCE(B445,""price"")"),969.45)</f>
        <v>969.45</v>
      </c>
      <c r="E445" s="14">
        <f>IFERROR(__xludf.DUMMYFUNCTION("GOOGLEFINANCE(B445,""Volume"")"),624983.0)</f>
        <v>624983</v>
      </c>
      <c r="F445" s="14">
        <f t="array" ref="F445">F444</f>
        <v>14</v>
      </c>
      <c r="G445" s="15" t="str">
        <f>IFERROR(__xludf.DUMMYFUNCTION("IF(E445&gt;AVERAGE(INDEX(GOOGLEFINANCE(B445,""volume"",WORKDAY(TODAY(),-$F$1),TODAY()),,2)),""Breakout"","""")"),"")</f>
        <v/>
      </c>
      <c r="H445" s="16">
        <f>IFERROR(__xludf.DUMMYFUNCTION("GOOGLEFINANCE(B445,""price"")"),969.45)</f>
        <v>969.45</v>
      </c>
      <c r="I445" s="17">
        <f>IFERROR(__xludf.DUMMYFUNCTION("AVERAGE(QUERY(SORT(GOOGLEFINANCE(B445,""price"",TODAY()-365,TODAY()),1,0),""select Col2 limit 10""))"),916.2749999999999)</f>
        <v>916.275</v>
      </c>
      <c r="J445" s="17">
        <f>IFERROR(__xludf.DUMMYFUNCTION("AVERAGE(QUERY(SORT(GOOGLEFINANCE(B445,""price"",TODAY()-365,TODAY()),1,0),""select Col2 limit 30""))"),874.4099999999997)</f>
        <v>874.41</v>
      </c>
      <c r="K445" s="18">
        <f>IFERROR(__xludf.DUMMYFUNCTION("AVERAGE(QUERY(SORT(GOOGLEFINANCE(B445,""price"",TODAY()-365,TODAY()),1,0),""select Col2 limit 60""))"),878.030833333333)</f>
        <v>878.0308333</v>
      </c>
      <c r="L445" s="17">
        <f>IFERROR(__xludf.DUMMYFUNCTION("AVERAGE(QUERY(SORT(GOOGLEFINANCE(B445,""price"",TODAY()-365,TODAY()),1,0),""select Col2 limit 90""))"),874.8149999999999)</f>
        <v>874.815</v>
      </c>
      <c r="M445" s="17">
        <f>IFERROR(__xludf.DUMMYFUNCTION("AVERAGE(QUERY(SORT(GOOGLEFINANCE(B445,""price"",TODAY()-365,TODAY()),1,0),""select Col2 limit 120""))"),843.6020833333333)</f>
        <v>843.6020833</v>
      </c>
      <c r="N445" s="19">
        <f>IFERROR(__xludf.DUMMYFUNCTION("AVERAGE(QUERY(SORT(GOOGLEFINANCE(B445,""price"",TODAY()-365,TODAY()),1,0),""select Col2 limit 200""))"),834.1817500000001)</f>
        <v>834.18175</v>
      </c>
      <c r="O445" s="20" t="str">
        <f t="shared" si="2"/>
        <v>Avoid</v>
      </c>
      <c r="P445" s="21" t="str">
        <f t="shared" si="3"/>
        <v/>
      </c>
      <c r="Q445" s="21" t="str">
        <f t="shared" si="4"/>
        <v/>
      </c>
      <c r="R445" s="22">
        <f>IFERROR(__xludf.DUMMYFUNCTION("GOOGLEFINANCE(B445, ""pe"")
"),29.38)</f>
        <v>29.38</v>
      </c>
    </row>
    <row r="446">
      <c r="A446" s="9" t="s">
        <v>458</v>
      </c>
      <c r="B446" s="11" t="str">
        <f t="shared" si="1"/>
        <v>NSE:RAMCOCEM</v>
      </c>
      <c r="C446" s="12">
        <f>IFERROR(__xludf.DUMMYFUNCTION("GOOGLEFINANCE(B446,""marketcap"")/10000000"),27804.5137872)</f>
        <v>27804.51379</v>
      </c>
      <c r="D446" s="13">
        <f>IFERROR(__xludf.DUMMYFUNCTION("GOOGLEFINANCE(B446,""price"")"),1175.4)</f>
        <v>1175.4</v>
      </c>
      <c r="E446" s="14">
        <f>IFERROR(__xludf.DUMMYFUNCTION("GOOGLEFINANCE(B446,""Volume"")"),101984.0)</f>
        <v>101984</v>
      </c>
      <c r="F446" s="14">
        <f t="array" ref="F446">F445</f>
        <v>14</v>
      </c>
      <c r="G446" s="15" t="str">
        <f>IFERROR(__xludf.DUMMYFUNCTION("IF(E446&gt;AVERAGE(INDEX(GOOGLEFINANCE(B446,""volume"",WORKDAY(TODAY(),-$F$1),TODAY()),,2)),""Breakout"","""")"),"")</f>
        <v/>
      </c>
      <c r="H446" s="16">
        <f>IFERROR(__xludf.DUMMYFUNCTION("GOOGLEFINANCE(B446,""price"")"),1175.4)</f>
        <v>1175.4</v>
      </c>
      <c r="I446" s="17">
        <f>IFERROR(__xludf.DUMMYFUNCTION("AVERAGE(QUERY(SORT(GOOGLEFINANCE(B446,""price"",TODAY()-365,TODAY()),1,0),""select Col2 limit 10""))"),1163.48)</f>
        <v>1163.48</v>
      </c>
      <c r="J446" s="17">
        <f>IFERROR(__xludf.DUMMYFUNCTION("AVERAGE(QUERY(SORT(GOOGLEFINANCE(B446,""price"",TODAY()-365,TODAY()),1,0),""select Col2 limit 30""))"),1098.7833333333333)</f>
        <v>1098.783333</v>
      </c>
      <c r="K446" s="18">
        <f>IFERROR(__xludf.DUMMYFUNCTION("AVERAGE(QUERY(SORT(GOOGLEFINANCE(B446,""price"",TODAY()-365,TODAY()),1,0),""select Col2 limit 60""))"),1045.0425000000002)</f>
        <v>1045.0425</v>
      </c>
      <c r="L446" s="17">
        <f>IFERROR(__xludf.DUMMYFUNCTION("AVERAGE(QUERY(SORT(GOOGLEFINANCE(B446,""price"",TODAY()-365,TODAY()),1,0),""select Col2 limit 90""))"),1003.6105555555555)</f>
        <v>1003.610556</v>
      </c>
      <c r="M446" s="17">
        <f>IFERROR(__xludf.DUMMYFUNCTION("AVERAGE(QUERY(SORT(GOOGLEFINANCE(B446,""price"",TODAY()-365,TODAY()),1,0),""select Col2 limit 120""))"),968.9875000000001)</f>
        <v>968.9875</v>
      </c>
      <c r="N446" s="19">
        <f>IFERROR(__xludf.DUMMYFUNCTION("AVERAGE(QUERY(SORT(GOOGLEFINANCE(B446,""price"",TODAY()-365,TODAY()),1,0),""select Col2 limit 200""))"),951.7744999999999)</f>
        <v>951.7745</v>
      </c>
      <c r="O446" s="20" t="str">
        <f t="shared" si="2"/>
        <v>Avoid</v>
      </c>
      <c r="P446" s="21" t="str">
        <f t="shared" si="3"/>
        <v/>
      </c>
      <c r="Q446" s="21" t="str">
        <f t="shared" si="4"/>
        <v/>
      </c>
      <c r="R446" s="22">
        <f>IFERROR(__xludf.DUMMYFUNCTION("GOOGLEFINANCE(B446, ""pe"")
"),101.9)</f>
        <v>101.9</v>
      </c>
    </row>
    <row r="447">
      <c r="A447" s="9" t="s">
        <v>459</v>
      </c>
      <c r="B447" s="11" t="str">
        <f t="shared" si="1"/>
        <v>NSE:GESHIP</v>
      </c>
      <c r="C447" s="12">
        <f>IFERROR(__xludf.DUMMYFUNCTION("GOOGLEFINANCE(B447,""marketcap"")/10000000"),13649.9620824)</f>
        <v>13649.96208</v>
      </c>
      <c r="D447" s="13">
        <f>IFERROR(__xludf.DUMMYFUNCTION("GOOGLEFINANCE(B447,""price"")"),956.3)</f>
        <v>956.3</v>
      </c>
      <c r="E447" s="14">
        <f>IFERROR(__xludf.DUMMYFUNCTION("GOOGLEFINANCE(B447,""Volume"")"),72315.0)</f>
        <v>72315</v>
      </c>
      <c r="F447" s="14">
        <f t="array" ref="F447">F446</f>
        <v>14</v>
      </c>
      <c r="G447" s="15" t="str">
        <f>IFERROR(__xludf.DUMMYFUNCTION("IF(E447&gt;AVERAGE(INDEX(GOOGLEFINANCE(B447,""volume"",WORKDAY(TODAY(),-$F$1),TODAY()),,2)),""Breakout"","""")"),"")</f>
        <v/>
      </c>
      <c r="H447" s="16">
        <f>IFERROR(__xludf.DUMMYFUNCTION("GOOGLEFINANCE(B447,""price"")"),956.3)</f>
        <v>956.3</v>
      </c>
      <c r="I447" s="17">
        <f>IFERROR(__xludf.DUMMYFUNCTION("AVERAGE(QUERY(SORT(GOOGLEFINANCE(B447,""price"",TODAY()-365,TODAY()),1,0),""select Col2 limit 10""))"),986.825)</f>
        <v>986.825</v>
      </c>
      <c r="J447" s="17">
        <f>IFERROR(__xludf.DUMMYFUNCTION("AVERAGE(QUERY(SORT(GOOGLEFINANCE(B447,""price"",TODAY()-365,TODAY()),1,0),""select Col2 limit 30""))"),990.1883333333332)</f>
        <v>990.1883333</v>
      </c>
      <c r="K447" s="18">
        <f>IFERROR(__xludf.DUMMYFUNCTION("AVERAGE(QUERY(SORT(GOOGLEFINANCE(B447,""price"",TODAY()-365,TODAY()),1,0),""select Col2 limit 60""))"),964.5491666666669)</f>
        <v>964.5491667</v>
      </c>
      <c r="L447" s="17">
        <f>IFERROR(__xludf.DUMMYFUNCTION("AVERAGE(QUERY(SORT(GOOGLEFINANCE(B447,""price"",TODAY()-365,TODAY()),1,0),""select Col2 limit 90""))"),944.7927777777778)</f>
        <v>944.7927778</v>
      </c>
      <c r="M447" s="17">
        <f>IFERROR(__xludf.DUMMYFUNCTION("AVERAGE(QUERY(SORT(GOOGLEFINANCE(B447,""price"",TODAY()-365,TODAY()),1,0),""select Col2 limit 120""))"),932.4879166666664)</f>
        <v>932.4879167</v>
      </c>
      <c r="N447" s="19">
        <f>IFERROR(__xludf.DUMMYFUNCTION("AVERAGE(QUERY(SORT(GOOGLEFINANCE(B447,""price"",TODAY()-365,TODAY()),1,0),""select Col2 limit 200""))"),997.8817499999993)</f>
        <v>997.88175</v>
      </c>
      <c r="O447" s="20" t="str">
        <f t="shared" si="2"/>
        <v>Avoid</v>
      </c>
      <c r="P447" s="21" t="str">
        <f t="shared" si="3"/>
        <v>60 DMA</v>
      </c>
      <c r="Q447" s="21" t="str">
        <f t="shared" si="4"/>
        <v/>
      </c>
      <c r="R447" s="22">
        <f>IFERROR(__xludf.DUMMYFUNCTION("GOOGLEFINANCE(B447, ""pe"")
"),5.83)</f>
        <v>5.83</v>
      </c>
    </row>
    <row r="448">
      <c r="A448" s="9" t="s">
        <v>460</v>
      </c>
      <c r="B448" s="11" t="str">
        <f t="shared" si="1"/>
        <v>NSE:SONATSOFTW</v>
      </c>
      <c r="C448" s="12">
        <f>IFERROR(__xludf.DUMMYFUNCTION("GOOGLEFINANCE(B448,""marketcap"")/10000000"),11352.7681089)</f>
        <v>11352.76811</v>
      </c>
      <c r="D448" s="13">
        <f>IFERROR(__xludf.DUMMYFUNCTION("GOOGLEFINANCE(B448,""price"")"),407.0)</f>
        <v>407</v>
      </c>
      <c r="E448" s="14">
        <f>IFERROR(__xludf.DUMMYFUNCTION("GOOGLEFINANCE(B448,""Volume"")"),358413.0)</f>
        <v>358413</v>
      </c>
      <c r="F448" s="14">
        <f t="array" ref="F448">F447</f>
        <v>14</v>
      </c>
      <c r="G448" s="15" t="str">
        <f>IFERROR(__xludf.DUMMYFUNCTION("IF(E448&gt;AVERAGE(INDEX(GOOGLEFINANCE(B448,""volume"",WORKDAY(TODAY(),-$F$1),TODAY()),,2)),""Breakout"","""")"),"")</f>
        <v/>
      </c>
      <c r="H448" s="16">
        <f>IFERROR(__xludf.DUMMYFUNCTION("GOOGLEFINANCE(B448,""price"")"),407.0)</f>
        <v>407</v>
      </c>
      <c r="I448" s="17">
        <f>IFERROR(__xludf.DUMMYFUNCTION("AVERAGE(QUERY(SORT(GOOGLEFINANCE(B448,""price"",TODAY()-365,TODAY()),1,0),""select Col2 limit 10""))"),431.91999999999996)</f>
        <v>431.92</v>
      </c>
      <c r="J448" s="17">
        <f>IFERROR(__xludf.DUMMYFUNCTION("AVERAGE(QUERY(SORT(GOOGLEFINANCE(B448,""price"",TODAY()-365,TODAY()),1,0),""select Col2 limit 30""))"),419.9099999999999)</f>
        <v>419.91</v>
      </c>
      <c r="K448" s="18">
        <f>IFERROR(__xludf.DUMMYFUNCTION("AVERAGE(QUERY(SORT(GOOGLEFINANCE(B448,""price"",TODAY()-365,TODAY()),1,0),""select Col2 limit 60""))"),411.1841666666666)</f>
        <v>411.1841667</v>
      </c>
      <c r="L448" s="17">
        <f>IFERROR(__xludf.DUMMYFUNCTION("AVERAGE(QUERY(SORT(GOOGLEFINANCE(B448,""price"",TODAY()-365,TODAY()),1,0),""select Col2 limit 90""))"),390.19000000000005)</f>
        <v>390.19</v>
      </c>
      <c r="M448" s="17">
        <f>IFERROR(__xludf.DUMMYFUNCTION("AVERAGE(QUERY(SORT(GOOGLEFINANCE(B448,""price"",TODAY()-365,TODAY()),1,0),""select Col2 limit 120""))"),401.6429166666667)</f>
        <v>401.6429167</v>
      </c>
      <c r="N448" s="19">
        <f>IFERROR(__xludf.DUMMYFUNCTION("AVERAGE(QUERY(SORT(GOOGLEFINANCE(B448,""price"",TODAY()-365,TODAY()),1,0),""select Col2 limit 200""))"),483.99325000000005)</f>
        <v>483.99325</v>
      </c>
      <c r="O448" s="20" t="str">
        <f t="shared" si="2"/>
        <v>Avoid</v>
      </c>
      <c r="P448" s="21" t="str">
        <f t="shared" si="3"/>
        <v/>
      </c>
      <c r="Q448" s="21" t="str">
        <f t="shared" si="4"/>
        <v/>
      </c>
      <c r="R448" s="22">
        <f>IFERROR(__xludf.DUMMYFUNCTION("GOOGLEFINANCE(B448, ""pe"")
"),26.75)</f>
        <v>26.75</v>
      </c>
    </row>
    <row r="449">
      <c r="A449" s="9" t="s">
        <v>461</v>
      </c>
      <c r="B449" s="11" t="str">
        <f t="shared" si="1"/>
        <v>NSE:MANAPPURAM</v>
      </c>
      <c r="C449" s="12">
        <f>IFERROR(__xludf.DUMMYFUNCTION("GOOGLEFINANCE(B449,""marketcap"")/10000000"),22358.5720838)</f>
        <v>22358.57208</v>
      </c>
      <c r="D449" s="13">
        <f>IFERROR(__xludf.DUMMYFUNCTION("GOOGLEFINANCE(B449,""price"")"),264.3)</f>
        <v>264.3</v>
      </c>
      <c r="E449" s="14">
        <f>IFERROR(__xludf.DUMMYFUNCTION("GOOGLEFINANCE(B449,""Volume"")"),1247883.0)</f>
        <v>1247883</v>
      </c>
      <c r="F449" s="14">
        <f t="array" ref="F449">F448</f>
        <v>14</v>
      </c>
      <c r="G449" s="15" t="str">
        <f>IFERROR(__xludf.DUMMYFUNCTION("IF(E449&gt;AVERAGE(INDEX(GOOGLEFINANCE(B449,""volume"",WORKDAY(TODAY(),-$F$1),TODAY()),,2)),""Breakout"","""")"),"")</f>
        <v/>
      </c>
      <c r="H449" s="16">
        <f>IFERROR(__xludf.DUMMYFUNCTION("GOOGLEFINANCE(B449,""price"")"),264.3)</f>
        <v>264.3</v>
      </c>
      <c r="I449" s="17">
        <f>IFERROR(__xludf.DUMMYFUNCTION("AVERAGE(QUERY(SORT(GOOGLEFINANCE(B449,""price"",TODAY()-365,TODAY()),1,0),""select Col2 limit 10""))"),269.85499999999996)</f>
        <v>269.855</v>
      </c>
      <c r="J449" s="17">
        <f>IFERROR(__xludf.DUMMYFUNCTION("AVERAGE(QUERY(SORT(GOOGLEFINANCE(B449,""price"",TODAY()-365,TODAY()),1,0),""select Col2 limit 30""))"),270.586)</f>
        <v>270.586</v>
      </c>
      <c r="K449" s="18">
        <f>IFERROR(__xludf.DUMMYFUNCTION("AVERAGE(QUERY(SORT(GOOGLEFINANCE(B449,""price"",TODAY()-365,TODAY()),1,0),""select Col2 limit 60""))"),254.39750000000004)</f>
        <v>254.3975</v>
      </c>
      <c r="L449" s="17">
        <f>IFERROR(__xludf.DUMMYFUNCTION("AVERAGE(QUERY(SORT(GOOGLEFINANCE(B449,""price"",TODAY()-365,TODAY()),1,0),""select Col2 limit 90""))"),245.81488888888893)</f>
        <v>245.8148889</v>
      </c>
      <c r="M449" s="17">
        <f>IFERROR(__xludf.DUMMYFUNCTION("AVERAGE(QUERY(SORT(GOOGLEFINANCE(B449,""price"",TODAY()-365,TODAY()),1,0),""select Col2 limit 120""))"),234.58424999999997)</f>
        <v>234.58425</v>
      </c>
      <c r="N449" s="19">
        <f>IFERROR(__xludf.DUMMYFUNCTION("AVERAGE(QUERY(SORT(GOOGLEFINANCE(B449,""price"",TODAY()-365,TODAY()),1,0),""select Col2 limit 200""))"),209.73645)</f>
        <v>209.73645</v>
      </c>
      <c r="O449" s="20" t="str">
        <f t="shared" si="2"/>
        <v>Avoid</v>
      </c>
      <c r="P449" s="21" t="str">
        <f t="shared" si="3"/>
        <v/>
      </c>
      <c r="Q449" s="21" t="str">
        <f t="shared" si="4"/>
        <v/>
      </c>
      <c r="R449" s="22">
        <f>IFERROR(__xludf.DUMMYFUNCTION("GOOGLEFINANCE(B449, ""pe"")
"),18.38)</f>
        <v>18.38</v>
      </c>
    </row>
    <row r="450">
      <c r="A450" s="9" t="s">
        <v>462</v>
      </c>
      <c r="B450" s="11" t="str">
        <f t="shared" si="1"/>
        <v>NSE:JYOTHYLAB</v>
      </c>
      <c r="C450" s="12">
        <f>IFERROR(__xludf.DUMMYFUNCTION("GOOGLEFINANCE(B450,""marketcap"")/10000000"),12439.3878)</f>
        <v>12439.3878</v>
      </c>
      <c r="D450" s="13">
        <f>IFERROR(__xludf.DUMMYFUNCTION("GOOGLEFINANCE(B450,""price"")"),338.5)</f>
        <v>338.5</v>
      </c>
      <c r="E450" s="14">
        <f>IFERROR(__xludf.DUMMYFUNCTION("GOOGLEFINANCE(B450,""Volume"")"),73826.0)</f>
        <v>73826</v>
      </c>
      <c r="F450" s="14">
        <f t="array" ref="F450">F449</f>
        <v>14</v>
      </c>
      <c r="G450" s="15" t="str">
        <f>IFERROR(__xludf.DUMMYFUNCTION("IF(E450&gt;AVERAGE(INDEX(GOOGLEFINANCE(B450,""volume"",WORKDAY(TODAY(),-$F$1),TODAY()),,2)),""Breakout"","""")"),"")</f>
        <v/>
      </c>
      <c r="H450" s="16">
        <f>IFERROR(__xludf.DUMMYFUNCTION("GOOGLEFINANCE(B450,""price"")"),338.5)</f>
        <v>338.5</v>
      </c>
      <c r="I450" s="17">
        <f>IFERROR(__xludf.DUMMYFUNCTION("AVERAGE(QUERY(SORT(GOOGLEFINANCE(B450,""price"",TODAY()-365,TODAY()),1,0),""select Col2 limit 10""))"),344.55000000000007)</f>
        <v>344.55</v>
      </c>
      <c r="J450" s="17">
        <f>IFERROR(__xludf.DUMMYFUNCTION("AVERAGE(QUERY(SORT(GOOGLEFINANCE(B450,""price"",TODAY()-365,TODAY()),1,0),""select Col2 limit 30""))"),341.615)</f>
        <v>341.615</v>
      </c>
      <c r="K450" s="18">
        <f>IFERROR(__xludf.DUMMYFUNCTION("AVERAGE(QUERY(SORT(GOOGLEFINANCE(B450,""price"",TODAY()-365,TODAY()),1,0),""select Col2 limit 60""))"),344.4674999999999)</f>
        <v>344.4675</v>
      </c>
      <c r="L450" s="17">
        <f>IFERROR(__xludf.DUMMYFUNCTION("AVERAGE(QUERY(SORT(GOOGLEFINANCE(B450,""price"",TODAY()-365,TODAY()),1,0),""select Col2 limit 90""))"),348.09)</f>
        <v>348.09</v>
      </c>
      <c r="M450" s="17">
        <f>IFERROR(__xludf.DUMMYFUNCTION("AVERAGE(QUERY(SORT(GOOGLEFINANCE(B450,""price"",TODAY()-365,TODAY()),1,0),""select Col2 limit 120""))"),350.09166666666675)</f>
        <v>350.0916667</v>
      </c>
      <c r="N450" s="19">
        <f>IFERROR(__xludf.DUMMYFUNCTION("AVERAGE(QUERY(SORT(GOOGLEFINANCE(B450,""price"",TODAY()-365,TODAY()),1,0),""select Col2 limit 200""))"),384.4525)</f>
        <v>384.4525</v>
      </c>
      <c r="O450" s="20" t="str">
        <f t="shared" si="2"/>
        <v>Avoid</v>
      </c>
      <c r="P450" s="21" t="str">
        <f t="shared" si="3"/>
        <v>30 DMA</v>
      </c>
      <c r="Q450" s="21" t="str">
        <f t="shared" si="4"/>
        <v/>
      </c>
      <c r="R450" s="22">
        <f>IFERROR(__xludf.DUMMYFUNCTION("GOOGLEFINANCE(B450, ""pe"")
"),33.56)</f>
        <v>33.56</v>
      </c>
    </row>
    <row r="451">
      <c r="A451" s="9" t="s">
        <v>463</v>
      </c>
      <c r="B451" s="11" t="str">
        <f t="shared" si="1"/>
        <v>NSE:IDFC</v>
      </c>
      <c r="C451" s="12" t="str">
        <f>IFERROR(__xludf.DUMMYFUNCTION("GOOGLEFINANCE(B451,""marketcap"")/10000000"),"#N/A")</f>
        <v>#N/A</v>
      </c>
      <c r="D451" s="13" t="str">
        <f>IFERROR(__xludf.DUMMYFUNCTION("GOOGLEFINANCE(B451,""price"")"),"#N/A")</f>
        <v>#N/A</v>
      </c>
      <c r="E451" s="14" t="str">
        <f>IFERROR(__xludf.DUMMYFUNCTION("GOOGLEFINANCE(B451,""Volume"")"),"#N/A")</f>
        <v>#N/A</v>
      </c>
      <c r="F451" s="14">
        <f t="array" ref="F451">F450</f>
        <v>14</v>
      </c>
      <c r="G451" s="15" t="str">
        <f>IFERROR(__xludf.DUMMYFUNCTION("IF(E451&gt;AVERAGE(INDEX(GOOGLEFINANCE(B451,""volume"",WORKDAY(TODAY(),-$F$1),TODAY()),,2)),""Breakout"","""")"),"#N/A")</f>
        <v>#N/A</v>
      </c>
      <c r="H451" s="16" t="str">
        <f>IFERROR(__xludf.DUMMYFUNCTION("GOOGLEFINANCE(B451,""price"")"),"#N/A")</f>
        <v>#N/A</v>
      </c>
      <c r="I451" s="17" t="str">
        <f>IFERROR(__xludf.DUMMYFUNCTION("AVERAGE(QUERY(SORT(GOOGLEFINANCE(B451,""price"",TODAY()-365,TODAY()),1,0),""select Col2 limit 10""))"),"#N/A")</f>
        <v>#N/A</v>
      </c>
      <c r="J451" s="17" t="str">
        <f>IFERROR(__xludf.DUMMYFUNCTION("AVERAGE(QUERY(SORT(GOOGLEFINANCE(B451,""price"",TODAY()-365,TODAY()),1,0),""select Col2 limit 30""))"),"#N/A")</f>
        <v>#N/A</v>
      </c>
      <c r="K451" s="18" t="str">
        <f>IFERROR(__xludf.DUMMYFUNCTION("AVERAGE(QUERY(SORT(GOOGLEFINANCE(B451,""price"",TODAY()-365,TODAY()),1,0),""select Col2 limit 60""))"),"#N/A")</f>
        <v>#N/A</v>
      </c>
      <c r="L451" s="17" t="str">
        <f>IFERROR(__xludf.DUMMYFUNCTION("AVERAGE(QUERY(SORT(GOOGLEFINANCE(B451,""price"",TODAY()-365,TODAY()),1,0),""select Col2 limit 90""))"),"#N/A")</f>
        <v>#N/A</v>
      </c>
      <c r="M451" s="17" t="str">
        <f>IFERROR(__xludf.DUMMYFUNCTION("AVERAGE(QUERY(SORT(GOOGLEFINANCE(B451,""price"",TODAY()-365,TODAY()),1,0),""select Col2 limit 120""))"),"#N/A")</f>
        <v>#N/A</v>
      </c>
      <c r="N451" s="19" t="str">
        <f>IFERROR(__xludf.DUMMYFUNCTION("AVERAGE(QUERY(SORT(GOOGLEFINANCE(B451,""price"",TODAY()-365,TODAY()),1,0),""select Col2 limit 200""))"),"#N/A")</f>
        <v>#N/A</v>
      </c>
      <c r="O451" s="20" t="str">
        <f t="shared" si="2"/>
        <v>#N/A</v>
      </c>
      <c r="P451" s="21" t="str">
        <f t="shared" si="3"/>
        <v>#N/A</v>
      </c>
      <c r="Q451" s="21" t="str">
        <f t="shared" si="4"/>
        <v>#N/A</v>
      </c>
      <c r="R451" s="22" t="str">
        <f>IFERROR(__xludf.DUMMYFUNCTION("GOOGLEFINANCE(B451, ""pe"")
"),"#N/A")</f>
        <v>#N/A</v>
      </c>
    </row>
    <row r="452">
      <c r="A452" s="9" t="s">
        <v>464</v>
      </c>
      <c r="B452" s="11" t="str">
        <f t="shared" si="1"/>
        <v>NSE:KIRLOSENG</v>
      </c>
      <c r="C452" s="12">
        <f>IFERROR(__xludf.DUMMYFUNCTION("GOOGLEFINANCE(B452,""marketcap"")/10000000"),13078.7335426)</f>
        <v>13078.73354</v>
      </c>
      <c r="D452" s="13">
        <f>IFERROR(__xludf.DUMMYFUNCTION("GOOGLEFINANCE(B452,""price"")"),899.6)</f>
        <v>899.6</v>
      </c>
      <c r="E452" s="14">
        <f>IFERROR(__xludf.DUMMYFUNCTION("GOOGLEFINANCE(B452,""Volume"")"),101323.0)</f>
        <v>101323</v>
      </c>
      <c r="F452" s="14">
        <f t="array" ref="F452">F451</f>
        <v>14</v>
      </c>
      <c r="G452" s="15" t="str">
        <f>IFERROR(__xludf.DUMMYFUNCTION("IF(E452&gt;AVERAGE(INDEX(GOOGLEFINANCE(B452,""volume"",WORKDAY(TODAY(),-$F$1),TODAY()),,2)),""Breakout"","""")"),"")</f>
        <v/>
      </c>
      <c r="H452" s="16">
        <f>IFERROR(__xludf.DUMMYFUNCTION("GOOGLEFINANCE(B452,""price"")"),899.6)</f>
        <v>899.6</v>
      </c>
      <c r="I452" s="17">
        <f>IFERROR(__xludf.DUMMYFUNCTION("AVERAGE(QUERY(SORT(GOOGLEFINANCE(B452,""price"",TODAY()-365,TODAY()),1,0),""select Col2 limit 10""))"),923.765)</f>
        <v>923.765</v>
      </c>
      <c r="J452" s="17">
        <f>IFERROR(__xludf.DUMMYFUNCTION("AVERAGE(QUERY(SORT(GOOGLEFINANCE(B452,""price"",TODAY()-365,TODAY()),1,0),""select Col2 limit 30""))"),879.6049999999999)</f>
        <v>879.605</v>
      </c>
      <c r="K452" s="18">
        <f>IFERROR(__xludf.DUMMYFUNCTION("AVERAGE(QUERY(SORT(GOOGLEFINANCE(B452,""price"",TODAY()-365,TODAY()),1,0),""select Col2 limit 60""))"),857.0783333333329)</f>
        <v>857.0783333</v>
      </c>
      <c r="L452" s="17">
        <f>IFERROR(__xludf.DUMMYFUNCTION("AVERAGE(QUERY(SORT(GOOGLEFINANCE(B452,""price"",TODAY()-365,TODAY()),1,0),""select Col2 limit 90""))"),815.9566666666663)</f>
        <v>815.9566667</v>
      </c>
      <c r="M452" s="17">
        <f>IFERROR(__xludf.DUMMYFUNCTION("AVERAGE(QUERY(SORT(GOOGLEFINANCE(B452,""price"",TODAY()-365,TODAY()),1,0),""select Col2 limit 120""))"),785.1349999999998)</f>
        <v>785.135</v>
      </c>
      <c r="N452" s="19">
        <f>IFERROR(__xludf.DUMMYFUNCTION("AVERAGE(QUERY(SORT(GOOGLEFINANCE(B452,""price"",TODAY()-365,TODAY()),1,0),""select Col2 limit 200""))"),900.2587499999998)</f>
        <v>900.25875</v>
      </c>
      <c r="O452" s="20" t="str">
        <f t="shared" si="2"/>
        <v>Avoid</v>
      </c>
      <c r="P452" s="21" t="str">
        <f t="shared" si="3"/>
        <v>200 DMA</v>
      </c>
      <c r="Q452" s="21" t="str">
        <f t="shared" si="4"/>
        <v/>
      </c>
      <c r="R452" s="22">
        <f>IFERROR(__xludf.DUMMYFUNCTION("GOOGLEFINANCE(B452, ""pe"")
"),26.76)</f>
        <v>26.76</v>
      </c>
    </row>
    <row r="453">
      <c r="A453" s="9" t="s">
        <v>465</v>
      </c>
      <c r="B453" s="11" t="str">
        <f t="shared" si="1"/>
        <v>NSE:IFCI</v>
      </c>
      <c r="C453" s="12">
        <f>IFERROR(__xludf.DUMMYFUNCTION("GOOGLEFINANCE(B453,""marketcap"")/10000000"),15812.9343649)</f>
        <v>15812.93436</v>
      </c>
      <c r="D453" s="13">
        <f>IFERROR(__xludf.DUMMYFUNCTION("GOOGLEFINANCE(B453,""price"")"),58.75)</f>
        <v>58.75</v>
      </c>
      <c r="E453" s="14">
        <f>IFERROR(__xludf.DUMMYFUNCTION("GOOGLEFINANCE(B453,""Volume"")"),3124481.0)</f>
        <v>3124481</v>
      </c>
      <c r="F453" s="14">
        <f t="array" ref="F453">F452</f>
        <v>14</v>
      </c>
      <c r="G453" s="15" t="str">
        <f>IFERROR(__xludf.DUMMYFUNCTION("IF(E453&gt;AVERAGE(INDEX(GOOGLEFINANCE(B453,""volume"",WORKDAY(TODAY(),-$F$1),TODAY()),,2)),""Breakout"","""")"),"")</f>
        <v/>
      </c>
      <c r="H453" s="16">
        <f>IFERROR(__xludf.DUMMYFUNCTION("GOOGLEFINANCE(B453,""price"")"),58.75)</f>
        <v>58.75</v>
      </c>
      <c r="I453" s="17">
        <f>IFERROR(__xludf.DUMMYFUNCTION("AVERAGE(QUERY(SORT(GOOGLEFINANCE(B453,""price"",TODAY()-365,TODAY()),1,0),""select Col2 limit 10""))"),61.379)</f>
        <v>61.379</v>
      </c>
      <c r="J453" s="17">
        <f>IFERROR(__xludf.DUMMYFUNCTION("AVERAGE(QUERY(SORT(GOOGLEFINANCE(B453,""price"",TODAY()-365,TODAY()),1,0),""select Col2 limit 30""))"),61.85333333333334)</f>
        <v>61.85333333</v>
      </c>
      <c r="K453" s="18">
        <f>IFERROR(__xludf.DUMMYFUNCTION("AVERAGE(QUERY(SORT(GOOGLEFINANCE(B453,""price"",TODAY()-365,TODAY()),1,0),""select Col2 limit 60""))"),58.82833333333333)</f>
        <v>58.82833333</v>
      </c>
      <c r="L453" s="17">
        <f>IFERROR(__xludf.DUMMYFUNCTION("AVERAGE(QUERY(SORT(GOOGLEFINANCE(B453,""price"",TODAY()-365,TODAY()),1,0),""select Col2 limit 90""))"),53.69044444444444)</f>
        <v>53.69044444</v>
      </c>
      <c r="M453" s="17">
        <f>IFERROR(__xludf.DUMMYFUNCTION("AVERAGE(QUERY(SORT(GOOGLEFINANCE(B453,""price"",TODAY()-365,TODAY()),1,0),""select Col2 limit 120""))"),51.91249999999997)</f>
        <v>51.9125</v>
      </c>
      <c r="N453" s="19">
        <f>IFERROR(__xludf.DUMMYFUNCTION("AVERAGE(QUERY(SORT(GOOGLEFINANCE(B453,""price"",TODAY()-365,TODAY()),1,0),""select Col2 limit 200""))"),55.061349999999955)</f>
        <v>55.06135</v>
      </c>
      <c r="O453" s="20" t="str">
        <f t="shared" si="2"/>
        <v>Avoid</v>
      </c>
      <c r="P453" s="21" t="str">
        <f t="shared" si="3"/>
        <v>60 DMA</v>
      </c>
      <c r="Q453" s="21" t="str">
        <f t="shared" si="4"/>
        <v/>
      </c>
      <c r="R453" s="22">
        <f>IFERROR(__xludf.DUMMYFUNCTION("GOOGLEFINANCE(B453, ""pe"")
"),90.29)</f>
        <v>90.29</v>
      </c>
    </row>
    <row r="454">
      <c r="A454" s="9" t="s">
        <v>466</v>
      </c>
      <c r="B454" s="11" t="str">
        <f t="shared" si="1"/>
        <v>NSE:CGCL</v>
      </c>
      <c r="C454" s="12">
        <f>IFERROR(__xludf.DUMMYFUNCTION("GOOGLEFINANCE(B454,""marketcap"")/10000000"),17657.7634937)</f>
        <v>17657.76349</v>
      </c>
      <c r="D454" s="13">
        <f>IFERROR(__xludf.DUMMYFUNCTION("GOOGLEFINANCE(B454,""price"")"),182.9)</f>
        <v>182.9</v>
      </c>
      <c r="E454" s="14">
        <f>IFERROR(__xludf.DUMMYFUNCTION("GOOGLEFINANCE(B454,""Volume"")"),1425549.0)</f>
        <v>1425549</v>
      </c>
      <c r="F454" s="14">
        <f t="array" ref="F454">F453</f>
        <v>14</v>
      </c>
      <c r="G454" s="15" t="str">
        <f>IFERROR(__xludf.DUMMYFUNCTION("IF(E454&gt;AVERAGE(INDEX(GOOGLEFINANCE(B454,""volume"",WORKDAY(TODAY(),-$F$1),TODAY()),,2)),""Breakout"","""")"),"")</f>
        <v/>
      </c>
      <c r="H454" s="16">
        <f>IFERROR(__xludf.DUMMYFUNCTION("GOOGLEFINANCE(B454,""price"")"),182.9)</f>
        <v>182.9</v>
      </c>
      <c r="I454" s="17">
        <f>IFERROR(__xludf.DUMMYFUNCTION("AVERAGE(QUERY(SORT(GOOGLEFINANCE(B454,""price"",TODAY()-365,TODAY()),1,0),""select Col2 limit 10""))"),181.859)</f>
        <v>181.859</v>
      </c>
      <c r="J454" s="17">
        <f>IFERROR(__xludf.DUMMYFUNCTION("AVERAGE(QUERY(SORT(GOOGLEFINANCE(B454,""price"",TODAY()-365,TODAY()),1,0),""select Col2 limit 30""))"),174.01100000000002)</f>
        <v>174.011</v>
      </c>
      <c r="K454" s="18">
        <f>IFERROR(__xludf.DUMMYFUNCTION("AVERAGE(QUERY(SORT(GOOGLEFINANCE(B454,""price"",TODAY()-365,TODAY()),1,0),""select Col2 limit 60""))"),168.59683333333334)</f>
        <v>168.5968333</v>
      </c>
      <c r="L454" s="17">
        <f>IFERROR(__xludf.DUMMYFUNCTION("AVERAGE(QUERY(SORT(GOOGLEFINANCE(B454,""price"",TODAY()-365,TODAY()),1,0),""select Col2 limit 90""))"),167.3935555555555)</f>
        <v>167.3935556</v>
      </c>
      <c r="M454" s="17">
        <f>IFERROR(__xludf.DUMMYFUNCTION("AVERAGE(QUERY(SORT(GOOGLEFINANCE(B454,""price"",TODAY()-365,TODAY()),1,0),""select Col2 limit 120""))"),167.71191666666667)</f>
        <v>167.7119167</v>
      </c>
      <c r="N454" s="19">
        <f>IFERROR(__xludf.DUMMYFUNCTION("AVERAGE(QUERY(SORT(GOOGLEFINANCE(B454,""price"",TODAY()-365,TODAY()),1,0),""select Col2 limit 200""))"),178.22915)</f>
        <v>178.22915</v>
      </c>
      <c r="O454" s="20" t="str">
        <f t="shared" si="2"/>
        <v>Avoid</v>
      </c>
      <c r="P454" s="21" t="str">
        <f t="shared" si="3"/>
        <v/>
      </c>
      <c r="Q454" s="21" t="str">
        <f t="shared" si="4"/>
        <v/>
      </c>
      <c r="R454" s="22">
        <f>IFERROR(__xludf.DUMMYFUNCTION("GOOGLEFINANCE(B454, ""pe"")
"),31.73)</f>
        <v>31.73</v>
      </c>
    </row>
    <row r="455">
      <c r="A455" s="9" t="s">
        <v>467</v>
      </c>
      <c r="B455" s="11" t="str">
        <f t="shared" si="1"/>
        <v>NSE:DATAPATTNS</v>
      </c>
      <c r="C455" s="12">
        <f>IFERROR(__xludf.DUMMYFUNCTION("GOOGLEFINANCE(B455,""marketcap"")/10000000"),14471.2958585)</f>
        <v>14471.29586</v>
      </c>
      <c r="D455" s="13">
        <f>IFERROR(__xludf.DUMMYFUNCTION("GOOGLEFINANCE(B455,""price"")"),2593.6)</f>
        <v>2593.6</v>
      </c>
      <c r="E455" s="14">
        <f>IFERROR(__xludf.DUMMYFUNCTION("GOOGLEFINANCE(B455,""Volume"")"),138708.0)</f>
        <v>138708</v>
      </c>
      <c r="F455" s="14">
        <f t="array" ref="F455">F454</f>
        <v>14</v>
      </c>
      <c r="G455" s="15" t="str">
        <f>IFERROR(__xludf.DUMMYFUNCTION("IF(E455&gt;AVERAGE(INDEX(GOOGLEFINANCE(B455,""volume"",WORKDAY(TODAY(),-$F$1),TODAY()),,2)),""Breakout"","""")"),"")</f>
        <v/>
      </c>
      <c r="H455" s="16">
        <f>IFERROR(__xludf.DUMMYFUNCTION("GOOGLEFINANCE(B455,""price"")"),2593.6)</f>
        <v>2593.6</v>
      </c>
      <c r="I455" s="17">
        <f>IFERROR(__xludf.DUMMYFUNCTION("AVERAGE(QUERY(SORT(GOOGLEFINANCE(B455,""price"",TODAY()-365,TODAY()),1,0),""select Col2 limit 10""))"),2805.34)</f>
        <v>2805.34</v>
      </c>
      <c r="J455" s="17">
        <f>IFERROR(__xludf.DUMMYFUNCTION("AVERAGE(QUERY(SORT(GOOGLEFINANCE(B455,""price"",TODAY()-365,TODAY()),1,0),""select Col2 limit 30""))"),2894.916666666667)</f>
        <v>2894.916667</v>
      </c>
      <c r="K455" s="18">
        <f>IFERROR(__xludf.DUMMYFUNCTION("AVERAGE(QUERY(SORT(GOOGLEFINANCE(B455,""price"",TODAY()-365,TODAY()),1,0),""select Col2 limit 60""))"),2814.9049999999997)</f>
        <v>2814.905</v>
      </c>
      <c r="L455" s="17">
        <f>IFERROR(__xludf.DUMMYFUNCTION("AVERAGE(QUERY(SORT(GOOGLEFINANCE(B455,""price"",TODAY()-365,TODAY()),1,0),""select Col2 limit 90""))"),2500.3205555555555)</f>
        <v>2500.320556</v>
      </c>
      <c r="M455" s="17">
        <f>IFERROR(__xludf.DUMMYFUNCTION("AVERAGE(QUERY(SORT(GOOGLEFINANCE(B455,""price"",TODAY()-365,TODAY()),1,0),""select Col2 limit 120""))"),2296.246666666667)</f>
        <v>2296.246667</v>
      </c>
      <c r="N455" s="19">
        <f>IFERROR(__xludf.DUMMYFUNCTION("AVERAGE(QUERY(SORT(GOOGLEFINANCE(B455,""price"",TODAY()-365,TODAY()),1,0),""select Col2 limit 200""))"),2327.4467500000005)</f>
        <v>2327.44675</v>
      </c>
      <c r="O455" s="20" t="str">
        <f t="shared" si="2"/>
        <v>Avoid</v>
      </c>
      <c r="P455" s="21" t="str">
        <f t="shared" si="3"/>
        <v/>
      </c>
      <c r="Q455" s="21" t="str">
        <f t="shared" si="4"/>
        <v/>
      </c>
      <c r="R455" s="22">
        <f>IFERROR(__xludf.DUMMYFUNCTION("GOOGLEFINANCE(B455, ""pe"")
"),65.04)</f>
        <v>65.04</v>
      </c>
    </row>
    <row r="456">
      <c r="A456" s="9" t="s">
        <v>468</v>
      </c>
      <c r="B456" s="11" t="str">
        <f t="shared" si="1"/>
        <v>NSE:GSPL</v>
      </c>
      <c r="C456" s="12">
        <f>IFERROR(__xludf.DUMMYFUNCTION("GOOGLEFINANCE(B456,""marketcap"")/10000000"),18204.2804766)</f>
        <v>18204.28048</v>
      </c>
      <c r="D456" s="13">
        <f>IFERROR(__xludf.DUMMYFUNCTION("GOOGLEFINANCE(B456,""price"")"),322.8)</f>
        <v>322.8</v>
      </c>
      <c r="E456" s="14">
        <f>IFERROR(__xludf.DUMMYFUNCTION("GOOGLEFINANCE(B456,""Volume"")"),120766.0)</f>
        <v>120766</v>
      </c>
      <c r="F456" s="14">
        <f t="array" ref="F456">F455</f>
        <v>14</v>
      </c>
      <c r="G456" s="15" t="str">
        <f>IFERROR(__xludf.DUMMYFUNCTION("IF(E456&gt;AVERAGE(INDEX(GOOGLEFINANCE(B456,""volume"",WORKDAY(TODAY(),-$F$1),TODAY()),,2)),""Breakout"","""")"),"")</f>
        <v/>
      </c>
      <c r="H456" s="16">
        <f>IFERROR(__xludf.DUMMYFUNCTION("GOOGLEFINANCE(B456,""price"")"),322.8)</f>
        <v>322.8</v>
      </c>
      <c r="I456" s="17">
        <f>IFERROR(__xludf.DUMMYFUNCTION("AVERAGE(QUERY(SORT(GOOGLEFINANCE(B456,""price"",TODAY()-365,TODAY()),1,0),""select Col2 limit 10""))"),329.88500000000005)</f>
        <v>329.885</v>
      </c>
      <c r="J456" s="17">
        <f>IFERROR(__xludf.DUMMYFUNCTION("AVERAGE(QUERY(SORT(GOOGLEFINANCE(B456,""price"",TODAY()-365,TODAY()),1,0),""select Col2 limit 30""))"),328.25833333333327)</f>
        <v>328.2583333</v>
      </c>
      <c r="K456" s="18">
        <f>IFERROR(__xludf.DUMMYFUNCTION("AVERAGE(QUERY(SORT(GOOGLEFINANCE(B456,""price"",TODAY()-365,TODAY()),1,0),""select Col2 limit 60""))"),331.39416666666676)</f>
        <v>331.3941667</v>
      </c>
      <c r="L456" s="17">
        <f>IFERROR(__xludf.DUMMYFUNCTION("AVERAGE(QUERY(SORT(GOOGLEFINANCE(B456,""price"",TODAY()-365,TODAY()),1,0),""select Col2 limit 90""))"),321.44722222222225)</f>
        <v>321.4472222</v>
      </c>
      <c r="M456" s="17">
        <f>IFERROR(__xludf.DUMMYFUNCTION("AVERAGE(QUERY(SORT(GOOGLEFINANCE(B456,""price"",TODAY()-365,TODAY()),1,0),""select Col2 limit 120""))"),316.1716666666667)</f>
        <v>316.1716667</v>
      </c>
      <c r="N456" s="19">
        <f>IFERROR(__xludf.DUMMYFUNCTION("AVERAGE(QUERY(SORT(GOOGLEFINANCE(B456,""price"",TODAY()-365,TODAY()),1,0),""select Col2 limit 200""))"),338.3319999999998)</f>
        <v>338.332</v>
      </c>
      <c r="O456" s="20" t="str">
        <f t="shared" si="2"/>
        <v>Avoid</v>
      </c>
      <c r="P456" s="21" t="str">
        <f t="shared" si="3"/>
        <v/>
      </c>
      <c r="Q456" s="21" t="str">
        <f t="shared" si="4"/>
        <v/>
      </c>
      <c r="R456" s="22">
        <f>IFERROR(__xludf.DUMMYFUNCTION("GOOGLEFINANCE(B456, ""pe"")
"),16.4)</f>
        <v>16.4</v>
      </c>
    </row>
    <row r="457">
      <c r="A457" s="9" t="s">
        <v>469</v>
      </c>
      <c r="B457" s="11" t="str">
        <f t="shared" si="1"/>
        <v>NSE:SCHNEIDER</v>
      </c>
      <c r="C457" s="12">
        <f>IFERROR(__xludf.DUMMYFUNCTION("GOOGLEFINANCE(B457,""marketcap"")/10000000"),21325.6863437)</f>
        <v>21325.68634</v>
      </c>
      <c r="D457" s="13">
        <f>IFERROR(__xludf.DUMMYFUNCTION("GOOGLEFINANCE(B457,""price"")"),891.9)</f>
        <v>891.9</v>
      </c>
      <c r="E457" s="14">
        <f>IFERROR(__xludf.DUMMYFUNCTION("GOOGLEFINANCE(B457,""Volume"")"),58359.0)</f>
        <v>58359</v>
      </c>
      <c r="F457" s="14">
        <f t="array" ref="F457">F456</f>
        <v>14</v>
      </c>
      <c r="G457" s="15" t="str">
        <f>IFERROR(__xludf.DUMMYFUNCTION("IF(E457&gt;AVERAGE(INDEX(GOOGLEFINANCE(B457,""volume"",WORKDAY(TODAY(),-$F$1),TODAY()),,2)),""Breakout"","""")"),"")</f>
        <v/>
      </c>
      <c r="H457" s="16">
        <f>IFERROR(__xludf.DUMMYFUNCTION("GOOGLEFINANCE(B457,""price"")"),891.9)</f>
        <v>891.9</v>
      </c>
      <c r="I457" s="17">
        <f>IFERROR(__xludf.DUMMYFUNCTION("AVERAGE(QUERY(SORT(GOOGLEFINANCE(B457,""price"",TODAY()-365,TODAY()),1,0),""select Col2 limit 10""))"),903.5949999999999)</f>
        <v>903.595</v>
      </c>
      <c r="J457" s="17">
        <f>IFERROR(__xludf.DUMMYFUNCTION("AVERAGE(QUERY(SORT(GOOGLEFINANCE(B457,""price"",TODAY()-365,TODAY()),1,0),""select Col2 limit 30""))"),835.1133333333333)</f>
        <v>835.1133333</v>
      </c>
      <c r="K457" s="18">
        <f>IFERROR(__xludf.DUMMYFUNCTION("AVERAGE(QUERY(SORT(GOOGLEFINANCE(B457,""price"",TODAY()-365,TODAY()),1,0),""select Col2 limit 60""))"),760.7950000000001)</f>
        <v>760.795</v>
      </c>
      <c r="L457" s="17">
        <f>IFERROR(__xludf.DUMMYFUNCTION("AVERAGE(QUERY(SORT(GOOGLEFINANCE(B457,""price"",TODAY()-365,TODAY()),1,0),""select Col2 limit 90""))"),716.1983333333334)</f>
        <v>716.1983333</v>
      </c>
      <c r="M457" s="17">
        <f>IFERROR(__xludf.DUMMYFUNCTION("AVERAGE(QUERY(SORT(GOOGLEFINANCE(B457,""price"",TODAY()-365,TODAY()),1,0),""select Col2 limit 120""))"),696.7987499999999)</f>
        <v>696.79875</v>
      </c>
      <c r="N457" s="19">
        <f>IFERROR(__xludf.DUMMYFUNCTION("AVERAGE(QUERY(SORT(GOOGLEFINANCE(B457,""price"",TODAY()-365,TODAY()),1,0),""select Col2 limit 200""))"),729.9347500000002)</f>
        <v>729.93475</v>
      </c>
      <c r="O457" s="20" t="str">
        <f t="shared" si="2"/>
        <v>Avoid</v>
      </c>
      <c r="P457" s="21" t="str">
        <f t="shared" si="3"/>
        <v/>
      </c>
      <c r="Q457" s="21" t="str">
        <f t="shared" si="4"/>
        <v/>
      </c>
      <c r="R457" s="22">
        <f>IFERROR(__xludf.DUMMYFUNCTION("GOOGLEFINANCE(B457, ""pe"")
"),79.91)</f>
        <v>79.91</v>
      </c>
    </row>
    <row r="458">
      <c r="A458" s="9" t="s">
        <v>470</v>
      </c>
      <c r="B458" s="11" t="str">
        <f t="shared" si="1"/>
        <v>NSE:NAVINFLUOR</v>
      </c>
      <c r="C458" s="12">
        <f>IFERROR(__xludf.DUMMYFUNCTION("GOOGLEFINANCE(B458,""marketcap"")/10000000"),26256.797378)</f>
        <v>26256.79738</v>
      </c>
      <c r="D458" s="13">
        <f>IFERROR(__xludf.DUMMYFUNCTION("GOOGLEFINANCE(B458,""price"")"),5129.0)</f>
        <v>5129</v>
      </c>
      <c r="E458" s="14">
        <f>IFERROR(__xludf.DUMMYFUNCTION("GOOGLEFINANCE(B458,""Volume"")"),65906.0)</f>
        <v>65906</v>
      </c>
      <c r="F458" s="14">
        <f t="array" ref="F458">F457</f>
        <v>14</v>
      </c>
      <c r="G458" s="15" t="str">
        <f>IFERROR(__xludf.DUMMYFUNCTION("IF(E458&gt;AVERAGE(INDEX(GOOGLEFINANCE(B458,""volume"",WORKDAY(TODAY(),-$F$1),TODAY()),,2)),""Breakout"","""")"),"")</f>
        <v/>
      </c>
      <c r="H458" s="16">
        <f>IFERROR(__xludf.DUMMYFUNCTION("GOOGLEFINANCE(B458,""price"")"),5129.0)</f>
        <v>5129</v>
      </c>
      <c r="I458" s="17">
        <f>IFERROR(__xludf.DUMMYFUNCTION("AVERAGE(QUERY(SORT(GOOGLEFINANCE(B458,""price"",TODAY()-365,TODAY()),1,0),""select Col2 limit 10""))"),4996.779999999999)</f>
        <v>4996.78</v>
      </c>
      <c r="J458" s="17">
        <f>IFERROR(__xludf.DUMMYFUNCTION("AVERAGE(QUERY(SORT(GOOGLEFINANCE(B458,""price"",TODAY()-365,TODAY()),1,0),""select Col2 limit 30""))"),4872.696666666666)</f>
        <v>4872.696667</v>
      </c>
      <c r="K458" s="18">
        <f>IFERROR(__xludf.DUMMYFUNCTION("AVERAGE(QUERY(SORT(GOOGLEFINANCE(B458,""price"",TODAY()-365,TODAY()),1,0),""select Col2 limit 60""))"),4635.843333333333)</f>
        <v>4635.843333</v>
      </c>
      <c r="L458" s="17">
        <f>IFERROR(__xludf.DUMMYFUNCTION("AVERAGE(QUERY(SORT(GOOGLEFINANCE(B458,""price"",TODAY()-365,TODAY()),1,0),""select Col2 limit 90""))"),4497.742777777778)</f>
        <v>4497.742778</v>
      </c>
      <c r="M458" s="17">
        <f>IFERROR(__xludf.DUMMYFUNCTION("AVERAGE(QUERY(SORT(GOOGLEFINANCE(B458,""price"",TODAY()-365,TODAY()),1,0),""select Col2 limit 120""))"),4387.0425000000005)</f>
        <v>4387.0425</v>
      </c>
      <c r="N458" s="19">
        <f>IFERROR(__xludf.DUMMYFUNCTION("AVERAGE(QUERY(SORT(GOOGLEFINANCE(B458,""price"",TODAY()-365,TODAY()),1,0),""select Col2 limit 200""))"),4016.3592500000004)</f>
        <v>4016.35925</v>
      </c>
      <c r="O458" s="20" t="str">
        <f t="shared" si="2"/>
        <v>Avoid</v>
      </c>
      <c r="P458" s="21" t="str">
        <f t="shared" si="3"/>
        <v/>
      </c>
      <c r="Q458" s="21" t="str">
        <f t="shared" si="4"/>
        <v/>
      </c>
      <c r="R458" s="22">
        <f>IFERROR(__xludf.DUMMYFUNCTION("GOOGLEFINANCE(B458, ""pe"")
"),88.22)</f>
        <v>88.22</v>
      </c>
    </row>
    <row r="459">
      <c r="A459" s="9" t="s">
        <v>471</v>
      </c>
      <c r="B459" s="11" t="str">
        <f t="shared" si="1"/>
        <v>NSE:BIKAJI</v>
      </c>
      <c r="C459" s="12">
        <f>IFERROR(__xludf.DUMMYFUNCTION("GOOGLEFINANCE(B459,""marketcap"")/10000000"),18729.2990097)</f>
        <v>18729.29901</v>
      </c>
      <c r="D459" s="13">
        <f>IFERROR(__xludf.DUMMYFUNCTION("GOOGLEFINANCE(B459,""price"")"),749.2)</f>
        <v>749.2</v>
      </c>
      <c r="E459" s="14">
        <f>IFERROR(__xludf.DUMMYFUNCTION("GOOGLEFINANCE(B459,""Volume"")"),123402.0)</f>
        <v>123402</v>
      </c>
      <c r="F459" s="14">
        <f t="array" ref="F459">F458</f>
        <v>14</v>
      </c>
      <c r="G459" s="15" t="str">
        <f>IFERROR(__xludf.DUMMYFUNCTION("IF(E459&gt;AVERAGE(INDEX(GOOGLEFINANCE(B459,""volume"",WORKDAY(TODAY(),-$F$1),TODAY()),,2)),""Breakout"","""")"),"")</f>
        <v/>
      </c>
      <c r="H459" s="16">
        <f>IFERROR(__xludf.DUMMYFUNCTION("GOOGLEFINANCE(B459,""price"")"),749.2)</f>
        <v>749.2</v>
      </c>
      <c r="I459" s="17">
        <f>IFERROR(__xludf.DUMMYFUNCTION("AVERAGE(QUERY(SORT(GOOGLEFINANCE(B459,""price"",TODAY()-365,TODAY()),1,0),""select Col2 limit 10""))"),755.085)</f>
        <v>755.085</v>
      </c>
      <c r="J459" s="17">
        <f>IFERROR(__xludf.DUMMYFUNCTION("AVERAGE(QUERY(SORT(GOOGLEFINANCE(B459,""price"",TODAY()-365,TODAY()),1,0),""select Col2 limit 30""))"),738.245)</f>
        <v>738.245</v>
      </c>
      <c r="K459" s="18">
        <f>IFERROR(__xludf.DUMMYFUNCTION("AVERAGE(QUERY(SORT(GOOGLEFINANCE(B459,""price"",TODAY()-365,TODAY()),1,0),""select Col2 limit 60""))"),734.0091666666667)</f>
        <v>734.0091667</v>
      </c>
      <c r="L459" s="17">
        <f>IFERROR(__xludf.DUMMYFUNCTION("AVERAGE(QUERY(SORT(GOOGLEFINANCE(B459,""price"",TODAY()-365,TODAY()),1,0),""select Col2 limit 90""))"),721.6727777777777)</f>
        <v>721.6727778</v>
      </c>
      <c r="M459" s="17">
        <f>IFERROR(__xludf.DUMMYFUNCTION("AVERAGE(QUERY(SORT(GOOGLEFINANCE(B459,""price"",TODAY()-365,TODAY()),1,0),""select Col2 limit 120""))"),704.5849999999998)</f>
        <v>704.585</v>
      </c>
      <c r="N459" s="19">
        <f>IFERROR(__xludf.DUMMYFUNCTION("AVERAGE(QUERY(SORT(GOOGLEFINANCE(B459,""price"",TODAY()-365,TODAY()),1,0),""select Col2 limit 200""))"),741.3245)</f>
        <v>741.3245</v>
      </c>
      <c r="O459" s="20" t="str">
        <f t="shared" si="2"/>
        <v>Avoid</v>
      </c>
      <c r="P459" s="21" t="str">
        <f t="shared" si="3"/>
        <v>10 DMA</v>
      </c>
      <c r="Q459" s="21" t="str">
        <f t="shared" si="4"/>
        <v/>
      </c>
      <c r="R459" s="22">
        <f>IFERROR(__xludf.DUMMYFUNCTION("GOOGLEFINANCE(B459, ""pe"")
"),92.53)</f>
        <v>92.53</v>
      </c>
    </row>
    <row r="460">
      <c r="A460" s="9" t="s">
        <v>472</v>
      </c>
      <c r="B460" s="11" t="str">
        <f t="shared" si="1"/>
        <v>NSE:JINDALSAW</v>
      </c>
      <c r="C460" s="12">
        <f>IFERROR(__xludf.DUMMYFUNCTION("GOOGLEFINANCE(B460,""marketcap"")/10000000"),13980.0506629)</f>
        <v>13980.05066</v>
      </c>
      <c r="D460" s="13">
        <f>IFERROR(__xludf.DUMMYFUNCTION("GOOGLEFINANCE(B460,""price"")"),219.7)</f>
        <v>219.7</v>
      </c>
      <c r="E460" s="14">
        <f>IFERROR(__xludf.DUMMYFUNCTION("GOOGLEFINANCE(B460,""Volume"")"),431653.0)</f>
        <v>431653</v>
      </c>
      <c r="F460" s="14">
        <f t="array" ref="F460">F459</f>
        <v>14</v>
      </c>
      <c r="G460" s="15" t="str">
        <f>IFERROR(__xludf.DUMMYFUNCTION("IF(E460&gt;AVERAGE(INDEX(GOOGLEFINANCE(B460,""volume"",WORKDAY(TODAY(),-$F$1),TODAY()),,2)),""Breakout"","""")"),"")</f>
        <v/>
      </c>
      <c r="H460" s="16">
        <f>IFERROR(__xludf.DUMMYFUNCTION("GOOGLEFINANCE(B460,""price"")"),219.7)</f>
        <v>219.7</v>
      </c>
      <c r="I460" s="17">
        <f>IFERROR(__xludf.DUMMYFUNCTION("AVERAGE(QUERY(SORT(GOOGLEFINANCE(B460,""price"",TODAY()-365,TODAY()),1,0),""select Col2 limit 10""))"),226.71300000000002)</f>
        <v>226.713</v>
      </c>
      <c r="J460" s="17">
        <f>IFERROR(__xludf.DUMMYFUNCTION("AVERAGE(QUERY(SORT(GOOGLEFINANCE(B460,""price"",TODAY()-365,TODAY()),1,0),""select Col2 limit 30""))"),232.38133333333332)</f>
        <v>232.3813333</v>
      </c>
      <c r="K460" s="18">
        <f>IFERROR(__xludf.DUMMYFUNCTION("AVERAGE(QUERY(SORT(GOOGLEFINANCE(B460,""price"",TODAY()-365,TODAY()),1,0),""select Col2 limit 60""))"),226.36433333333338)</f>
        <v>226.3643333</v>
      </c>
      <c r="L460" s="17">
        <f>IFERROR(__xludf.DUMMYFUNCTION("AVERAGE(QUERY(SORT(GOOGLEFINANCE(B460,""price"",TODAY()-365,TODAY()),1,0),""select Col2 limit 90""))"),238.50422222222224)</f>
        <v>238.5042222</v>
      </c>
      <c r="M460" s="17">
        <f>IFERROR(__xludf.DUMMYFUNCTION("AVERAGE(QUERY(SORT(GOOGLEFINANCE(B460,""price"",TODAY()-365,TODAY()),1,0),""select Col2 limit 120""))"),240.92191666666662)</f>
        <v>240.9219167</v>
      </c>
      <c r="N460" s="19">
        <f>IFERROR(__xludf.DUMMYFUNCTION("AVERAGE(QUERY(SORT(GOOGLEFINANCE(B460,""price"",TODAY()-365,TODAY()),1,0),""select Col2 limit 200""))"),266.35295)</f>
        <v>266.35295</v>
      </c>
      <c r="O460" s="20" t="str">
        <f t="shared" si="2"/>
        <v>Avoid</v>
      </c>
      <c r="P460" s="21" t="str">
        <f t="shared" si="3"/>
        <v/>
      </c>
      <c r="Q460" s="21" t="str">
        <f t="shared" si="4"/>
        <v/>
      </c>
      <c r="R460" s="22">
        <f>IFERROR(__xludf.DUMMYFUNCTION("GOOGLEFINANCE(B460, ""pe"")
"),8.2)</f>
        <v>8.2</v>
      </c>
    </row>
    <row r="461">
      <c r="A461" s="9" t="s">
        <v>473</v>
      </c>
      <c r="B461" s="11" t="str">
        <f t="shared" si="1"/>
        <v>NSE:RITES</v>
      </c>
      <c r="C461" s="12">
        <f>IFERROR(__xludf.DUMMYFUNCTION("GOOGLEFINANCE(B461,""marketcap"")/10000000"),12750.4208803)</f>
        <v>12750.42088</v>
      </c>
      <c r="D461" s="13">
        <f>IFERROR(__xludf.DUMMYFUNCTION("GOOGLEFINANCE(B461,""price"")"),265.25)</f>
        <v>265.25</v>
      </c>
      <c r="E461" s="14">
        <f>IFERROR(__xludf.DUMMYFUNCTION("GOOGLEFINANCE(B461,""Volume"")"),775961.0)</f>
        <v>775961</v>
      </c>
      <c r="F461" s="14">
        <f t="array" ref="F461">F460</f>
        <v>14</v>
      </c>
      <c r="G461" s="15" t="str">
        <f>IFERROR(__xludf.DUMMYFUNCTION("IF(E461&gt;AVERAGE(INDEX(GOOGLEFINANCE(B461,""volume"",WORKDAY(TODAY(),-$F$1),TODAY()),,2)),""Breakout"","""")"),"Breakout")</f>
        <v>Breakout</v>
      </c>
      <c r="H461" s="16">
        <f>IFERROR(__xludf.DUMMYFUNCTION("GOOGLEFINANCE(B461,""price"")"),265.25)</f>
        <v>265.25</v>
      </c>
      <c r="I461" s="17">
        <f>IFERROR(__xludf.DUMMYFUNCTION("AVERAGE(QUERY(SORT(GOOGLEFINANCE(B461,""price"",TODAY()-365,TODAY()),1,0),""select Col2 limit 10""))"),275.215)</f>
        <v>275.215</v>
      </c>
      <c r="J461" s="17">
        <f>IFERROR(__xludf.DUMMYFUNCTION("AVERAGE(QUERY(SORT(GOOGLEFINANCE(B461,""price"",TODAY()-365,TODAY()),1,0),""select Col2 limit 30""))"),278.7033333333333)</f>
        <v>278.7033333</v>
      </c>
      <c r="K461" s="18">
        <f>IFERROR(__xludf.DUMMYFUNCTION("AVERAGE(QUERY(SORT(GOOGLEFINANCE(B461,""price"",TODAY()-365,TODAY()),1,0),""select Col2 limit 60""))"),274.376)</f>
        <v>274.376</v>
      </c>
      <c r="L461" s="17">
        <f>IFERROR(__xludf.DUMMYFUNCTION("AVERAGE(QUERY(SORT(GOOGLEFINANCE(B461,""price"",TODAY()-365,TODAY()),1,0),""select Col2 limit 90""))"),259.6168888888888)</f>
        <v>259.6168889</v>
      </c>
      <c r="M461" s="17">
        <f>IFERROR(__xludf.DUMMYFUNCTION("AVERAGE(QUERY(SORT(GOOGLEFINANCE(B461,""price"",TODAY()-365,TODAY()),1,0),""select Col2 limit 120""))"),249.91608333333326)</f>
        <v>249.9160833</v>
      </c>
      <c r="N461" s="19">
        <f>IFERROR(__xludf.DUMMYFUNCTION("AVERAGE(QUERY(SORT(GOOGLEFINANCE(B461,""price"",TODAY()-365,TODAY()),1,0),""select Col2 limit 200""))"),264.75689999999986)</f>
        <v>264.7569</v>
      </c>
      <c r="O461" s="20" t="str">
        <f t="shared" si="2"/>
        <v>Avoid</v>
      </c>
      <c r="P461" s="21" t="str">
        <f t="shared" si="3"/>
        <v/>
      </c>
      <c r="Q461" s="21" t="str">
        <f t="shared" si="4"/>
        <v/>
      </c>
      <c r="R461" s="22">
        <f>IFERROR(__xludf.DUMMYFUNCTION("GOOGLEFINANCE(B461, ""pe"")
"),33.08)</f>
        <v>33.08</v>
      </c>
    </row>
    <row r="462">
      <c r="A462" s="9" t="s">
        <v>474</v>
      </c>
      <c r="B462" s="11" t="str">
        <f t="shared" si="1"/>
        <v>NSE:KIRLOSBROS</v>
      </c>
      <c r="C462" s="12">
        <f>IFERROR(__xludf.DUMMYFUNCTION("GOOGLEFINANCE(B462,""marketcap"")/10000000"),15472.8300105)</f>
        <v>15472.83001</v>
      </c>
      <c r="D462" s="13">
        <f>IFERROR(__xludf.DUMMYFUNCTION("GOOGLEFINANCE(B462,""price"")"),1950.0)</f>
        <v>1950</v>
      </c>
      <c r="E462" s="14">
        <f>IFERROR(__xludf.DUMMYFUNCTION("GOOGLEFINANCE(B462,""Volume"")"),50102.0)</f>
        <v>50102</v>
      </c>
      <c r="F462" s="14">
        <f t="array" ref="F462">F461</f>
        <v>14</v>
      </c>
      <c r="G462" s="15" t="str">
        <f>IFERROR(__xludf.DUMMYFUNCTION("IF(E462&gt;AVERAGE(INDEX(GOOGLEFINANCE(B462,""volume"",WORKDAY(TODAY(),-$F$1),TODAY()),,2)),""Breakout"","""")"),"")</f>
        <v/>
      </c>
      <c r="H462" s="16">
        <f>IFERROR(__xludf.DUMMYFUNCTION("GOOGLEFINANCE(B462,""price"")"),1950.0)</f>
        <v>1950</v>
      </c>
      <c r="I462" s="17">
        <f>IFERROR(__xludf.DUMMYFUNCTION("AVERAGE(QUERY(SORT(GOOGLEFINANCE(B462,""price"",TODAY()-365,TODAY()),1,0),""select Col2 limit 10""))"),2117.85)</f>
        <v>2117.85</v>
      </c>
      <c r="J462" s="17">
        <f>IFERROR(__xludf.DUMMYFUNCTION("AVERAGE(QUERY(SORT(GOOGLEFINANCE(B462,""price"",TODAY()-365,TODAY()),1,0),""select Col2 limit 30""))"),2087.236666666666)</f>
        <v>2087.236667</v>
      </c>
      <c r="K462" s="18">
        <f>IFERROR(__xludf.DUMMYFUNCTION("AVERAGE(QUERY(SORT(GOOGLEFINANCE(B462,""price"",TODAY()-365,TODAY()),1,0),""select Col2 limit 60""))"),1948.0733333333333)</f>
        <v>1948.073333</v>
      </c>
      <c r="L462" s="17">
        <f>IFERROR(__xludf.DUMMYFUNCTION("AVERAGE(QUERY(SORT(GOOGLEFINANCE(B462,""price"",TODAY()-365,TODAY()),1,0),""select Col2 limit 90""))"),1856.6100000000004)</f>
        <v>1856.61</v>
      </c>
      <c r="M462" s="17">
        <f>IFERROR(__xludf.DUMMYFUNCTION("AVERAGE(QUERY(SORT(GOOGLEFINANCE(B462,""price"",TODAY()-365,TODAY()),1,0),""select Col2 limit 120""))"),1835.7820833333333)</f>
        <v>1835.782083</v>
      </c>
      <c r="N462" s="19">
        <f>IFERROR(__xludf.DUMMYFUNCTION("AVERAGE(QUERY(SORT(GOOGLEFINANCE(B462,""price"",TODAY()-365,TODAY()),1,0),""select Col2 limit 200""))"),1909.8075000000006)</f>
        <v>1909.8075</v>
      </c>
      <c r="O462" s="20" t="str">
        <f t="shared" si="2"/>
        <v>Avoid</v>
      </c>
      <c r="P462" s="21" t="str">
        <f t="shared" si="3"/>
        <v/>
      </c>
      <c r="Q462" s="21" t="str">
        <f t="shared" si="4"/>
        <v/>
      </c>
      <c r="R462" s="22">
        <f>IFERROR(__xludf.DUMMYFUNCTION("GOOGLEFINANCE(B462, ""pe"")
"),37.23)</f>
        <v>37.23</v>
      </c>
    </row>
    <row r="463">
      <c r="A463" s="9" t="s">
        <v>475</v>
      </c>
      <c r="B463" s="11" t="str">
        <f t="shared" si="1"/>
        <v>NSE:CONCORDBIO</v>
      </c>
      <c r="C463" s="12">
        <f>IFERROR(__xludf.DUMMYFUNCTION("GOOGLEFINANCE(B463,""marketcap"")/10000000"),19532.8904465)</f>
        <v>19532.89045</v>
      </c>
      <c r="D463" s="13">
        <f>IFERROR(__xludf.DUMMYFUNCTION("GOOGLEFINANCE(B463,""price"")"),1867.1)</f>
        <v>1867.1</v>
      </c>
      <c r="E463" s="14">
        <f>IFERROR(__xludf.DUMMYFUNCTION("GOOGLEFINANCE(B463,""Volume"")"),38681.0)</f>
        <v>38681</v>
      </c>
      <c r="F463" s="14">
        <f t="array" ref="F463">F462</f>
        <v>14</v>
      </c>
      <c r="G463" s="15" t="str">
        <f>IFERROR(__xludf.DUMMYFUNCTION("IF(E463&gt;AVERAGE(INDEX(GOOGLEFINANCE(B463,""volume"",WORKDAY(TODAY(),-$F$1),TODAY()),,2)),""Breakout"","""")"),"")</f>
        <v/>
      </c>
      <c r="H463" s="16">
        <f>IFERROR(__xludf.DUMMYFUNCTION("GOOGLEFINANCE(B463,""price"")"),1867.1)</f>
        <v>1867.1</v>
      </c>
      <c r="I463" s="17">
        <f>IFERROR(__xludf.DUMMYFUNCTION("AVERAGE(QUERY(SORT(GOOGLEFINANCE(B463,""price"",TODAY()-365,TODAY()),1,0),""select Col2 limit 10""))"),1889.23)</f>
        <v>1889.23</v>
      </c>
      <c r="J463" s="17">
        <f>IFERROR(__xludf.DUMMYFUNCTION("AVERAGE(QUERY(SORT(GOOGLEFINANCE(B463,""price"",TODAY()-365,TODAY()),1,0),""select Col2 limit 30""))"),1859.4433333333338)</f>
        <v>1859.443333</v>
      </c>
      <c r="K463" s="18">
        <f>IFERROR(__xludf.DUMMYFUNCTION("AVERAGE(QUERY(SORT(GOOGLEFINANCE(B463,""price"",TODAY()-365,TODAY()),1,0),""select Col2 limit 60""))"),1768.0033333333333)</f>
        <v>1768.003333</v>
      </c>
      <c r="L463" s="17">
        <f>IFERROR(__xludf.DUMMYFUNCTION("AVERAGE(QUERY(SORT(GOOGLEFINANCE(B463,""price"",TODAY()-365,TODAY()),1,0),""select Col2 limit 90""))"),1728.152222222222)</f>
        <v>1728.152222</v>
      </c>
      <c r="M463" s="17">
        <f>IFERROR(__xludf.DUMMYFUNCTION("AVERAGE(QUERY(SORT(GOOGLEFINANCE(B463,""price"",TODAY()-365,TODAY()),1,0),""select Col2 limit 120""))"),1764.263333333333)</f>
        <v>1764.263333</v>
      </c>
      <c r="N463" s="19">
        <f>IFERROR(__xludf.DUMMYFUNCTION("AVERAGE(QUERY(SORT(GOOGLEFINANCE(B463,""price"",TODAY()-365,TODAY()),1,0),""select Col2 limit 200""))"),1874.88425)</f>
        <v>1874.88425</v>
      </c>
      <c r="O463" s="20" t="str">
        <f t="shared" si="2"/>
        <v>Avoid</v>
      </c>
      <c r="P463" s="21" t="str">
        <f t="shared" si="3"/>
        <v>200 DMA</v>
      </c>
      <c r="Q463" s="21" t="str">
        <f t="shared" si="4"/>
        <v/>
      </c>
      <c r="R463" s="22">
        <f>IFERROR(__xludf.DUMMYFUNCTION("GOOGLEFINANCE(B463, ""pe"")
"),52.56)</f>
        <v>52.56</v>
      </c>
    </row>
    <row r="464">
      <c r="A464" s="9" t="s">
        <v>476</v>
      </c>
      <c r="B464" s="11" t="str">
        <f t="shared" si="1"/>
        <v>NSE:AIIL</v>
      </c>
      <c r="C464" s="12">
        <f>IFERROR(__xludf.DUMMYFUNCTION("GOOGLEFINANCE(B464,""marketcap"")/10000000"),45584.6978913)</f>
        <v>45584.69789</v>
      </c>
      <c r="D464" s="13">
        <f>IFERROR(__xludf.DUMMYFUNCTION("GOOGLEFINANCE(B464,""price"")"),2686.9)</f>
        <v>2686.9</v>
      </c>
      <c r="E464" s="14">
        <f>IFERROR(__xludf.DUMMYFUNCTION("GOOGLEFINANCE(B464,""Volume"")"),129736.0)</f>
        <v>129736</v>
      </c>
      <c r="F464" s="14">
        <f t="array" ref="F464">F463</f>
        <v>14</v>
      </c>
      <c r="G464" s="15" t="str">
        <f>IFERROR(__xludf.DUMMYFUNCTION("IF(E464&gt;AVERAGE(INDEX(GOOGLEFINANCE(B464,""volume"",WORKDAY(TODAY(),-$F$1),TODAY()),,2)),""Breakout"","""")"),"")</f>
        <v/>
      </c>
      <c r="H464" s="16">
        <f>IFERROR(__xludf.DUMMYFUNCTION("GOOGLEFINANCE(B464,""price"")"),2686.9)</f>
        <v>2686.9</v>
      </c>
      <c r="I464" s="17">
        <f>IFERROR(__xludf.DUMMYFUNCTION("AVERAGE(QUERY(SORT(GOOGLEFINANCE(B464,""price"",TODAY()-365,TODAY()),1,0),""select Col2 limit 10""))"),2785.0699999999997)</f>
        <v>2785.07</v>
      </c>
      <c r="J464" s="17">
        <f>IFERROR(__xludf.DUMMYFUNCTION("AVERAGE(QUERY(SORT(GOOGLEFINANCE(B464,""price"",TODAY()-365,TODAY()),1,0),""select Col2 limit 30""))"),2663.6166666666663)</f>
        <v>2663.616667</v>
      </c>
      <c r="K464" s="18">
        <f>IFERROR(__xludf.DUMMYFUNCTION("AVERAGE(QUERY(SORT(GOOGLEFINANCE(B464,""price"",TODAY()-365,TODAY()),1,0),""select Col2 limit 60""))"),2439.8083333333325)</f>
        <v>2439.808333</v>
      </c>
      <c r="L464" s="17">
        <f>IFERROR(__xludf.DUMMYFUNCTION("AVERAGE(QUERY(SORT(GOOGLEFINANCE(B464,""price"",TODAY()-365,TODAY()),1,0),""select Col2 limit 90""))"),2186.4377777777772)</f>
        <v>2186.437778</v>
      </c>
      <c r="M464" s="17">
        <f>IFERROR(__xludf.DUMMYFUNCTION("AVERAGE(QUERY(SORT(GOOGLEFINANCE(B464,""price"",TODAY()-365,TODAY()),1,0),""select Col2 limit 120""))"),2040.1329166666662)</f>
        <v>2040.132917</v>
      </c>
      <c r="N464" s="19">
        <f>IFERROR(__xludf.DUMMYFUNCTION("AVERAGE(QUERY(SORT(GOOGLEFINANCE(B464,""price"",TODAY()-365,TODAY()),1,0),""select Col2 limit 200""))"),1915.1004999999993)</f>
        <v>1915.1005</v>
      </c>
      <c r="O464" s="20" t="str">
        <f t="shared" si="2"/>
        <v>Avoid</v>
      </c>
      <c r="P464" s="21" t="str">
        <f t="shared" si="3"/>
        <v/>
      </c>
      <c r="Q464" s="21" t="str">
        <f t="shared" si="4"/>
        <v/>
      </c>
      <c r="R464" s="22">
        <f>IFERROR(__xludf.DUMMYFUNCTION("GOOGLEFINANCE(B464, ""pe"")
"),11.16)</f>
        <v>11.16</v>
      </c>
    </row>
    <row r="465">
      <c r="A465" s="9" t="s">
        <v>477</v>
      </c>
      <c r="B465" s="11" t="str">
        <f t="shared" si="1"/>
        <v>NSE:WELCORP</v>
      </c>
      <c r="C465" s="12">
        <f>IFERROR(__xludf.DUMMYFUNCTION("GOOGLEFINANCE(B465,""marketcap"")/10000000"),22811.1824614)</f>
        <v>22811.18246</v>
      </c>
      <c r="D465" s="13">
        <f>IFERROR(__xludf.DUMMYFUNCTION("GOOGLEFINANCE(B465,""price"")"),867.1)</f>
        <v>867.1</v>
      </c>
      <c r="E465" s="14">
        <f>IFERROR(__xludf.DUMMYFUNCTION("GOOGLEFINANCE(B465,""Volume"")"),401037.0)</f>
        <v>401037</v>
      </c>
      <c r="F465" s="14">
        <f t="array" ref="F465">F464</f>
        <v>14</v>
      </c>
      <c r="G465" s="15" t="str">
        <f>IFERROR(__xludf.DUMMYFUNCTION("IF(E465&gt;AVERAGE(INDEX(GOOGLEFINANCE(B465,""volume"",WORKDAY(TODAY(),-$F$1),TODAY()),,2)),""Breakout"","""")"),"")</f>
        <v/>
      </c>
      <c r="H465" s="16">
        <f>IFERROR(__xludf.DUMMYFUNCTION("GOOGLEFINANCE(B465,""price"")"),867.1)</f>
        <v>867.1</v>
      </c>
      <c r="I465" s="17">
        <f>IFERROR(__xludf.DUMMYFUNCTION("AVERAGE(QUERY(SORT(GOOGLEFINANCE(B465,""price"",TODAY()-365,TODAY()),1,0),""select Col2 limit 10""))"),914.0649999999999)</f>
        <v>914.065</v>
      </c>
      <c r="J465" s="17">
        <f>IFERROR(__xludf.DUMMYFUNCTION("AVERAGE(QUERY(SORT(GOOGLEFINANCE(B465,""price"",TODAY()-365,TODAY()),1,0),""select Col2 limit 30""))"),918.15)</f>
        <v>918.15</v>
      </c>
      <c r="K465" s="18">
        <f>IFERROR(__xludf.DUMMYFUNCTION("AVERAGE(QUERY(SORT(GOOGLEFINANCE(B465,""price"",TODAY()-365,TODAY()),1,0),""select Col2 limit 60""))"),877.4508333333334)</f>
        <v>877.4508333</v>
      </c>
      <c r="L465" s="17">
        <f>IFERROR(__xludf.DUMMYFUNCTION("AVERAGE(QUERY(SORT(GOOGLEFINANCE(B465,""price"",TODAY()-365,TODAY()),1,0),""select Col2 limit 90""))"),853.7572222222221)</f>
        <v>853.7572222</v>
      </c>
      <c r="M465" s="17">
        <f>IFERROR(__xludf.DUMMYFUNCTION("AVERAGE(QUERY(SORT(GOOGLEFINANCE(B465,""price"",TODAY()-365,TODAY()),1,0),""select Col2 limit 120""))"),830.0712499999996)</f>
        <v>830.07125</v>
      </c>
      <c r="N465" s="19">
        <f>IFERROR(__xludf.DUMMYFUNCTION("AVERAGE(QUERY(SORT(GOOGLEFINANCE(B465,""price"",TODAY()-365,TODAY()),1,0),""select Col2 limit 200""))"),799.9714999999995)</f>
        <v>799.9715</v>
      </c>
      <c r="O465" s="20" t="str">
        <f t="shared" si="2"/>
        <v>Avoid</v>
      </c>
      <c r="P465" s="21" t="str">
        <f t="shared" si="3"/>
        <v/>
      </c>
      <c r="Q465" s="21" t="str">
        <f t="shared" si="4"/>
        <v/>
      </c>
      <c r="R465" s="22">
        <f>IFERROR(__xludf.DUMMYFUNCTION("GOOGLEFINANCE(B465, ""pe"")
"),11.96)</f>
        <v>11.96</v>
      </c>
    </row>
    <row r="466">
      <c r="A466" s="9" t="s">
        <v>478</v>
      </c>
      <c r="B466" s="11" t="str">
        <f t="shared" si="1"/>
        <v>NSE:KIMS</v>
      </c>
      <c r="C466" s="12">
        <f>IFERROR(__xludf.DUMMYFUNCTION("GOOGLEFINANCE(B466,""marketcap"")/10000000"),30984.7547445)</f>
        <v>30984.75474</v>
      </c>
      <c r="D466" s="13">
        <f>IFERROR(__xludf.DUMMYFUNCTION("GOOGLEFINANCE(B466,""price"")"),773.25)</f>
        <v>773.25</v>
      </c>
      <c r="E466" s="14">
        <f>IFERROR(__xludf.DUMMYFUNCTION("GOOGLEFINANCE(B466,""Volume"")"),330642.0)</f>
        <v>330642</v>
      </c>
      <c r="F466" s="14">
        <f t="array" ref="F466">F465</f>
        <v>14</v>
      </c>
      <c r="G466" s="15" t="str">
        <f>IFERROR(__xludf.DUMMYFUNCTION("IF(E466&gt;AVERAGE(INDEX(GOOGLEFINANCE(B466,""volume"",WORKDAY(TODAY(),-$F$1),TODAY()),,2)),""Breakout"","""")"),"")</f>
        <v/>
      </c>
      <c r="H466" s="16">
        <f>IFERROR(__xludf.DUMMYFUNCTION("GOOGLEFINANCE(B466,""price"")"),773.25)</f>
        <v>773.25</v>
      </c>
      <c r="I466" s="17">
        <f>IFERROR(__xludf.DUMMYFUNCTION("AVERAGE(QUERY(SORT(GOOGLEFINANCE(B466,""price"",TODAY()-365,TODAY()),1,0),""select Col2 limit 10""))"),748.4749999999999)</f>
        <v>748.475</v>
      </c>
      <c r="J466" s="17">
        <f>IFERROR(__xludf.DUMMYFUNCTION("AVERAGE(QUERY(SORT(GOOGLEFINANCE(B466,""price"",TODAY()-365,TODAY()),1,0),""select Col2 limit 30""))"),697.7549999999998)</f>
        <v>697.755</v>
      </c>
      <c r="K466" s="18">
        <f>IFERROR(__xludf.DUMMYFUNCTION("AVERAGE(QUERY(SORT(GOOGLEFINANCE(B466,""price"",TODAY()-365,TODAY()),1,0),""select Col2 limit 60""))"),677.4058333333334)</f>
        <v>677.4058333</v>
      </c>
      <c r="L466" s="17">
        <f>IFERROR(__xludf.DUMMYFUNCTION("AVERAGE(QUERY(SORT(GOOGLEFINANCE(B466,""price"",TODAY()-365,TODAY()),1,0),""select Col2 limit 90""))"),661.495)</f>
        <v>661.495</v>
      </c>
      <c r="M466" s="17">
        <f>IFERROR(__xludf.DUMMYFUNCTION("AVERAGE(QUERY(SORT(GOOGLEFINANCE(B466,""price"",TODAY()-365,TODAY()),1,0),""select Col2 limit 120""))"),637.4687500000002)</f>
        <v>637.46875</v>
      </c>
      <c r="N466" s="19">
        <f>IFERROR(__xludf.DUMMYFUNCTION("AVERAGE(QUERY(SORT(GOOGLEFINANCE(B466,""price"",TODAY()-365,TODAY()),1,0),""select Col2 limit 200""))"),616.0539999999997)</f>
        <v>616.054</v>
      </c>
      <c r="O466" s="20" t="str">
        <f t="shared" si="2"/>
        <v>Avoid</v>
      </c>
      <c r="P466" s="21" t="str">
        <f t="shared" si="3"/>
        <v/>
      </c>
      <c r="Q466" s="21" t="str">
        <f t="shared" si="4"/>
        <v/>
      </c>
      <c r="R466" s="22">
        <f>IFERROR(__xludf.DUMMYFUNCTION("GOOGLEFINANCE(B466, ""pe"")
"),80.94)</f>
        <v>80.94</v>
      </c>
    </row>
    <row r="467">
      <c r="A467" s="9" t="s">
        <v>479</v>
      </c>
      <c r="B467" s="11" t="str">
        <f t="shared" si="1"/>
        <v>NSE:NUVAMA</v>
      </c>
      <c r="C467" s="12">
        <f>IFERROR(__xludf.DUMMYFUNCTION("GOOGLEFINANCE(B467,""marketcap"")/10000000"),26517.75615)</f>
        <v>26517.75615</v>
      </c>
      <c r="D467" s="13">
        <f>IFERROR(__xludf.DUMMYFUNCTION("GOOGLEFINANCE(B467,""price"")"),7361.5)</f>
        <v>7361.5</v>
      </c>
      <c r="E467" s="14">
        <f>IFERROR(__xludf.DUMMYFUNCTION("GOOGLEFINANCE(B467,""Volume"")"),44612.0)</f>
        <v>44612</v>
      </c>
      <c r="F467" s="14">
        <f t="array" ref="F467">F466</f>
        <v>14</v>
      </c>
      <c r="G467" s="15" t="str">
        <f>IFERROR(__xludf.DUMMYFUNCTION("IF(E467&gt;AVERAGE(INDEX(GOOGLEFINANCE(B467,""volume"",WORKDAY(TODAY(),-$F$1),TODAY()),,2)),""Breakout"","""")"),"")</f>
        <v/>
      </c>
      <c r="H467" s="16">
        <f>IFERROR(__xludf.DUMMYFUNCTION("GOOGLEFINANCE(B467,""price"")"),7361.5)</f>
        <v>7361.5</v>
      </c>
      <c r="I467" s="17" t="str">
        <f>IFERROR(__xludf.DUMMYFUNCTION("AVERAGE(QUERY(SORT(GOOGLEFINANCE(B467,""price"",TODAY()-365,TODAY()),1,0),""select Col2 limit 10""))"),"#N/A")</f>
        <v>#N/A</v>
      </c>
      <c r="J467" s="17" t="str">
        <f>IFERROR(__xludf.DUMMYFUNCTION("AVERAGE(QUERY(SORT(GOOGLEFINANCE(B467,""price"",TODAY()-365,TODAY()),1,0),""select Col2 limit 30""))"),"#N/A")</f>
        <v>#N/A</v>
      </c>
      <c r="K467" s="18" t="str">
        <f>IFERROR(__xludf.DUMMYFUNCTION("AVERAGE(QUERY(SORT(GOOGLEFINANCE(B467,""price"",TODAY()-365,TODAY()),1,0),""select Col2 limit 60""))"),"#N/A")</f>
        <v>#N/A</v>
      </c>
      <c r="L467" s="17" t="str">
        <f>IFERROR(__xludf.DUMMYFUNCTION("AVERAGE(QUERY(SORT(GOOGLEFINANCE(B467,""price"",TODAY()-365,TODAY()),1,0),""select Col2 limit 90""))"),"#N/A")</f>
        <v>#N/A</v>
      </c>
      <c r="M467" s="17" t="str">
        <f>IFERROR(__xludf.DUMMYFUNCTION("AVERAGE(QUERY(SORT(GOOGLEFINANCE(B467,""price"",TODAY()-365,TODAY()),1,0),""select Col2 limit 120""))"),"#N/A")</f>
        <v>#N/A</v>
      </c>
      <c r="N467" s="19" t="str">
        <f>IFERROR(__xludf.DUMMYFUNCTION("AVERAGE(QUERY(SORT(GOOGLEFINANCE(B467,""price"",TODAY()-365,TODAY()),1,0),""select Col2 limit 200""))"),"#N/A")</f>
        <v>#N/A</v>
      </c>
      <c r="O467" s="20" t="str">
        <f t="shared" si="2"/>
        <v>#N/A</v>
      </c>
      <c r="P467" s="21" t="str">
        <f t="shared" si="3"/>
        <v>#N/A</v>
      </c>
      <c r="Q467" s="21" t="str">
        <f t="shared" si="4"/>
        <v>#N/A</v>
      </c>
      <c r="R467" s="22">
        <f>IFERROR(__xludf.DUMMYFUNCTION("GOOGLEFINANCE(B467, ""pe"")
"),27.42)</f>
        <v>27.42</v>
      </c>
    </row>
    <row r="468">
      <c r="A468" s="9" t="s">
        <v>480</v>
      </c>
      <c r="B468" s="11" t="str">
        <f t="shared" si="1"/>
        <v>NSE:ZENSARTECH</v>
      </c>
      <c r="C468" s="12">
        <f>IFERROR(__xludf.DUMMYFUNCTION("GOOGLEFINANCE(B468,""marketcap"")/10000000"),17715.7895073)</f>
        <v>17715.78951</v>
      </c>
      <c r="D468" s="13">
        <f>IFERROR(__xludf.DUMMYFUNCTION("GOOGLEFINANCE(B468,""price"")"),782.0)</f>
        <v>782</v>
      </c>
      <c r="E468" s="14">
        <f>IFERROR(__xludf.DUMMYFUNCTION("GOOGLEFINANCE(B468,""Volume"")"),388747.0)</f>
        <v>388747</v>
      </c>
      <c r="F468" s="14">
        <f t="array" ref="F468">F467</f>
        <v>14</v>
      </c>
      <c r="G468" s="15" t="str">
        <f>IFERROR(__xludf.DUMMYFUNCTION("IF(E468&gt;AVERAGE(INDEX(GOOGLEFINANCE(B468,""volume"",WORKDAY(TODAY(),-$F$1),TODAY()),,2)),""Breakout"","""")"),"")</f>
        <v/>
      </c>
      <c r="H468" s="16">
        <f>IFERROR(__xludf.DUMMYFUNCTION("GOOGLEFINANCE(B468,""price"")"),782.0)</f>
        <v>782</v>
      </c>
      <c r="I468" s="17">
        <f>IFERROR(__xludf.DUMMYFUNCTION("AVERAGE(QUERY(SORT(GOOGLEFINANCE(B468,""price"",TODAY()-365,TODAY()),1,0),""select Col2 limit 10""))"),820.0600000000001)</f>
        <v>820.06</v>
      </c>
      <c r="J468" s="17">
        <f>IFERROR(__xludf.DUMMYFUNCTION("AVERAGE(QUERY(SORT(GOOGLEFINANCE(B468,""price"",TODAY()-365,TODAY()),1,0),""select Col2 limit 30""))"),839.4833333333333)</f>
        <v>839.4833333</v>
      </c>
      <c r="K468" s="18">
        <f>IFERROR(__xludf.DUMMYFUNCTION("AVERAGE(QUERY(SORT(GOOGLEFINANCE(B468,""price"",TODAY()-365,TODAY()),1,0),""select Col2 limit 60""))"),822.6516666666665)</f>
        <v>822.6516667</v>
      </c>
      <c r="L468" s="17">
        <f>IFERROR(__xludf.DUMMYFUNCTION("AVERAGE(QUERY(SORT(GOOGLEFINANCE(B468,""price"",TODAY()-365,TODAY()),1,0),""select Col2 limit 90""))"),775.9672222222223)</f>
        <v>775.9672222</v>
      </c>
      <c r="M468" s="17">
        <f>IFERROR(__xludf.DUMMYFUNCTION("AVERAGE(QUERY(SORT(GOOGLEFINANCE(B468,""price"",TODAY()-365,TODAY()),1,0),""select Col2 limit 120""))"),782.6841666666668)</f>
        <v>782.6841667</v>
      </c>
      <c r="N468" s="19">
        <f>IFERROR(__xludf.DUMMYFUNCTION("AVERAGE(QUERY(SORT(GOOGLEFINANCE(B468,""price"",TODAY()-365,TODAY()),1,0),""select Col2 limit 200""))"),767.3115000000001)</f>
        <v>767.3115</v>
      </c>
      <c r="O468" s="20" t="str">
        <f t="shared" si="2"/>
        <v>Avoid</v>
      </c>
      <c r="P468" s="21" t="str">
        <f t="shared" si="3"/>
        <v>120 DMA</v>
      </c>
      <c r="Q468" s="21" t="str">
        <f t="shared" si="4"/>
        <v/>
      </c>
      <c r="R468" s="22">
        <f>IFERROR(__xludf.DUMMYFUNCTION("GOOGLEFINANCE(B468, ""pe"")
"),26.49)</f>
        <v>26.49</v>
      </c>
    </row>
    <row r="469">
      <c r="A469" s="9" t="s">
        <v>481</v>
      </c>
      <c r="B469" s="11" t="str">
        <f t="shared" si="1"/>
        <v>NSE:WELSPUNLIV</v>
      </c>
      <c r="C469" s="12">
        <f>IFERROR(__xludf.DUMMYFUNCTION("GOOGLEFINANCE(B469,""marketcap"")/10000000"),13082.88)</f>
        <v>13082.88</v>
      </c>
      <c r="D469" s="13">
        <f>IFERROR(__xludf.DUMMYFUNCTION("GOOGLEFINANCE(B469,""price"")"),137.04)</f>
        <v>137.04</v>
      </c>
      <c r="E469" s="14">
        <f>IFERROR(__xludf.DUMMYFUNCTION("GOOGLEFINANCE(B469,""Volume"")"),832059.0)</f>
        <v>832059</v>
      </c>
      <c r="F469" s="14">
        <f t="array" ref="F469">F468</f>
        <v>14</v>
      </c>
      <c r="G469" s="15" t="str">
        <f>IFERROR(__xludf.DUMMYFUNCTION("IF(E469&gt;AVERAGE(INDEX(GOOGLEFINANCE(B469,""volume"",WORKDAY(TODAY(),-$F$1),TODAY()),,2)),""Breakout"","""")"),"")</f>
        <v/>
      </c>
      <c r="H469" s="16">
        <f>IFERROR(__xludf.DUMMYFUNCTION("GOOGLEFINANCE(B469,""price"")"),137.04)</f>
        <v>137.04</v>
      </c>
      <c r="I469" s="17">
        <f>IFERROR(__xludf.DUMMYFUNCTION("AVERAGE(QUERY(SORT(GOOGLEFINANCE(B469,""price"",TODAY()-365,TODAY()),1,0),""select Col2 limit 10""))"),139.66199999999998)</f>
        <v>139.662</v>
      </c>
      <c r="J469" s="17">
        <f>IFERROR(__xludf.DUMMYFUNCTION("AVERAGE(QUERY(SORT(GOOGLEFINANCE(B469,""price"",TODAY()-365,TODAY()),1,0),""select Col2 limit 30""))"),138.7286666666667)</f>
        <v>138.7286667</v>
      </c>
      <c r="K469" s="18">
        <f>IFERROR(__xludf.DUMMYFUNCTION("AVERAGE(QUERY(SORT(GOOGLEFINANCE(B469,""price"",TODAY()-365,TODAY()),1,0),""select Col2 limit 60""))"),139.81866666666667)</f>
        <v>139.8186667</v>
      </c>
      <c r="L469" s="17">
        <f>IFERROR(__xludf.DUMMYFUNCTION("AVERAGE(QUERY(SORT(GOOGLEFINANCE(B469,""price"",TODAY()-365,TODAY()),1,0),""select Col2 limit 90""))"),136.37500000000003)</f>
        <v>136.375</v>
      </c>
      <c r="M469" s="17">
        <f>IFERROR(__xludf.DUMMYFUNCTION("AVERAGE(QUERY(SORT(GOOGLEFINANCE(B469,""price"",TODAY()-365,TODAY()),1,0),""select Col2 limit 120""))"),132.89575000000005)</f>
        <v>132.89575</v>
      </c>
      <c r="N469" s="19">
        <f>IFERROR(__xludf.DUMMYFUNCTION("AVERAGE(QUERY(SORT(GOOGLEFINANCE(B469,""price"",TODAY()-365,TODAY()),1,0),""select Col2 limit 200""))"),142.8221000000001)</f>
        <v>142.8221</v>
      </c>
      <c r="O469" s="20" t="str">
        <f t="shared" si="2"/>
        <v>Avoid</v>
      </c>
      <c r="P469" s="21" t="str">
        <f t="shared" si="3"/>
        <v/>
      </c>
      <c r="Q469" s="21" t="str">
        <f t="shared" si="4"/>
        <v/>
      </c>
      <c r="R469" s="22">
        <f>IFERROR(__xludf.DUMMYFUNCTION("GOOGLEFINANCE(B469, ""pe"")
"),29.14)</f>
        <v>29.14</v>
      </c>
    </row>
    <row r="470">
      <c r="A470" s="9" t="s">
        <v>482</v>
      </c>
      <c r="B470" s="11" t="str">
        <f t="shared" si="1"/>
        <v>NSE:FSL</v>
      </c>
      <c r="C470" s="12">
        <f>IFERROR(__xludf.DUMMYFUNCTION("GOOGLEFINANCE(B470,""marketcap"")/10000000"),22875.4243293)</f>
        <v>22875.42433</v>
      </c>
      <c r="D470" s="13">
        <f>IFERROR(__xludf.DUMMYFUNCTION("GOOGLEFINANCE(B470,""price"")"),331.1)</f>
        <v>331.1</v>
      </c>
      <c r="E470" s="14">
        <f>IFERROR(__xludf.DUMMYFUNCTION("GOOGLEFINANCE(B470,""Volume"")"),258011.0)</f>
        <v>258011</v>
      </c>
      <c r="F470" s="14">
        <f t="array" ref="F470">F469</f>
        <v>14</v>
      </c>
      <c r="G470" s="15" t="str">
        <f>IFERROR(__xludf.DUMMYFUNCTION("IF(E470&gt;AVERAGE(INDEX(GOOGLEFINANCE(B470,""volume"",WORKDAY(TODAY(),-$F$1),TODAY()),,2)),""Breakout"","""")"),"#N/A")</f>
        <v>#N/A</v>
      </c>
      <c r="H470" s="16">
        <f>IFERROR(__xludf.DUMMYFUNCTION("GOOGLEFINANCE(B470,""price"")"),331.1)</f>
        <v>331.1</v>
      </c>
      <c r="I470" s="17">
        <f>IFERROR(__xludf.DUMMYFUNCTION("AVERAGE(QUERY(SORT(GOOGLEFINANCE(B470,""price"",TODAY()-365,TODAY()),1,0),""select Col2 limit 10""))"),350.66999999999996)</f>
        <v>350.67</v>
      </c>
      <c r="J470" s="17">
        <f>IFERROR(__xludf.DUMMYFUNCTION("AVERAGE(QUERY(SORT(GOOGLEFINANCE(B470,""price"",TODAY()-365,TODAY()),1,0),""select Col2 limit 30""))"),366.9233333333334)</f>
        <v>366.9233333</v>
      </c>
      <c r="K470" s="18">
        <f>IFERROR(__xludf.DUMMYFUNCTION("AVERAGE(QUERY(SORT(GOOGLEFINANCE(B470,""price"",TODAY()-365,TODAY()),1,0),""select Col2 limit 60""))"),366.1816666666666)</f>
        <v>366.1816667</v>
      </c>
      <c r="L470" s="17">
        <f>IFERROR(__xludf.DUMMYFUNCTION("AVERAGE(QUERY(SORT(GOOGLEFINANCE(B470,""price"",TODAY()-365,TODAY()),1,0),""select Col2 limit 90""))"),353.8544444444444)</f>
        <v>353.8544444</v>
      </c>
      <c r="M470" s="17">
        <f>IFERROR(__xludf.DUMMYFUNCTION("AVERAGE(QUERY(SORT(GOOGLEFINANCE(B470,""price"",TODAY()-365,TODAY()),1,0),""select Col2 limit 120""))"),353.02500000000015)</f>
        <v>353.025</v>
      </c>
      <c r="N470" s="19">
        <f>IFERROR(__xludf.DUMMYFUNCTION("AVERAGE(QUERY(SORT(GOOGLEFINANCE(B470,""price"",TODAY()-365,TODAY()),1,0),""select Col2 limit 200""))"),354.69949999999994)</f>
        <v>354.6995</v>
      </c>
      <c r="O470" s="20" t="str">
        <f t="shared" si="2"/>
        <v>Avoid</v>
      </c>
      <c r="P470" s="21" t="str">
        <f t="shared" si="3"/>
        <v/>
      </c>
      <c r="Q470" s="21" t="str">
        <f t="shared" si="4"/>
        <v/>
      </c>
      <c r="R470" s="22">
        <f>IFERROR(__xludf.DUMMYFUNCTION("GOOGLEFINANCE(B470, ""pe"")
"),39.32)</f>
        <v>39.32</v>
      </c>
    </row>
    <row r="471">
      <c r="A471" s="9" t="s">
        <v>483</v>
      </c>
      <c r="B471" s="11" t="str">
        <f t="shared" si="1"/>
        <v>NSE:KARURVYSYA</v>
      </c>
      <c r="C471" s="12">
        <f>IFERROR(__xludf.DUMMYFUNCTION("GOOGLEFINANCE(B471,""marketcap"")/10000000"),20969.1417725)</f>
        <v>20969.14177</v>
      </c>
      <c r="D471" s="13">
        <f>IFERROR(__xludf.DUMMYFUNCTION("GOOGLEFINANCE(B471,""price"")"),260.0)</f>
        <v>260</v>
      </c>
      <c r="E471" s="14">
        <f>IFERROR(__xludf.DUMMYFUNCTION("GOOGLEFINANCE(B471,""Volume"")"),869151.0)</f>
        <v>869151</v>
      </c>
      <c r="F471" s="14">
        <f t="array" ref="F471">F470</f>
        <v>14</v>
      </c>
      <c r="G471" s="15" t="str">
        <f>IFERROR(__xludf.DUMMYFUNCTION("IF(E471&gt;AVERAGE(INDEX(GOOGLEFINANCE(B471,""volume"",WORKDAY(TODAY(),-$F$1),TODAY()),,2)),""Breakout"","""")"),"")</f>
        <v/>
      </c>
      <c r="H471" s="16">
        <f>IFERROR(__xludf.DUMMYFUNCTION("GOOGLEFINANCE(B471,""price"")"),260.0)</f>
        <v>260</v>
      </c>
      <c r="I471" s="17" t="str">
        <f>IFERROR(__xludf.DUMMYFUNCTION("AVERAGE(QUERY(SORT(GOOGLEFINANCE(B471,""price"",TODAY()-365,TODAY()),1,0),""select Col2 limit 10""))"),"#N/A")</f>
        <v>#N/A</v>
      </c>
      <c r="J471" s="17" t="str">
        <f>IFERROR(__xludf.DUMMYFUNCTION("AVERAGE(QUERY(SORT(GOOGLEFINANCE(B471,""price"",TODAY()-365,TODAY()),1,0),""select Col2 limit 30""))"),"#N/A")</f>
        <v>#N/A</v>
      </c>
      <c r="K471" s="18" t="str">
        <f>IFERROR(__xludf.DUMMYFUNCTION("AVERAGE(QUERY(SORT(GOOGLEFINANCE(B471,""price"",TODAY()-365,TODAY()),1,0),""select Col2 limit 60""))"),"#N/A")</f>
        <v>#N/A</v>
      </c>
      <c r="L471" s="17" t="str">
        <f>IFERROR(__xludf.DUMMYFUNCTION("AVERAGE(QUERY(SORT(GOOGLEFINANCE(B471,""price"",TODAY()-365,TODAY()),1,0),""select Col2 limit 90""))"),"#N/A")</f>
        <v>#N/A</v>
      </c>
      <c r="M471" s="17" t="str">
        <f>IFERROR(__xludf.DUMMYFUNCTION("AVERAGE(QUERY(SORT(GOOGLEFINANCE(B471,""price"",TODAY()-365,TODAY()),1,0),""select Col2 limit 120""))"),"#N/A")</f>
        <v>#N/A</v>
      </c>
      <c r="N471" s="19" t="str">
        <f>IFERROR(__xludf.DUMMYFUNCTION("AVERAGE(QUERY(SORT(GOOGLEFINANCE(B471,""price"",TODAY()-365,TODAY()),1,0),""select Col2 limit 200""))"),"#N/A")</f>
        <v>#N/A</v>
      </c>
      <c r="O471" s="20" t="str">
        <f t="shared" si="2"/>
        <v>#N/A</v>
      </c>
      <c r="P471" s="21" t="str">
        <f t="shared" si="3"/>
        <v>#N/A</v>
      </c>
      <c r="Q471" s="21" t="str">
        <f t="shared" si="4"/>
        <v>#N/A</v>
      </c>
      <c r="R471" s="22">
        <f>IFERROR(__xludf.DUMMYFUNCTION("GOOGLEFINANCE(B471, ""pe"")
"),10.47)</f>
        <v>10.47</v>
      </c>
    </row>
    <row r="472">
      <c r="A472" s="9" t="s">
        <v>484</v>
      </c>
      <c r="B472" s="11" t="str">
        <f t="shared" si="1"/>
        <v>NSE:SPLPETRO</v>
      </c>
      <c r="C472" s="12">
        <f>IFERROR(__xludf.DUMMYFUNCTION("GOOGLEFINANCE(B472,""marketcap"")/10000000"),15099.71639)</f>
        <v>15099.71639</v>
      </c>
      <c r="D472" s="13">
        <f>IFERROR(__xludf.DUMMYFUNCTION("GOOGLEFINANCE(B472,""price"")"),803.85)</f>
        <v>803.85</v>
      </c>
      <c r="E472" s="14">
        <f>IFERROR(__xludf.DUMMYFUNCTION("GOOGLEFINANCE(B472,""Volume"")"),17540.0)</f>
        <v>17540</v>
      </c>
      <c r="F472" s="14">
        <f t="array" ref="F472">F471</f>
        <v>14</v>
      </c>
      <c r="G472" s="15" t="str">
        <f>IFERROR(__xludf.DUMMYFUNCTION("IF(E472&gt;AVERAGE(INDEX(GOOGLEFINANCE(B472,""volume"",WORKDAY(TODAY(),-$F$1),TODAY()),,2)),""Breakout"","""")"),"")</f>
        <v/>
      </c>
      <c r="H472" s="16">
        <f>IFERROR(__xludf.DUMMYFUNCTION("GOOGLEFINANCE(B472,""price"")"),803.85)</f>
        <v>803.85</v>
      </c>
      <c r="I472" s="17">
        <f>IFERROR(__xludf.DUMMYFUNCTION("AVERAGE(QUERY(SORT(GOOGLEFINANCE(B472,""price"",TODAY()-365,TODAY()),1,0),""select Col2 limit 10""))"),814.3)</f>
        <v>814.3</v>
      </c>
      <c r="J472" s="17">
        <f>IFERROR(__xludf.DUMMYFUNCTION("AVERAGE(QUERY(SORT(GOOGLEFINANCE(B472,""price"",TODAY()-365,TODAY()),1,0),""select Col2 limit 30""))"),804.4666666666667)</f>
        <v>804.4666667</v>
      </c>
      <c r="K472" s="18">
        <f>IFERROR(__xludf.DUMMYFUNCTION("AVERAGE(QUERY(SORT(GOOGLEFINANCE(B472,""price"",TODAY()-365,TODAY()),1,0),""select Col2 limit 60""))"),746.5666666666668)</f>
        <v>746.5666667</v>
      </c>
      <c r="L472" s="17">
        <f>IFERROR(__xludf.DUMMYFUNCTION("AVERAGE(QUERY(SORT(GOOGLEFINANCE(B472,""price"",TODAY()-365,TODAY()),1,0),""select Col2 limit 90""))"),701.4461111111111)</f>
        <v>701.4461111</v>
      </c>
      <c r="M472" s="17">
        <f>IFERROR(__xludf.DUMMYFUNCTION("AVERAGE(QUERY(SORT(GOOGLEFINANCE(B472,""price"",TODAY()-365,TODAY()),1,0),""select Col2 limit 120""))"),675.6825000000001)</f>
        <v>675.6825</v>
      </c>
      <c r="N472" s="19">
        <f>IFERROR(__xludf.DUMMYFUNCTION("AVERAGE(QUERY(SORT(GOOGLEFINANCE(B472,""price"",TODAY()-365,TODAY()),1,0),""select Col2 limit 200""))"),698.9290000000004)</f>
        <v>698.929</v>
      </c>
      <c r="O472" s="20" t="str">
        <f t="shared" si="2"/>
        <v>Avoid</v>
      </c>
      <c r="P472" s="21" t="str">
        <f t="shared" si="3"/>
        <v>30 DMA</v>
      </c>
      <c r="Q472" s="21" t="str">
        <f t="shared" si="4"/>
        <v/>
      </c>
      <c r="R472" s="22">
        <f>IFERROR(__xludf.DUMMYFUNCTION("GOOGLEFINANCE(B472, ""pe"")
"),43.16)</f>
        <v>43.16</v>
      </c>
    </row>
    <row r="473">
      <c r="A473" s="9" t="s">
        <v>485</v>
      </c>
      <c r="B473" s="11" t="str">
        <f t="shared" si="1"/>
        <v>NSE:INDIAMART</v>
      </c>
      <c r="C473" s="12">
        <f>IFERROR(__xludf.DUMMYFUNCTION("GOOGLEFINANCE(B473,""marketcap"")/10000000"),15362.99776)</f>
        <v>15362.99776</v>
      </c>
      <c r="D473" s="13">
        <f>IFERROR(__xludf.DUMMYFUNCTION("GOOGLEFINANCE(B473,""price"")"),2565.3)</f>
        <v>2565.3</v>
      </c>
      <c r="E473" s="14">
        <f>IFERROR(__xludf.DUMMYFUNCTION("GOOGLEFINANCE(B473,""Volume"")"),31566.0)</f>
        <v>31566</v>
      </c>
      <c r="F473" s="14">
        <f t="array" ref="F473">F472</f>
        <v>14</v>
      </c>
      <c r="G473" s="15" t="str">
        <f>IFERROR(__xludf.DUMMYFUNCTION("IF(E473&gt;AVERAGE(INDEX(GOOGLEFINANCE(B473,""volume"",WORKDAY(TODAY(),-$F$1),TODAY()),,2)),""Breakout"","""")"),"")</f>
        <v/>
      </c>
      <c r="H473" s="16">
        <f>IFERROR(__xludf.DUMMYFUNCTION("GOOGLEFINANCE(B473,""price"")"),2565.3)</f>
        <v>2565.3</v>
      </c>
      <c r="I473" s="17">
        <f>IFERROR(__xludf.DUMMYFUNCTION("AVERAGE(QUERY(SORT(GOOGLEFINANCE(B473,""price"",TODAY()-365,TODAY()),1,0),""select Col2 limit 10""))"),2631.77)</f>
        <v>2631.77</v>
      </c>
      <c r="J473" s="17">
        <f>IFERROR(__xludf.DUMMYFUNCTION("AVERAGE(QUERY(SORT(GOOGLEFINANCE(B473,""price"",TODAY()-365,TODAY()),1,0),""select Col2 limit 30""))"),2578.9266666666667)</f>
        <v>2578.926667</v>
      </c>
      <c r="K473" s="18">
        <f>IFERROR(__xludf.DUMMYFUNCTION("AVERAGE(QUERY(SORT(GOOGLEFINANCE(B473,""price"",TODAY()-365,TODAY()),1,0),""select Col2 limit 60""))"),2468.5916666666667)</f>
        <v>2468.591667</v>
      </c>
      <c r="L473" s="17">
        <f>IFERROR(__xludf.DUMMYFUNCTION("AVERAGE(QUERY(SORT(GOOGLEFINANCE(B473,""price"",TODAY()-365,TODAY()),1,0),""select Col2 limit 90""))"),2358.7644444444445)</f>
        <v>2358.764444</v>
      </c>
      <c r="M473" s="17">
        <f>IFERROR(__xludf.DUMMYFUNCTION("AVERAGE(QUERY(SORT(GOOGLEFINANCE(B473,""price"",TODAY()-365,TODAY()),1,0),""select Col2 limit 120""))"),2286.0779166666675)</f>
        <v>2286.077917</v>
      </c>
      <c r="N473" s="19">
        <f>IFERROR(__xludf.DUMMYFUNCTION("AVERAGE(QUERY(SORT(GOOGLEFINANCE(B473,""price"",TODAY()-365,TODAY()),1,0),""select Col2 limit 200""))"),2340.5780000000022)</f>
        <v>2340.578</v>
      </c>
      <c r="O473" s="20" t="str">
        <f t="shared" si="2"/>
        <v>Avoid</v>
      </c>
      <c r="P473" s="21" t="str">
        <f t="shared" si="3"/>
        <v>30 DMA</v>
      </c>
      <c r="Q473" s="21" t="str">
        <f t="shared" si="4"/>
        <v/>
      </c>
      <c r="R473" s="22">
        <f>IFERROR(__xludf.DUMMYFUNCTION("GOOGLEFINANCE(B473, ""pe"")
"),26.14)</f>
        <v>26.14</v>
      </c>
    </row>
    <row r="474">
      <c r="A474" s="9" t="s">
        <v>486</v>
      </c>
      <c r="B474" s="11" t="str">
        <f t="shared" si="1"/>
        <v>NSE:LAXMIMACH</v>
      </c>
      <c r="C474" s="12" t="str">
        <f>IFERROR(__xludf.DUMMYFUNCTION("GOOGLEFINANCE(B474,""marketcap"")/10000000"),"#N/A")</f>
        <v>#N/A</v>
      </c>
      <c r="D474" s="13" t="str">
        <f>IFERROR(__xludf.DUMMYFUNCTION("GOOGLEFINANCE(B474,""price"")"),"#N/A")</f>
        <v>#N/A</v>
      </c>
      <c r="E474" s="14" t="str">
        <f>IFERROR(__xludf.DUMMYFUNCTION("GOOGLEFINANCE(B474,""Volume"")"),"#N/A")</f>
        <v>#N/A</v>
      </c>
      <c r="F474" s="14">
        <f t="array" ref="F474">F473</f>
        <v>14</v>
      </c>
      <c r="G474" s="15" t="str">
        <f>IFERROR(__xludf.DUMMYFUNCTION("IF(E474&gt;AVERAGE(INDEX(GOOGLEFINANCE(B474,""volume"",WORKDAY(TODAY(),-$F$1),TODAY()),,2)),""Breakout"","""")"),"#N/A")</f>
        <v>#N/A</v>
      </c>
      <c r="H474" s="16" t="str">
        <f>IFERROR(__xludf.DUMMYFUNCTION("GOOGLEFINANCE(B474,""price"")"),"#N/A")</f>
        <v>#N/A</v>
      </c>
      <c r="I474" s="17" t="str">
        <f>IFERROR(__xludf.DUMMYFUNCTION("AVERAGE(QUERY(SORT(GOOGLEFINANCE(B474,""price"",TODAY()-365,TODAY()),1,0),""select Col2 limit 10""))"),"#N/A")</f>
        <v>#N/A</v>
      </c>
      <c r="J474" s="17" t="str">
        <f>IFERROR(__xludf.DUMMYFUNCTION("AVERAGE(QUERY(SORT(GOOGLEFINANCE(B474,""price"",TODAY()-365,TODAY()),1,0),""select Col2 limit 30""))"),"#N/A")</f>
        <v>#N/A</v>
      </c>
      <c r="K474" s="18" t="str">
        <f>IFERROR(__xludf.DUMMYFUNCTION("AVERAGE(QUERY(SORT(GOOGLEFINANCE(B474,""price"",TODAY()-365,TODAY()),1,0),""select Col2 limit 60""))"),"#N/A")</f>
        <v>#N/A</v>
      </c>
      <c r="L474" s="17" t="str">
        <f>IFERROR(__xludf.DUMMYFUNCTION("AVERAGE(QUERY(SORT(GOOGLEFINANCE(B474,""price"",TODAY()-365,TODAY()),1,0),""select Col2 limit 90""))"),"#N/A")</f>
        <v>#N/A</v>
      </c>
      <c r="M474" s="17" t="str">
        <f>IFERROR(__xludf.DUMMYFUNCTION("AVERAGE(QUERY(SORT(GOOGLEFINANCE(B474,""price"",TODAY()-365,TODAY()),1,0),""select Col2 limit 120""))"),"#N/A")</f>
        <v>#N/A</v>
      </c>
      <c r="N474" s="19" t="str">
        <f>IFERROR(__xludf.DUMMYFUNCTION("AVERAGE(QUERY(SORT(GOOGLEFINANCE(B474,""price"",TODAY()-365,TODAY()),1,0),""select Col2 limit 200""))"),"#N/A")</f>
        <v>#N/A</v>
      </c>
      <c r="O474" s="20" t="str">
        <f t="shared" si="2"/>
        <v>#N/A</v>
      </c>
      <c r="P474" s="21" t="str">
        <f t="shared" si="3"/>
        <v>#N/A</v>
      </c>
      <c r="Q474" s="21" t="str">
        <f t="shared" si="4"/>
        <v>#N/A</v>
      </c>
      <c r="R474" s="22" t="str">
        <f>IFERROR(__xludf.DUMMYFUNCTION("GOOGLEFINANCE(B474, ""pe"")
"),"#N/A")</f>
        <v>#N/A</v>
      </c>
    </row>
    <row r="475">
      <c r="A475" s="9" t="s">
        <v>487</v>
      </c>
      <c r="B475" s="11" t="str">
        <f t="shared" si="1"/>
        <v>NSE:MGL</v>
      </c>
      <c r="C475" s="12">
        <f>IFERROR(__xludf.DUMMYFUNCTION("GOOGLEFINANCE(B475,""marketcap"")/10000000"),13717.2712149)</f>
        <v>13717.27121</v>
      </c>
      <c r="D475" s="13">
        <f>IFERROR(__xludf.DUMMYFUNCTION("GOOGLEFINANCE(B475,""price"")"),1390.2)</f>
        <v>1390.2</v>
      </c>
      <c r="E475" s="14">
        <f>IFERROR(__xludf.DUMMYFUNCTION("GOOGLEFINANCE(B475,""Volume"")"),280252.0)</f>
        <v>280252</v>
      </c>
      <c r="F475" s="14">
        <f t="array" ref="F475">F474</f>
        <v>14</v>
      </c>
      <c r="G475" s="15" t="str">
        <f>IFERROR(__xludf.DUMMYFUNCTION("IF(E475&gt;AVERAGE(INDEX(GOOGLEFINANCE(B475,""volume"",WORKDAY(TODAY(),-$F$1),TODAY()),,2)),""Breakout"","""")"),"")</f>
        <v/>
      </c>
      <c r="H475" s="16">
        <f>IFERROR(__xludf.DUMMYFUNCTION("GOOGLEFINANCE(B475,""price"")"),1390.2)</f>
        <v>1390.2</v>
      </c>
      <c r="I475" s="17">
        <f>IFERROR(__xludf.DUMMYFUNCTION("AVERAGE(QUERY(SORT(GOOGLEFINANCE(B475,""price"",TODAY()-365,TODAY()),1,0),""select Col2 limit 10""))"),1475.3700000000001)</f>
        <v>1475.37</v>
      </c>
      <c r="J475" s="17">
        <f>IFERROR(__xludf.DUMMYFUNCTION("AVERAGE(QUERY(SORT(GOOGLEFINANCE(B475,""price"",TODAY()-365,TODAY()),1,0),""select Col2 limit 30""))"),1468.4133333333336)</f>
        <v>1468.413333</v>
      </c>
      <c r="K475" s="18">
        <f>IFERROR(__xludf.DUMMYFUNCTION("AVERAGE(QUERY(SORT(GOOGLEFINANCE(B475,""price"",TODAY()-365,TODAY()),1,0),""select Col2 limit 60""))"),1417.2366666666662)</f>
        <v>1417.236667</v>
      </c>
      <c r="L475" s="17">
        <f>IFERROR(__xludf.DUMMYFUNCTION("AVERAGE(QUERY(SORT(GOOGLEFINANCE(B475,""price"",TODAY()-365,TODAY()),1,0),""select Col2 limit 90""))"),1388.6022222222218)</f>
        <v>1388.602222</v>
      </c>
      <c r="M475" s="17">
        <f>IFERROR(__xludf.DUMMYFUNCTION("AVERAGE(QUERY(SORT(GOOGLEFINANCE(B475,""price"",TODAY()-365,TODAY()),1,0),""select Col2 limit 120""))"),1367.0833333333323)</f>
        <v>1367.083333</v>
      </c>
      <c r="N475" s="19">
        <f>IFERROR(__xludf.DUMMYFUNCTION("AVERAGE(QUERY(SORT(GOOGLEFINANCE(B475,""price"",TODAY()-365,TODAY()),1,0),""select Col2 limit 200""))"),1371.804749999999)</f>
        <v>1371.80475</v>
      </c>
      <c r="O475" s="20" t="str">
        <f t="shared" si="2"/>
        <v>Avoid</v>
      </c>
      <c r="P475" s="21" t="str">
        <f t="shared" si="3"/>
        <v/>
      </c>
      <c r="Q475" s="21" t="str">
        <f t="shared" si="4"/>
        <v/>
      </c>
      <c r="R475" s="22">
        <f>IFERROR(__xludf.DUMMYFUNCTION("GOOGLEFINANCE(B475, ""pe"")
"),12.81)</f>
        <v>12.81</v>
      </c>
    </row>
    <row r="476">
      <c r="A476" s="9" t="s">
        <v>488</v>
      </c>
      <c r="B476" s="11" t="str">
        <f t="shared" si="1"/>
        <v>NSE:HFCL</v>
      </c>
      <c r="C476" s="12">
        <f>IFERROR(__xludf.DUMMYFUNCTION("GOOGLEFINANCE(B476,""marketcap"")/10000000"),11207.807076)</f>
        <v>11207.80708</v>
      </c>
      <c r="D476" s="13">
        <f>IFERROR(__xludf.DUMMYFUNCTION("GOOGLEFINANCE(B476,""price"")"),77.94)</f>
        <v>77.94</v>
      </c>
      <c r="E476" s="14">
        <f>IFERROR(__xludf.DUMMYFUNCTION("GOOGLEFINANCE(B476,""Volume"")"),8676112.0)</f>
        <v>8676112</v>
      </c>
      <c r="F476" s="14">
        <f t="array" ref="F476">F475</f>
        <v>14</v>
      </c>
      <c r="G476" s="15" t="str">
        <f>IFERROR(__xludf.DUMMYFUNCTION("IF(E476&gt;AVERAGE(INDEX(GOOGLEFINANCE(B476,""volume"",WORKDAY(TODAY(),-$F$1),TODAY()),,2)),""Breakout"","""")"),"Breakout")</f>
        <v>Breakout</v>
      </c>
      <c r="H476" s="16">
        <f>IFERROR(__xludf.DUMMYFUNCTION("GOOGLEFINANCE(B476,""price"")"),77.94)</f>
        <v>77.94</v>
      </c>
      <c r="I476" s="17">
        <f>IFERROR(__xludf.DUMMYFUNCTION("AVERAGE(QUERY(SORT(GOOGLEFINANCE(B476,""price"",TODAY()-365,TODAY()),1,0),""select Col2 limit 10""))"),81.09200000000001)</f>
        <v>81.092</v>
      </c>
      <c r="J476" s="17">
        <f>IFERROR(__xludf.DUMMYFUNCTION("AVERAGE(QUERY(SORT(GOOGLEFINANCE(B476,""price"",TODAY()-365,TODAY()),1,0),""select Col2 limit 30""))"),82.90299999999999)</f>
        <v>82.903</v>
      </c>
      <c r="K476" s="18">
        <f>IFERROR(__xludf.DUMMYFUNCTION("AVERAGE(QUERY(SORT(GOOGLEFINANCE(B476,""price"",TODAY()-365,TODAY()),1,0),""select Col2 limit 60""))"),84.44116666666667)</f>
        <v>84.44116667</v>
      </c>
      <c r="L476" s="17">
        <f>IFERROR(__xludf.DUMMYFUNCTION("AVERAGE(QUERY(SORT(GOOGLEFINANCE(B476,""price"",TODAY()-365,TODAY()),1,0),""select Col2 limit 90""))"),83.28788888888892)</f>
        <v>83.28788889</v>
      </c>
      <c r="M476" s="17">
        <f>IFERROR(__xludf.DUMMYFUNCTION("AVERAGE(QUERY(SORT(GOOGLEFINANCE(B476,""price"",TODAY()-365,TODAY()),1,0),""select Col2 limit 120""))"),84.79083333333334)</f>
        <v>84.79083333</v>
      </c>
      <c r="N476" s="19">
        <f>IFERROR(__xludf.DUMMYFUNCTION("AVERAGE(QUERY(SORT(GOOGLEFINANCE(B476,""price"",TODAY()-365,TODAY()),1,0),""select Col2 limit 200""))"),98.95480000000005)</f>
        <v>98.9548</v>
      </c>
      <c r="O476" s="20" t="str">
        <f t="shared" si="2"/>
        <v>Avoid</v>
      </c>
      <c r="P476" s="21" t="str">
        <f t="shared" si="3"/>
        <v/>
      </c>
      <c r="Q476" s="21" t="str">
        <f t="shared" si="4"/>
        <v/>
      </c>
      <c r="R476" s="22">
        <f>IFERROR(__xludf.DUMMYFUNCTION("GOOGLEFINANCE(B476, ""pe"")
"),324.46)</f>
        <v>324.46</v>
      </c>
    </row>
    <row r="477">
      <c r="A477" s="9" t="s">
        <v>489</v>
      </c>
      <c r="B477" s="11" t="str">
        <f t="shared" si="1"/>
        <v>NSE:RAILTEL</v>
      </c>
      <c r="C477" s="12">
        <f>IFERROR(__xludf.DUMMYFUNCTION("GOOGLEFINANCE(B477,""marketcap"")/10000000"),12365.7600132)</f>
        <v>12365.76001</v>
      </c>
      <c r="D477" s="13">
        <f>IFERROR(__xludf.DUMMYFUNCTION("GOOGLEFINANCE(B477,""price"")"),384.7)</f>
        <v>384.7</v>
      </c>
      <c r="E477" s="14">
        <f>IFERROR(__xludf.DUMMYFUNCTION("GOOGLEFINANCE(B477,""Volume"")"),639667.0)</f>
        <v>639667</v>
      </c>
      <c r="F477" s="14">
        <f t="array" ref="F477">F476</f>
        <v>14</v>
      </c>
      <c r="G477" s="15" t="str">
        <f>IFERROR(__xludf.DUMMYFUNCTION("IF(E477&gt;AVERAGE(INDEX(GOOGLEFINANCE(B477,""volume"",WORKDAY(TODAY(),-$F$1),TODAY()),,2)),""Breakout"","""")"),"")</f>
        <v/>
      </c>
      <c r="H477" s="16">
        <f>IFERROR(__xludf.DUMMYFUNCTION("GOOGLEFINANCE(B477,""price"")"),384.7)</f>
        <v>384.7</v>
      </c>
      <c r="I477" s="17">
        <f>IFERROR(__xludf.DUMMYFUNCTION("AVERAGE(QUERY(SORT(GOOGLEFINANCE(B477,""price"",TODAY()-365,TODAY()),1,0),""select Col2 limit 10""))"),406.475)</f>
        <v>406.475</v>
      </c>
      <c r="J477" s="17">
        <f>IFERROR(__xludf.DUMMYFUNCTION("AVERAGE(QUERY(SORT(GOOGLEFINANCE(B477,""price"",TODAY()-365,TODAY()),1,0),""select Col2 limit 30""))"),415.4783333333333)</f>
        <v>415.4783333</v>
      </c>
      <c r="K477" s="18">
        <f>IFERROR(__xludf.DUMMYFUNCTION("AVERAGE(QUERY(SORT(GOOGLEFINANCE(B477,""price"",TODAY()-365,TODAY()),1,0),""select Col2 limit 60""))"),400.27166666666653)</f>
        <v>400.2716667</v>
      </c>
      <c r="L477" s="17">
        <f>IFERROR(__xludf.DUMMYFUNCTION("AVERAGE(QUERY(SORT(GOOGLEFINANCE(B477,""price"",TODAY()-365,TODAY()),1,0),""select Col2 limit 90""))"),368.2677777777776)</f>
        <v>368.2677778</v>
      </c>
      <c r="M477" s="17">
        <f>IFERROR(__xludf.DUMMYFUNCTION("AVERAGE(QUERY(SORT(GOOGLEFINANCE(B477,""price"",TODAY()-365,TODAY()),1,0),""select Col2 limit 120""))"),356.3233333333331)</f>
        <v>356.3233333</v>
      </c>
      <c r="N477" s="19">
        <f>IFERROR(__xludf.DUMMYFUNCTION("AVERAGE(QUERY(SORT(GOOGLEFINANCE(B477,""price"",TODAY()-365,TODAY()),1,0),""select Col2 limit 200""))"),376.07499999999976)</f>
        <v>376.075</v>
      </c>
      <c r="O477" s="20" t="str">
        <f t="shared" si="2"/>
        <v>Avoid</v>
      </c>
      <c r="P477" s="21" t="str">
        <f t="shared" si="3"/>
        <v/>
      </c>
      <c r="Q477" s="21" t="str">
        <f t="shared" si="4"/>
        <v/>
      </c>
      <c r="R477" s="22">
        <f>IFERROR(__xludf.DUMMYFUNCTION("GOOGLEFINANCE(B477, ""pe"")
"),41.17)</f>
        <v>41.17</v>
      </c>
    </row>
    <row r="478">
      <c r="A478" s="9" t="s">
        <v>490</v>
      </c>
      <c r="B478" s="11" t="str">
        <f t="shared" si="1"/>
        <v>NSE:ANANTRAJ</v>
      </c>
      <c r="C478" s="12">
        <f>IFERROR(__xludf.DUMMYFUNCTION("GOOGLEFINANCE(B478,""marketcap"")/10000000"),19600.18026)</f>
        <v>19600.18026</v>
      </c>
      <c r="D478" s="13">
        <f>IFERROR(__xludf.DUMMYFUNCTION("GOOGLEFINANCE(B478,""price"")"),571.0)</f>
        <v>571</v>
      </c>
      <c r="E478" s="14">
        <f>IFERROR(__xludf.DUMMYFUNCTION("GOOGLEFINANCE(B478,""Volume"")"),1424180.0)</f>
        <v>1424180</v>
      </c>
      <c r="F478" s="14">
        <f t="array" ref="F478">F477</f>
        <v>14</v>
      </c>
      <c r="G478" s="15" t="str">
        <f>IFERROR(__xludf.DUMMYFUNCTION("IF(E478&gt;AVERAGE(INDEX(GOOGLEFINANCE(B478,""volume"",WORKDAY(TODAY(),-$F$1),TODAY()),,2)),""Breakout"","""")"),"")</f>
        <v/>
      </c>
      <c r="H478" s="16">
        <f>IFERROR(__xludf.DUMMYFUNCTION("GOOGLEFINANCE(B478,""price"")"),571.0)</f>
        <v>571</v>
      </c>
      <c r="I478" s="17">
        <f>IFERROR(__xludf.DUMMYFUNCTION("AVERAGE(QUERY(SORT(GOOGLEFINANCE(B478,""price"",TODAY()-365,TODAY()),1,0),""select Col2 limit 10""))"),582.67)</f>
        <v>582.67</v>
      </c>
      <c r="J478" s="17">
        <f>IFERROR(__xludf.DUMMYFUNCTION("AVERAGE(QUERY(SORT(GOOGLEFINANCE(B478,""price"",TODAY()-365,TODAY()),1,0),""select Col2 limit 30""))"),558.19)</f>
        <v>558.19</v>
      </c>
      <c r="K478" s="18">
        <f>IFERROR(__xludf.DUMMYFUNCTION("AVERAGE(QUERY(SORT(GOOGLEFINANCE(B478,""price"",TODAY()-365,TODAY()),1,0),""select Col2 limit 60""))"),538.0575)</f>
        <v>538.0575</v>
      </c>
      <c r="L478" s="17">
        <f>IFERROR(__xludf.DUMMYFUNCTION("AVERAGE(QUERY(SORT(GOOGLEFINANCE(B478,""price"",TODAY()-365,TODAY()),1,0),""select Col2 limit 90""))"),519.1377777777775)</f>
        <v>519.1377778</v>
      </c>
      <c r="M478" s="17">
        <f>IFERROR(__xludf.DUMMYFUNCTION("AVERAGE(QUERY(SORT(GOOGLEFINANCE(B478,""price"",TODAY()-365,TODAY()),1,0),""select Col2 limit 120""))"),522.6199999999998)</f>
        <v>522.62</v>
      </c>
      <c r="N478" s="19">
        <f>IFERROR(__xludf.DUMMYFUNCTION("AVERAGE(QUERY(SORT(GOOGLEFINANCE(B478,""price"",TODAY()-365,TODAY()),1,0),""select Col2 limit 200""))"),618.0967499999997)</f>
        <v>618.09675</v>
      </c>
      <c r="O478" s="20" t="str">
        <f t="shared" si="2"/>
        <v>Avoid</v>
      </c>
      <c r="P478" s="21" t="str">
        <f t="shared" si="3"/>
        <v/>
      </c>
      <c r="Q478" s="21" t="str">
        <f t="shared" si="4"/>
        <v/>
      </c>
      <c r="R478" s="22">
        <f>IFERROR(__xludf.DUMMYFUNCTION("GOOGLEFINANCE(B478, ""pe"")
"),42.47)</f>
        <v>42.47</v>
      </c>
    </row>
    <row r="479">
      <c r="A479" s="9" t="s">
        <v>491</v>
      </c>
      <c r="B479" s="11" t="str">
        <f t="shared" si="1"/>
        <v>NSE:KSB</v>
      </c>
      <c r="C479" s="12">
        <f>IFERROR(__xludf.DUMMYFUNCTION("GOOGLEFINANCE(B479,""marketcap"")/10000000"),14923.852825)</f>
        <v>14923.85283</v>
      </c>
      <c r="D479" s="13">
        <f>IFERROR(__xludf.DUMMYFUNCTION("GOOGLEFINANCE(B479,""price"")"),859.45)</f>
        <v>859.45</v>
      </c>
      <c r="E479" s="14">
        <f>IFERROR(__xludf.DUMMYFUNCTION("GOOGLEFINANCE(B479,""Volume"")"),129941.0)</f>
        <v>129941</v>
      </c>
      <c r="F479" s="14">
        <f t="array" ref="F479">F478</f>
        <v>14</v>
      </c>
      <c r="G479" s="15" t="str">
        <f>IFERROR(__xludf.DUMMYFUNCTION("IF(E479&gt;AVERAGE(INDEX(GOOGLEFINANCE(B479,""volume"",WORKDAY(TODAY(),-$F$1),TODAY()),,2)),""Breakout"","""")"),"")</f>
        <v/>
      </c>
      <c r="H479" s="16">
        <f>IFERROR(__xludf.DUMMYFUNCTION("GOOGLEFINANCE(B479,""price"")"),859.45)</f>
        <v>859.45</v>
      </c>
      <c r="I479" s="17">
        <f>IFERROR(__xludf.DUMMYFUNCTION("AVERAGE(QUERY(SORT(GOOGLEFINANCE(B479,""price"",TODAY()-365,TODAY()),1,0),""select Col2 limit 10""))"),871.18)</f>
        <v>871.18</v>
      </c>
      <c r="J479" s="17">
        <f>IFERROR(__xludf.DUMMYFUNCTION("AVERAGE(QUERY(SORT(GOOGLEFINANCE(B479,""price"",TODAY()-365,TODAY()),1,0),""select Col2 limit 30""))"),840.8216666666666)</f>
        <v>840.8216667</v>
      </c>
      <c r="K479" s="18">
        <f>IFERROR(__xludf.DUMMYFUNCTION("AVERAGE(QUERY(SORT(GOOGLEFINANCE(B479,""price"",TODAY()-365,TODAY()),1,0),""select Col2 limit 60""))"),824.9474999999999)</f>
        <v>824.9475</v>
      </c>
      <c r="L479" s="17">
        <f>IFERROR(__xludf.DUMMYFUNCTION("AVERAGE(QUERY(SORT(GOOGLEFINANCE(B479,""price"",TODAY()-365,TODAY()),1,0),""select Col2 limit 90""))"),790.805)</f>
        <v>790.805</v>
      </c>
      <c r="M479" s="17">
        <f>IFERROR(__xludf.DUMMYFUNCTION("AVERAGE(QUERY(SORT(GOOGLEFINANCE(B479,""price"",TODAY()-365,TODAY()),1,0),""select Col2 limit 120""))"),756.1629166666665)</f>
        <v>756.1629167</v>
      </c>
      <c r="N479" s="19">
        <f>IFERROR(__xludf.DUMMYFUNCTION("AVERAGE(QUERY(SORT(GOOGLEFINANCE(B479,""price"",TODAY()-365,TODAY()),1,0),""select Col2 limit 200""))"),773.6719999999998)</f>
        <v>773.672</v>
      </c>
      <c r="O479" s="20" t="str">
        <f t="shared" si="2"/>
        <v>Avoid</v>
      </c>
      <c r="P479" s="21" t="str">
        <f t="shared" si="3"/>
        <v/>
      </c>
      <c r="Q479" s="21" t="str">
        <f t="shared" si="4"/>
        <v/>
      </c>
      <c r="R479" s="22">
        <f>IFERROR(__xludf.DUMMYFUNCTION("GOOGLEFINANCE(B479, ""pe"")
"),58.6)</f>
        <v>58.6</v>
      </c>
    </row>
    <row r="480">
      <c r="A480" s="9" t="s">
        <v>492</v>
      </c>
      <c r="B480" s="11" t="str">
        <f t="shared" si="1"/>
        <v>NSE:GRINFRA</v>
      </c>
      <c r="C480" s="12">
        <f>IFERROR(__xludf.DUMMYFUNCTION("GOOGLEFINANCE(B480,""marketcap"")/10000000"),11886.4838747)</f>
        <v>11886.48387</v>
      </c>
      <c r="D480" s="13">
        <f>IFERROR(__xludf.DUMMYFUNCTION("GOOGLEFINANCE(B480,""price"")"),1217.7)</f>
        <v>1217.7</v>
      </c>
      <c r="E480" s="14">
        <f>IFERROR(__xludf.DUMMYFUNCTION("GOOGLEFINANCE(B480,""Volume"")"),7842.0)</f>
        <v>7842</v>
      </c>
      <c r="F480" s="14">
        <f t="array" ref="F480">F479</f>
        <v>14</v>
      </c>
      <c r="G480" s="15" t="str">
        <f>IFERROR(__xludf.DUMMYFUNCTION("IF(E480&gt;AVERAGE(INDEX(GOOGLEFINANCE(B480,""volume"",WORKDAY(TODAY(),-$F$1),TODAY()),,2)),""Breakout"","""")"),"")</f>
        <v/>
      </c>
      <c r="H480" s="16">
        <f>IFERROR(__xludf.DUMMYFUNCTION("GOOGLEFINANCE(B480,""price"")"),1217.7)</f>
        <v>1217.7</v>
      </c>
      <c r="I480" s="17">
        <f>IFERROR(__xludf.DUMMYFUNCTION("AVERAGE(QUERY(SORT(GOOGLEFINANCE(B480,""price"",TODAY()-365,TODAY()),1,0),""select Col2 limit 10""))"),1271.1799999999998)</f>
        <v>1271.18</v>
      </c>
      <c r="J480" s="17">
        <f>IFERROR(__xludf.DUMMYFUNCTION("AVERAGE(QUERY(SORT(GOOGLEFINANCE(B480,""price"",TODAY()-365,TODAY()),1,0),""select Col2 limit 30""))"),1279.6833333333334)</f>
        <v>1279.683333</v>
      </c>
      <c r="K480" s="18">
        <f>IFERROR(__xludf.DUMMYFUNCTION("AVERAGE(QUERY(SORT(GOOGLEFINANCE(B480,""price"",TODAY()-365,TODAY()),1,0),""select Col2 limit 60""))"),1260.6466666666668)</f>
        <v>1260.646667</v>
      </c>
      <c r="L480" s="17">
        <f>IFERROR(__xludf.DUMMYFUNCTION("AVERAGE(QUERY(SORT(GOOGLEFINANCE(B480,""price"",TODAY()-365,TODAY()),1,0),""select Col2 limit 90""))"),1190.5250000000005)</f>
        <v>1190.525</v>
      </c>
      <c r="M480" s="17">
        <f>IFERROR(__xludf.DUMMYFUNCTION("AVERAGE(QUERY(SORT(GOOGLEFINANCE(B480,""price"",TODAY()-365,TODAY()),1,0),""select Col2 limit 120""))"),1161.9841666666675)</f>
        <v>1161.984167</v>
      </c>
      <c r="N480" s="19">
        <f>IFERROR(__xludf.DUMMYFUNCTION("AVERAGE(QUERY(SORT(GOOGLEFINANCE(B480,""price"",TODAY()-365,TODAY()),1,0),""select Col2 limit 200""))"),1304.6610000000003)</f>
        <v>1304.661</v>
      </c>
      <c r="O480" s="20" t="str">
        <f t="shared" si="2"/>
        <v>Avoid</v>
      </c>
      <c r="P480" s="21" t="str">
        <f t="shared" si="3"/>
        <v/>
      </c>
      <c r="Q480" s="21" t="str">
        <f t="shared" si="4"/>
        <v/>
      </c>
      <c r="R480" s="22">
        <f>IFERROR(__xludf.DUMMYFUNCTION("GOOGLEFINANCE(B480, ""pe"")
"),29.45)</f>
        <v>29.45</v>
      </c>
    </row>
    <row r="481">
      <c r="A481" s="9" t="s">
        <v>493</v>
      </c>
      <c r="B481" s="11" t="str">
        <f t="shared" si="1"/>
        <v>NSE:HBLPOWER</v>
      </c>
      <c r="C481" s="12" t="str">
        <f>IFERROR(__xludf.DUMMYFUNCTION("GOOGLEFINANCE(B481,""marketcap"")/10000000"),"#N/A")</f>
        <v>#N/A</v>
      </c>
      <c r="D481" s="13" t="str">
        <f>IFERROR(__xludf.DUMMYFUNCTION("GOOGLEFINANCE(B481,""price"")"),"#N/A")</f>
        <v>#N/A</v>
      </c>
      <c r="E481" s="14" t="str">
        <f>IFERROR(__xludf.DUMMYFUNCTION("GOOGLEFINANCE(B481,""Volume"")"),"#N/A")</f>
        <v>#N/A</v>
      </c>
      <c r="F481" s="14">
        <f t="array" ref="F481">F480</f>
        <v>14</v>
      </c>
      <c r="G481" s="15" t="str">
        <f>IFERROR(__xludf.DUMMYFUNCTION("IF(E481&gt;AVERAGE(INDEX(GOOGLEFINANCE(B481,""volume"",WORKDAY(TODAY(),-$F$1),TODAY()),,2)),""Breakout"","""")"),"#N/A")</f>
        <v>#N/A</v>
      </c>
      <c r="H481" s="16" t="str">
        <f>IFERROR(__xludf.DUMMYFUNCTION("GOOGLEFINANCE(B481,""price"")"),"#N/A")</f>
        <v>#N/A</v>
      </c>
      <c r="I481" s="17" t="str">
        <f>IFERROR(__xludf.DUMMYFUNCTION("AVERAGE(QUERY(SORT(GOOGLEFINANCE(B481,""price"",TODAY()-365,TODAY()),1,0),""select Col2 limit 10""))"),"#N/A")</f>
        <v>#N/A</v>
      </c>
      <c r="J481" s="17" t="str">
        <f>IFERROR(__xludf.DUMMYFUNCTION("AVERAGE(QUERY(SORT(GOOGLEFINANCE(B481,""price"",TODAY()-365,TODAY()),1,0),""select Col2 limit 30""))"),"#N/A")</f>
        <v>#N/A</v>
      </c>
      <c r="K481" s="18" t="str">
        <f>IFERROR(__xludf.DUMMYFUNCTION("AVERAGE(QUERY(SORT(GOOGLEFINANCE(B481,""price"",TODAY()-365,TODAY()),1,0),""select Col2 limit 60""))"),"#N/A")</f>
        <v>#N/A</v>
      </c>
      <c r="L481" s="17" t="str">
        <f>IFERROR(__xludf.DUMMYFUNCTION("AVERAGE(QUERY(SORT(GOOGLEFINANCE(B481,""price"",TODAY()-365,TODAY()),1,0),""select Col2 limit 90""))"),"#N/A")</f>
        <v>#N/A</v>
      </c>
      <c r="M481" s="17" t="str">
        <f>IFERROR(__xludf.DUMMYFUNCTION("AVERAGE(QUERY(SORT(GOOGLEFINANCE(B481,""price"",TODAY()-365,TODAY()),1,0),""select Col2 limit 120""))"),"#N/A")</f>
        <v>#N/A</v>
      </c>
      <c r="N481" s="19" t="str">
        <f>IFERROR(__xludf.DUMMYFUNCTION("AVERAGE(QUERY(SORT(GOOGLEFINANCE(B481,""price"",TODAY()-365,TODAY()),1,0),""select Col2 limit 200""))"),"#N/A")</f>
        <v>#N/A</v>
      </c>
      <c r="O481" s="20" t="str">
        <f t="shared" si="2"/>
        <v>#N/A</v>
      </c>
      <c r="P481" s="21" t="str">
        <f t="shared" si="3"/>
        <v>#N/A</v>
      </c>
      <c r="Q481" s="21" t="str">
        <f t="shared" si="4"/>
        <v>#N/A</v>
      </c>
      <c r="R481" s="22" t="str">
        <f>IFERROR(__xludf.DUMMYFUNCTION("GOOGLEFINANCE(B481, ""pe"")
"),"#N/A")</f>
        <v>#N/A</v>
      </c>
    </row>
    <row r="482">
      <c r="A482" s="9" t="s">
        <v>494</v>
      </c>
      <c r="B482" s="11" t="str">
        <f t="shared" si="1"/>
        <v>NSE:ACE</v>
      </c>
      <c r="C482" s="12">
        <f>IFERROR(__xludf.DUMMYFUNCTION("GOOGLEFINANCE(B482,""marketcap"")/10000000"),13088.632397)</f>
        <v>13088.6324</v>
      </c>
      <c r="D482" s="13">
        <f>IFERROR(__xludf.DUMMYFUNCTION("GOOGLEFINANCE(B482,""price"")"),1102.1)</f>
        <v>1102.1</v>
      </c>
      <c r="E482" s="14">
        <f>IFERROR(__xludf.DUMMYFUNCTION("GOOGLEFINANCE(B482,""Volume"")"),85447.0)</f>
        <v>85447</v>
      </c>
      <c r="F482" s="14">
        <f t="array" ref="F482">F481</f>
        <v>14</v>
      </c>
      <c r="G482" s="15" t="str">
        <f>IFERROR(__xludf.DUMMYFUNCTION("IF(E482&gt;AVERAGE(INDEX(GOOGLEFINANCE(B482,""volume"",WORKDAY(TODAY(),-$F$1),TODAY()),,2)),""Breakout"","""")"),"")</f>
        <v/>
      </c>
      <c r="H482" s="16">
        <f>IFERROR(__xludf.DUMMYFUNCTION("GOOGLEFINANCE(B482,""price"")"),1102.1)</f>
        <v>1102.1</v>
      </c>
      <c r="I482" s="17">
        <f>IFERROR(__xludf.DUMMYFUNCTION("AVERAGE(QUERY(SORT(GOOGLEFINANCE(B482,""price"",TODAY()-365,TODAY()),1,0),""select Col2 limit 10""))"),1144.8799999999999)</f>
        <v>1144.88</v>
      </c>
      <c r="J482" s="17">
        <f>IFERROR(__xludf.DUMMYFUNCTION("AVERAGE(QUERY(SORT(GOOGLEFINANCE(B482,""price"",TODAY()-365,TODAY()),1,0),""select Col2 limit 30""))"),1179.4566666666665)</f>
        <v>1179.456667</v>
      </c>
      <c r="K482" s="18">
        <f>IFERROR(__xludf.DUMMYFUNCTION("AVERAGE(QUERY(SORT(GOOGLEFINANCE(B482,""price"",TODAY()-365,TODAY()),1,0),""select Col2 limit 60""))"),1209.9966666666667)</f>
        <v>1209.996667</v>
      </c>
      <c r="L482" s="17">
        <f>IFERROR(__xludf.DUMMYFUNCTION("AVERAGE(QUERY(SORT(GOOGLEFINANCE(B482,""price"",TODAY()-365,TODAY()),1,0),""select Col2 limit 90""))"),1215.6411111111108)</f>
        <v>1215.641111</v>
      </c>
      <c r="M482" s="17">
        <f>IFERROR(__xludf.DUMMYFUNCTION("AVERAGE(QUERY(SORT(GOOGLEFINANCE(B482,""price"",TODAY()-365,TODAY()),1,0),""select Col2 limit 120""))"),1207.7712499999996)</f>
        <v>1207.77125</v>
      </c>
      <c r="N482" s="19">
        <f>IFERROR(__xludf.DUMMYFUNCTION("AVERAGE(QUERY(SORT(GOOGLEFINANCE(B482,""price"",TODAY()-365,TODAY()),1,0),""select Col2 limit 200""))"),1263.5159999999996)</f>
        <v>1263.516</v>
      </c>
      <c r="O482" s="20" t="str">
        <f t="shared" si="2"/>
        <v>Avoid</v>
      </c>
      <c r="P482" s="21" t="str">
        <f t="shared" si="3"/>
        <v/>
      </c>
      <c r="Q482" s="21" t="str">
        <f t="shared" si="4"/>
        <v/>
      </c>
      <c r="R482" s="22">
        <f>IFERROR(__xludf.DUMMYFUNCTION("GOOGLEFINANCE(B482, ""pe"")
"),32.02)</f>
        <v>32.02</v>
      </c>
    </row>
    <row r="483">
      <c r="A483" s="9" t="s">
        <v>495</v>
      </c>
      <c r="B483" s="11" t="str">
        <f t="shared" si="1"/>
        <v>NSE:ASTRAZEN</v>
      </c>
      <c r="C483" s="12">
        <f>IFERROR(__xludf.DUMMYFUNCTION("GOOGLEFINANCE(B483,""marketcap"")/10000000"),22242.5)</f>
        <v>22242.5</v>
      </c>
      <c r="D483" s="13">
        <f>IFERROR(__xludf.DUMMYFUNCTION("GOOGLEFINANCE(B483,""price"")"),8949.0)</f>
        <v>8949</v>
      </c>
      <c r="E483" s="14">
        <f>IFERROR(__xludf.DUMMYFUNCTION("GOOGLEFINANCE(B483,""Volume"")"),8424.0)</f>
        <v>8424</v>
      </c>
      <c r="F483" s="14">
        <f t="array" ref="F483">F482</f>
        <v>14</v>
      </c>
      <c r="G483" s="15" t="str">
        <f>IFERROR(__xludf.DUMMYFUNCTION("IF(E483&gt;AVERAGE(INDEX(GOOGLEFINANCE(B483,""volume"",WORKDAY(TODAY(),-$F$1),TODAY()),,2)),""Breakout"","""")"),"")</f>
        <v/>
      </c>
      <c r="H483" s="16">
        <f>IFERROR(__xludf.DUMMYFUNCTION("GOOGLEFINANCE(B483,""price"")"),8949.0)</f>
        <v>8949</v>
      </c>
      <c r="I483" s="17">
        <f>IFERROR(__xludf.DUMMYFUNCTION("AVERAGE(QUERY(SORT(GOOGLEFINANCE(B483,""price"",TODAY()-365,TODAY()),1,0),""select Col2 limit 10""))"),9100.2)</f>
        <v>9100.2</v>
      </c>
      <c r="J483" s="17">
        <f>IFERROR(__xludf.DUMMYFUNCTION("AVERAGE(QUERY(SORT(GOOGLEFINANCE(B483,""price"",TODAY()-365,TODAY()),1,0),""select Col2 limit 30""))"),9148.7)</f>
        <v>9148.7</v>
      </c>
      <c r="K483" s="18">
        <f>IFERROR(__xludf.DUMMYFUNCTION("AVERAGE(QUERY(SORT(GOOGLEFINANCE(B483,""price"",TODAY()-365,TODAY()),1,0),""select Col2 limit 60""))"),8893.2)</f>
        <v>8893.2</v>
      </c>
      <c r="L483" s="17">
        <f>IFERROR(__xludf.DUMMYFUNCTION("AVERAGE(QUERY(SORT(GOOGLEFINANCE(B483,""price"",TODAY()-365,TODAY()),1,0),""select Col2 limit 90""))"),8739.786666666669)</f>
        <v>8739.786667</v>
      </c>
      <c r="M483" s="17">
        <f>IFERROR(__xludf.DUMMYFUNCTION("AVERAGE(QUERY(SORT(GOOGLEFINANCE(B483,""price"",TODAY()-365,TODAY()),1,0),""select Col2 limit 120""))"),8372.839166666668)</f>
        <v>8372.839167</v>
      </c>
      <c r="N483" s="19">
        <f>IFERROR(__xludf.DUMMYFUNCTION("AVERAGE(QUERY(SORT(GOOGLEFINANCE(B483,""price"",TODAY()-365,TODAY()),1,0),""select Col2 limit 200""))"),7827.4839999999995)</f>
        <v>7827.484</v>
      </c>
      <c r="O483" s="20" t="str">
        <f t="shared" si="2"/>
        <v>Avoid</v>
      </c>
      <c r="P483" s="21" t="str">
        <f t="shared" si="3"/>
        <v/>
      </c>
      <c r="Q483" s="21" t="str">
        <f t="shared" si="4"/>
        <v/>
      </c>
      <c r="R483" s="22">
        <f>IFERROR(__xludf.DUMMYFUNCTION("GOOGLEFINANCE(B483, ""pe"")
"),192.13)</f>
        <v>192.13</v>
      </c>
    </row>
    <row r="484">
      <c r="A484" s="9" t="s">
        <v>496</v>
      </c>
      <c r="B484" s="11" t="str">
        <f t="shared" si="1"/>
        <v>NSE:FINEORG</v>
      </c>
      <c r="C484" s="12">
        <f>IFERROR(__xludf.DUMMYFUNCTION("GOOGLEFINANCE(B484,""marketcap"")/10000000"),15749.4179275)</f>
        <v>15749.41793</v>
      </c>
      <c r="D484" s="13">
        <f>IFERROR(__xludf.DUMMYFUNCTION("GOOGLEFINANCE(B484,""price"")"),5141.7)</f>
        <v>5141.7</v>
      </c>
      <c r="E484" s="14">
        <f>IFERROR(__xludf.DUMMYFUNCTION("GOOGLEFINANCE(B484,""Volume"")"),5556.0)</f>
        <v>5556</v>
      </c>
      <c r="F484" s="14">
        <f t="array" ref="F484">F483</f>
        <v>14</v>
      </c>
      <c r="G484" s="15" t="str">
        <f>IFERROR(__xludf.DUMMYFUNCTION("IF(E484&gt;AVERAGE(INDEX(GOOGLEFINANCE(B484,""volume"",WORKDAY(TODAY(),-$F$1),TODAY()),,2)),""Breakout"","""")"),"")</f>
        <v/>
      </c>
      <c r="H484" s="16">
        <f>IFERROR(__xludf.DUMMYFUNCTION("GOOGLEFINANCE(B484,""price"")"),5141.7)</f>
        <v>5141.7</v>
      </c>
      <c r="I484" s="17">
        <f>IFERROR(__xludf.DUMMYFUNCTION("AVERAGE(QUERY(SORT(GOOGLEFINANCE(B484,""price"",TODAY()-365,TODAY()),1,0),""select Col2 limit 10""))"),5337.27)</f>
        <v>5337.27</v>
      </c>
      <c r="J484" s="17">
        <f>IFERROR(__xludf.DUMMYFUNCTION("AVERAGE(QUERY(SORT(GOOGLEFINANCE(B484,""price"",TODAY()-365,TODAY()),1,0),""select Col2 limit 30""))"),5063.186666666666)</f>
        <v>5063.186667</v>
      </c>
      <c r="K484" s="18">
        <f>IFERROR(__xludf.DUMMYFUNCTION("AVERAGE(QUERY(SORT(GOOGLEFINANCE(B484,""price"",TODAY()-365,TODAY()),1,0),""select Col2 limit 60""))"),4812.4333333333325)</f>
        <v>4812.433333</v>
      </c>
      <c r="L484" s="17">
        <f>IFERROR(__xludf.DUMMYFUNCTION("AVERAGE(QUERY(SORT(GOOGLEFINANCE(B484,""price"",TODAY()-365,TODAY()),1,0),""select Col2 limit 90""))"),4572.302777777778)</f>
        <v>4572.302778</v>
      </c>
      <c r="M484" s="17">
        <f>IFERROR(__xludf.DUMMYFUNCTION("AVERAGE(QUERY(SORT(GOOGLEFINANCE(B484,""price"",TODAY()-365,TODAY()),1,0),""select Col2 limit 120""))"),4418.09375)</f>
        <v>4418.09375</v>
      </c>
      <c r="N484" s="19">
        <f>IFERROR(__xludf.DUMMYFUNCTION("AVERAGE(QUERY(SORT(GOOGLEFINANCE(B484,""price"",TODAY()-365,TODAY()),1,0),""select Col2 limit 200""))"),4576.691250000001)</f>
        <v>4576.69125</v>
      </c>
      <c r="O484" s="20" t="str">
        <f t="shared" si="2"/>
        <v>Avoid</v>
      </c>
      <c r="P484" s="21" t="str">
        <f t="shared" si="3"/>
        <v/>
      </c>
      <c r="Q484" s="21" t="str">
        <f t="shared" si="4"/>
        <v/>
      </c>
      <c r="R484" s="22">
        <f>IFERROR(__xludf.DUMMYFUNCTION("GOOGLEFINANCE(B484, ""pe"")
"),38.37)</f>
        <v>38.37</v>
      </c>
    </row>
    <row r="485">
      <c r="A485" s="9" t="s">
        <v>497</v>
      </c>
      <c r="B485" s="11" t="str">
        <f t="shared" si="1"/>
        <v>NSE:ANANDRATHI</v>
      </c>
      <c r="C485" s="12">
        <f>IFERROR(__xludf.DUMMYFUNCTION("GOOGLEFINANCE(B485,""marketcap"")/10000000"),22041.97992)</f>
        <v>22041.97992</v>
      </c>
      <c r="D485" s="13">
        <f>IFERROR(__xludf.DUMMYFUNCTION("GOOGLEFINANCE(B485,""price"")"),2655.0)</f>
        <v>2655</v>
      </c>
      <c r="E485" s="14">
        <f>IFERROR(__xludf.DUMMYFUNCTION("GOOGLEFINANCE(B485,""Volume"")"),162302.0)</f>
        <v>162302</v>
      </c>
      <c r="F485" s="14">
        <f t="array" ref="F485">F484</f>
        <v>14</v>
      </c>
      <c r="G485" s="15" t="str">
        <f>IFERROR(__xludf.DUMMYFUNCTION("IF(E485&gt;AVERAGE(INDEX(GOOGLEFINANCE(B485,""volume"",WORKDAY(TODAY(),-$F$1),TODAY()),,2)),""Breakout"","""")"),"")</f>
        <v/>
      </c>
      <c r="H485" s="16">
        <f>IFERROR(__xludf.DUMMYFUNCTION("GOOGLEFINANCE(B485,""price"")"),2655.0)</f>
        <v>2655</v>
      </c>
      <c r="I485" s="17">
        <f>IFERROR(__xludf.DUMMYFUNCTION("AVERAGE(QUERY(SORT(GOOGLEFINANCE(B485,""price"",TODAY()-365,TODAY()),1,0),""select Col2 limit 10""))"),2589.21)</f>
        <v>2589.21</v>
      </c>
      <c r="J485" s="17">
        <f>IFERROR(__xludf.DUMMYFUNCTION("AVERAGE(QUERY(SORT(GOOGLEFINANCE(B485,""price"",TODAY()-365,TODAY()),1,0),""select Col2 limit 30""))"),2262.166666666666)</f>
        <v>2262.166667</v>
      </c>
      <c r="K485" s="18">
        <f>IFERROR(__xludf.DUMMYFUNCTION("AVERAGE(QUERY(SORT(GOOGLEFINANCE(B485,""price"",TODAY()-365,TODAY()),1,0),""select Col2 limit 60""))"),2064.991666666667)</f>
        <v>2064.991667</v>
      </c>
      <c r="L485" s="17">
        <f>IFERROR(__xludf.DUMMYFUNCTION("AVERAGE(QUERY(SORT(GOOGLEFINANCE(B485,""price"",TODAY()-365,TODAY()),1,0),""select Col2 limit 90""))"),1968.802222222222)</f>
        <v>1968.802222</v>
      </c>
      <c r="M485" s="17">
        <f>IFERROR(__xludf.DUMMYFUNCTION("AVERAGE(QUERY(SORT(GOOGLEFINANCE(B485,""price"",TODAY()-365,TODAY()),1,0),""select Col2 limit 120""))"),1944.6070833333333)</f>
        <v>1944.607083</v>
      </c>
      <c r="N485" s="19">
        <f>IFERROR(__xludf.DUMMYFUNCTION("AVERAGE(QUERY(SORT(GOOGLEFINANCE(B485,""price"",TODAY()-365,TODAY()),1,0),""select Col2 limit 200""))"),1971.41715)</f>
        <v>1971.41715</v>
      </c>
      <c r="O485" s="20" t="str">
        <f t="shared" si="2"/>
        <v>Avoid</v>
      </c>
      <c r="P485" s="21" t="str">
        <f t="shared" si="3"/>
        <v/>
      </c>
      <c r="Q485" s="21" t="str">
        <f t="shared" si="4"/>
        <v/>
      </c>
      <c r="R485" s="22">
        <f>IFERROR(__xludf.DUMMYFUNCTION("GOOGLEFINANCE(B485, ""pe"")
"),46.55)</f>
        <v>46.55</v>
      </c>
    </row>
    <row r="486">
      <c r="A486" s="9" t="s">
        <v>498</v>
      </c>
      <c r="B486" s="11" t="str">
        <f t="shared" si="1"/>
        <v>NSE:ASTERDM</v>
      </c>
      <c r="C486" s="12">
        <f>IFERROR(__xludf.DUMMYFUNCTION("GOOGLEFINANCE(B486,""marketcap"")/10000000"),29825.5308922)</f>
        <v>29825.53089</v>
      </c>
      <c r="D486" s="13">
        <f>IFERROR(__xludf.DUMMYFUNCTION("GOOGLEFINANCE(B486,""price"")"),577.4)</f>
        <v>577.4</v>
      </c>
      <c r="E486" s="14">
        <f>IFERROR(__xludf.DUMMYFUNCTION("GOOGLEFINANCE(B486,""Volume"")"),461263.0)</f>
        <v>461263</v>
      </c>
      <c r="F486" s="14">
        <f t="array" ref="F486">F485</f>
        <v>14</v>
      </c>
      <c r="G486" s="15" t="str">
        <f>IFERROR(__xludf.DUMMYFUNCTION("IF(E486&gt;AVERAGE(INDEX(GOOGLEFINANCE(B486,""volume"",WORKDAY(TODAY(),-$F$1),TODAY()),,2)),""Breakout"","""")"),"")</f>
        <v/>
      </c>
      <c r="H486" s="16">
        <f>IFERROR(__xludf.DUMMYFUNCTION("GOOGLEFINANCE(B486,""price"")"),577.4)</f>
        <v>577.4</v>
      </c>
      <c r="I486" s="17">
        <f>IFERROR(__xludf.DUMMYFUNCTION("AVERAGE(QUERY(SORT(GOOGLEFINANCE(B486,""price"",TODAY()-365,TODAY()),1,0),""select Col2 limit 10""))"),595.0350000000001)</f>
        <v>595.035</v>
      </c>
      <c r="J486" s="17">
        <f>IFERROR(__xludf.DUMMYFUNCTION("AVERAGE(QUERY(SORT(GOOGLEFINANCE(B486,""price"",TODAY()-365,TODAY()),1,0),""select Col2 limit 30""))"),594.9966666666666)</f>
        <v>594.9966667</v>
      </c>
      <c r="K486" s="18">
        <f>IFERROR(__xludf.DUMMYFUNCTION("AVERAGE(QUERY(SORT(GOOGLEFINANCE(B486,""price"",TODAY()-365,TODAY()),1,0),""select Col2 limit 60""))"),576.8516666666668)</f>
        <v>576.8516667</v>
      </c>
      <c r="L486" s="17">
        <f>IFERROR(__xludf.DUMMYFUNCTION("AVERAGE(QUERY(SORT(GOOGLEFINANCE(B486,""price"",TODAY()-365,TODAY()),1,0),""select Col2 limit 90""))"),544.0372222222223)</f>
        <v>544.0372222</v>
      </c>
      <c r="M486" s="17">
        <f>IFERROR(__xludf.DUMMYFUNCTION("AVERAGE(QUERY(SORT(GOOGLEFINANCE(B486,""price"",TODAY()-365,TODAY()),1,0),""select Col2 limit 120""))"),516.1500000000001)</f>
        <v>516.15</v>
      </c>
      <c r="N486" s="19">
        <f>IFERROR(__xludf.DUMMYFUNCTION("AVERAGE(QUERY(SORT(GOOGLEFINANCE(B486,""price"",TODAY()-365,TODAY()),1,0),""select Col2 limit 200""))"),496.77875000000034)</f>
        <v>496.77875</v>
      </c>
      <c r="O486" s="20" t="str">
        <f t="shared" si="2"/>
        <v>Avoid</v>
      </c>
      <c r="P486" s="21" t="str">
        <f t="shared" si="3"/>
        <v/>
      </c>
      <c r="Q486" s="21" t="str">
        <f t="shared" si="4"/>
        <v/>
      </c>
      <c r="R486" s="22">
        <f>IFERROR(__xludf.DUMMYFUNCTION("GOOGLEFINANCE(B486, ""pe"")
"),93.85)</f>
        <v>93.85</v>
      </c>
    </row>
    <row r="487">
      <c r="A487" s="9" t="s">
        <v>499</v>
      </c>
      <c r="B487" s="11" t="str">
        <f t="shared" si="1"/>
        <v>NSE:TECHNOE</v>
      </c>
      <c r="C487" s="12">
        <f>IFERROR(__xludf.DUMMYFUNCTION("GOOGLEFINANCE(B487,""marketcap"")/10000000"),16542.37256)</f>
        <v>16542.37256</v>
      </c>
      <c r="D487" s="13">
        <f>IFERROR(__xludf.DUMMYFUNCTION("GOOGLEFINANCE(B487,""price"")"),1433.5)</f>
        <v>1433.5</v>
      </c>
      <c r="E487" s="14">
        <f>IFERROR(__xludf.DUMMYFUNCTION("GOOGLEFINANCE(B487,""Volume"")"),88143.0)</f>
        <v>88143</v>
      </c>
      <c r="F487" s="14">
        <f t="array" ref="F487">F486</f>
        <v>14</v>
      </c>
      <c r="G487" s="15" t="str">
        <f>IFERROR(__xludf.DUMMYFUNCTION("IF(E487&gt;AVERAGE(INDEX(GOOGLEFINANCE(B487,""volume"",WORKDAY(TODAY(),-$F$1),TODAY()),,2)),""Breakout"","""")"),"")</f>
        <v/>
      </c>
      <c r="H487" s="16">
        <f>IFERROR(__xludf.DUMMYFUNCTION("GOOGLEFINANCE(B487,""price"")"),1433.5)</f>
        <v>1433.5</v>
      </c>
      <c r="I487" s="17">
        <f>IFERROR(__xludf.DUMMYFUNCTION("AVERAGE(QUERY(SORT(GOOGLEFINANCE(B487,""price"",TODAY()-365,TODAY()),1,0),""select Col2 limit 10""))"),1519.2900000000002)</f>
        <v>1519.29</v>
      </c>
      <c r="J487" s="17">
        <f>IFERROR(__xludf.DUMMYFUNCTION("AVERAGE(QUERY(SORT(GOOGLEFINANCE(B487,""price"",TODAY()-365,TODAY()),1,0),""select Col2 limit 30""))"),1543.046666666666)</f>
        <v>1543.046667</v>
      </c>
      <c r="K487" s="18">
        <f>IFERROR(__xludf.DUMMYFUNCTION("AVERAGE(QUERY(SORT(GOOGLEFINANCE(B487,""price"",TODAY()-365,TODAY()),1,0),""select Col2 limit 60""))"),1425.7916666666658)</f>
        <v>1425.791667</v>
      </c>
      <c r="L487" s="17">
        <f>IFERROR(__xludf.DUMMYFUNCTION("AVERAGE(QUERY(SORT(GOOGLEFINANCE(B487,""price"",TODAY()-365,TODAY()),1,0),""select Col2 limit 90""))"),1293.661666666666)</f>
        <v>1293.661667</v>
      </c>
      <c r="M487" s="17">
        <f>IFERROR(__xludf.DUMMYFUNCTION("AVERAGE(QUERY(SORT(GOOGLEFINANCE(B487,""price"",TODAY()-365,TODAY()),1,0),""select Col2 limit 120""))"),1216.0020833333328)</f>
        <v>1216.002083</v>
      </c>
      <c r="N487" s="19">
        <f>IFERROR(__xludf.DUMMYFUNCTION("AVERAGE(QUERY(SORT(GOOGLEFINANCE(B487,""price"",TODAY()-365,TODAY()),1,0),""select Col2 limit 200""))"),1330.0044999999993)</f>
        <v>1330.0045</v>
      </c>
      <c r="O487" s="20" t="str">
        <f t="shared" si="2"/>
        <v>Avoid</v>
      </c>
      <c r="P487" s="21" t="str">
        <f t="shared" si="3"/>
        <v/>
      </c>
      <c r="Q487" s="21" t="str">
        <f t="shared" si="4"/>
        <v/>
      </c>
      <c r="R487" s="22">
        <f>IFERROR(__xludf.DUMMYFUNCTION("GOOGLEFINANCE(B487, ""pe"")
"),43.02)</f>
        <v>43.02</v>
      </c>
    </row>
    <row r="488">
      <c r="A488" s="9" t="s">
        <v>500</v>
      </c>
      <c r="B488" s="11" t="str">
        <f t="shared" si="1"/>
        <v>NSE:APTUS</v>
      </c>
      <c r="C488" s="12">
        <f>IFERROR(__xludf.DUMMYFUNCTION("GOOGLEFINANCE(B488,""marketcap"")/10000000"),17107.9679422)</f>
        <v>17107.96794</v>
      </c>
      <c r="D488" s="13">
        <f>IFERROR(__xludf.DUMMYFUNCTION("GOOGLEFINANCE(B488,""price"")"),342.2)</f>
        <v>342.2</v>
      </c>
      <c r="E488" s="14">
        <f>IFERROR(__xludf.DUMMYFUNCTION("GOOGLEFINANCE(B488,""Volume"")"),448468.0)</f>
        <v>448468</v>
      </c>
      <c r="F488" s="14">
        <f t="array" ref="F488">F487</f>
        <v>14</v>
      </c>
      <c r="G488" s="15" t="str">
        <f>IFERROR(__xludf.DUMMYFUNCTION("IF(E488&gt;AVERAGE(INDEX(GOOGLEFINANCE(B488,""volume"",WORKDAY(TODAY(),-$F$1),TODAY()),,2)),""Breakout"","""")"),"")</f>
        <v/>
      </c>
      <c r="H488" s="16">
        <f>IFERROR(__xludf.DUMMYFUNCTION("GOOGLEFINANCE(B488,""price"")"),342.2)</f>
        <v>342.2</v>
      </c>
      <c r="I488" s="17">
        <f>IFERROR(__xludf.DUMMYFUNCTION("AVERAGE(QUERY(SORT(GOOGLEFINANCE(B488,""price"",TODAY()-365,TODAY()),1,0),""select Col2 limit 10""))"),347.905)</f>
        <v>347.905</v>
      </c>
      <c r="J488" s="17">
        <f>IFERROR(__xludf.DUMMYFUNCTION("AVERAGE(QUERY(SORT(GOOGLEFINANCE(B488,""price"",TODAY()-365,TODAY()),1,0),""select Col2 limit 30""))"),332.2883333333333)</f>
        <v>332.2883333</v>
      </c>
      <c r="K488" s="18">
        <f>IFERROR(__xludf.DUMMYFUNCTION("AVERAGE(QUERY(SORT(GOOGLEFINANCE(B488,""price"",TODAY()-365,TODAY()),1,0),""select Col2 limit 60""))"),329.1575)</f>
        <v>329.1575</v>
      </c>
      <c r="L488" s="17">
        <f>IFERROR(__xludf.DUMMYFUNCTION("AVERAGE(QUERY(SORT(GOOGLEFINANCE(B488,""price"",TODAY()-365,TODAY()),1,0),""select Col2 limit 90""))"),322.94555555555553)</f>
        <v>322.9455556</v>
      </c>
      <c r="M488" s="17">
        <f>IFERROR(__xludf.DUMMYFUNCTION("AVERAGE(QUERY(SORT(GOOGLEFINANCE(B488,""price"",TODAY()-365,TODAY()),1,0),""select Col2 limit 120""))"),319.13375)</f>
        <v>319.13375</v>
      </c>
      <c r="N488" s="19">
        <f>IFERROR(__xludf.DUMMYFUNCTION("AVERAGE(QUERY(SORT(GOOGLEFINANCE(B488,""price"",TODAY()-365,TODAY()),1,0),""select Col2 limit 200""))"),319.7125000000001)</f>
        <v>319.7125</v>
      </c>
      <c r="O488" s="20" t="str">
        <f t="shared" si="2"/>
        <v>Avoid</v>
      </c>
      <c r="P488" s="21" t="str">
        <f t="shared" si="3"/>
        <v/>
      </c>
      <c r="Q488" s="21" t="str">
        <f t="shared" si="4"/>
        <v/>
      </c>
      <c r="R488" s="22">
        <f>IFERROR(__xludf.DUMMYFUNCTION("GOOGLEFINANCE(B488, ""pe"")
"),22.8)</f>
        <v>22.8</v>
      </c>
    </row>
    <row r="489">
      <c r="A489" s="9" t="s">
        <v>501</v>
      </c>
      <c r="B489" s="11" t="str">
        <f t="shared" si="1"/>
        <v>NSE:CLEAN</v>
      </c>
      <c r="C489" s="12">
        <f>IFERROR(__xludf.DUMMYFUNCTION("GOOGLEFINANCE(B489,""marketcap"")/10000000"),13240.89312)</f>
        <v>13240.89312</v>
      </c>
      <c r="D489" s="13">
        <f>IFERROR(__xludf.DUMMYFUNCTION("GOOGLEFINANCE(B489,""price"")"),1246.0)</f>
        <v>1246</v>
      </c>
      <c r="E489" s="14">
        <f>IFERROR(__xludf.DUMMYFUNCTION("GOOGLEFINANCE(B489,""Volume"")"),41601.0)</f>
        <v>41601</v>
      </c>
      <c r="F489" s="14">
        <f t="array" ref="F489">F488</f>
        <v>14</v>
      </c>
      <c r="G489" s="15" t="str">
        <f>IFERROR(__xludf.DUMMYFUNCTION("IF(E489&gt;AVERAGE(INDEX(GOOGLEFINANCE(B489,""volume"",WORKDAY(TODAY(),-$F$1),TODAY()),,2)),""Breakout"","""")"),"")</f>
        <v/>
      </c>
      <c r="H489" s="16">
        <f>IFERROR(__xludf.DUMMYFUNCTION("GOOGLEFINANCE(B489,""price"")"),1246.0)</f>
        <v>1246</v>
      </c>
      <c r="I489" s="17">
        <f>IFERROR(__xludf.DUMMYFUNCTION("AVERAGE(QUERY(SORT(GOOGLEFINANCE(B489,""price"",TODAY()-365,TODAY()),1,0),""select Col2 limit 10""))"),1352.4299999999998)</f>
        <v>1352.43</v>
      </c>
      <c r="J489" s="17">
        <f>IFERROR(__xludf.DUMMYFUNCTION("AVERAGE(QUERY(SORT(GOOGLEFINANCE(B489,""price"",TODAY()-365,TODAY()),1,0),""select Col2 limit 30""))"),1420.5466666666664)</f>
        <v>1420.546667</v>
      </c>
      <c r="K489" s="18">
        <f>IFERROR(__xludf.DUMMYFUNCTION("AVERAGE(QUERY(SORT(GOOGLEFINANCE(B489,""price"",TODAY()-365,TODAY()),1,0),""select Col2 limit 60""))"),1394.4183333333333)</f>
        <v>1394.418333</v>
      </c>
      <c r="L489" s="17">
        <f>IFERROR(__xludf.DUMMYFUNCTION("AVERAGE(QUERY(SORT(GOOGLEFINANCE(B489,""price"",TODAY()-365,TODAY()),1,0),""select Col2 limit 90""))"),1328.7577777777778)</f>
        <v>1328.757778</v>
      </c>
      <c r="M489" s="17">
        <f>IFERROR(__xludf.DUMMYFUNCTION("AVERAGE(QUERY(SORT(GOOGLEFINANCE(B489,""price"",TODAY()-365,TODAY()),1,0),""select Col2 limit 120""))"),1324.8487500000006)</f>
        <v>1324.84875</v>
      </c>
      <c r="N489" s="19">
        <f>IFERROR(__xludf.DUMMYFUNCTION("AVERAGE(QUERY(SORT(GOOGLEFINANCE(B489,""price"",TODAY()-365,TODAY()),1,0),""select Col2 limit 200""))"),1366.71325)</f>
        <v>1366.71325</v>
      </c>
      <c r="O489" s="20" t="str">
        <f t="shared" si="2"/>
        <v>Avoid</v>
      </c>
      <c r="P489" s="21" t="str">
        <f t="shared" si="3"/>
        <v/>
      </c>
      <c r="Q489" s="21" t="str">
        <f t="shared" si="4"/>
        <v/>
      </c>
      <c r="R489" s="22">
        <f>IFERROR(__xludf.DUMMYFUNCTION("GOOGLEFINANCE(B489, ""pe"")
"),49.3)</f>
        <v>49.3</v>
      </c>
    </row>
    <row r="490">
      <c r="A490" s="9" t="s">
        <v>502</v>
      </c>
      <c r="B490" s="11" t="str">
        <f t="shared" si="1"/>
        <v>NSE:RKFORGE</v>
      </c>
      <c r="C490" s="12">
        <f>IFERROR(__xludf.DUMMYFUNCTION("GOOGLEFINANCE(B490,""marketcap"")/10000000"),11130.3060088)</f>
        <v>11130.30601</v>
      </c>
      <c r="D490" s="13">
        <f>IFERROR(__xludf.DUMMYFUNCTION("GOOGLEFINANCE(B490,""price"")"),615.9)</f>
        <v>615.9</v>
      </c>
      <c r="E490" s="14">
        <f>IFERROR(__xludf.DUMMYFUNCTION("GOOGLEFINANCE(B490,""Volume"")"),205948.0)</f>
        <v>205948</v>
      </c>
      <c r="F490" s="14">
        <f t="array" ref="F490">F489</f>
        <v>14</v>
      </c>
      <c r="G490" s="15" t="str">
        <f>IFERROR(__xludf.DUMMYFUNCTION("IF(E490&gt;AVERAGE(INDEX(GOOGLEFINANCE(B490,""volume"",WORKDAY(TODAY(),-$F$1),TODAY()),,2)),""Breakout"","""")"),"")</f>
        <v/>
      </c>
      <c r="H490" s="16">
        <f>IFERROR(__xludf.DUMMYFUNCTION("GOOGLEFINANCE(B490,""price"")"),615.9)</f>
        <v>615.9</v>
      </c>
      <c r="I490" s="17">
        <f>IFERROR(__xludf.DUMMYFUNCTION("AVERAGE(QUERY(SORT(GOOGLEFINANCE(B490,""price"",TODAY()-365,TODAY()),1,0),""select Col2 limit 10""))"),639.9449999999999)</f>
        <v>639.945</v>
      </c>
      <c r="J490" s="17">
        <f>IFERROR(__xludf.DUMMYFUNCTION("AVERAGE(QUERY(SORT(GOOGLEFINANCE(B490,""price"",TODAY()-365,TODAY()),1,0),""select Col2 limit 30""))"),651.5783333333333)</f>
        <v>651.5783333</v>
      </c>
      <c r="K490" s="18">
        <f>IFERROR(__xludf.DUMMYFUNCTION("AVERAGE(QUERY(SORT(GOOGLEFINANCE(B490,""price"",TODAY()-365,TODAY()),1,0),""select Col2 limit 60""))"),632.0366666666666)</f>
        <v>632.0366667</v>
      </c>
      <c r="L490" s="17">
        <f>IFERROR(__xludf.DUMMYFUNCTION("AVERAGE(QUERY(SORT(GOOGLEFINANCE(B490,""price"",TODAY()-365,TODAY()),1,0),""select Col2 limit 90""))"),663.5055555555556)</f>
        <v>663.5055556</v>
      </c>
      <c r="M490" s="17">
        <f>IFERROR(__xludf.DUMMYFUNCTION("AVERAGE(QUERY(SORT(GOOGLEFINANCE(B490,""price"",TODAY()-365,TODAY()),1,0),""select Col2 limit 120""))"),672.6166666666664)</f>
        <v>672.6166667</v>
      </c>
      <c r="N490" s="19">
        <f>IFERROR(__xludf.DUMMYFUNCTION("AVERAGE(QUERY(SORT(GOOGLEFINANCE(B490,""price"",TODAY()-365,TODAY()),1,0),""select Col2 limit 200""))"),778.7757499999997)</f>
        <v>778.77575</v>
      </c>
      <c r="O490" s="20" t="str">
        <f t="shared" si="2"/>
        <v>Avoid</v>
      </c>
      <c r="P490" s="21" t="str">
        <f t="shared" si="3"/>
        <v/>
      </c>
      <c r="Q490" s="21" t="str">
        <f t="shared" si="4"/>
        <v/>
      </c>
      <c r="R490" s="22">
        <f>IFERROR(__xludf.DUMMYFUNCTION("GOOGLEFINANCE(B490, ""pe"")
"),33.59)</f>
        <v>33.59</v>
      </c>
    </row>
    <row r="491">
      <c r="A491" s="9" t="s">
        <v>503</v>
      </c>
      <c r="B491" s="11" t="str">
        <f t="shared" si="1"/>
        <v>NSE:GODREJAGRO</v>
      </c>
      <c r="C491" s="12">
        <f>IFERROR(__xludf.DUMMYFUNCTION("GOOGLEFINANCE(B491,""marketcap"")/10000000"),16067.1233595)</f>
        <v>16067.12336</v>
      </c>
      <c r="D491" s="13">
        <f>IFERROR(__xludf.DUMMYFUNCTION("GOOGLEFINANCE(B491,""price"")"),838.3)</f>
        <v>838.3</v>
      </c>
      <c r="E491" s="14">
        <f>IFERROR(__xludf.DUMMYFUNCTION("GOOGLEFINANCE(B491,""Volume"")"),173565.0)</f>
        <v>173565</v>
      </c>
      <c r="F491" s="14">
        <f t="array" ref="F491">F490</f>
        <v>14</v>
      </c>
      <c r="G491" s="15" t="str">
        <f>IFERROR(__xludf.DUMMYFUNCTION("IF(E491&gt;AVERAGE(INDEX(GOOGLEFINANCE(B491,""volume"",WORKDAY(TODAY(),-$F$1),TODAY()),,2)),""Breakout"","""")"),"")</f>
        <v/>
      </c>
      <c r="H491" s="16">
        <f>IFERROR(__xludf.DUMMYFUNCTION("GOOGLEFINANCE(B491,""price"")"),838.3)</f>
        <v>838.3</v>
      </c>
      <c r="I491" s="17">
        <f>IFERROR(__xludf.DUMMYFUNCTION("AVERAGE(QUERY(SORT(GOOGLEFINANCE(B491,""price"",TODAY()-365,TODAY()),1,0),""select Col2 limit 10""))"),807.335)</f>
        <v>807.335</v>
      </c>
      <c r="J491" s="17">
        <f>IFERROR(__xludf.DUMMYFUNCTION("AVERAGE(QUERY(SORT(GOOGLEFINANCE(B491,""price"",TODAY()-365,TODAY()),1,0),""select Col2 limit 30""))"),784.9133333333333)</f>
        <v>784.9133333</v>
      </c>
      <c r="K491" s="18">
        <f>IFERROR(__xludf.DUMMYFUNCTION("AVERAGE(QUERY(SORT(GOOGLEFINANCE(B491,""price"",TODAY()-365,TODAY()),1,0),""select Col2 limit 60""))"),768.0808333333334)</f>
        <v>768.0808333</v>
      </c>
      <c r="L491" s="17">
        <f>IFERROR(__xludf.DUMMYFUNCTION("AVERAGE(QUERY(SORT(GOOGLEFINANCE(B491,""price"",TODAY()-365,TODAY()),1,0),""select Col2 limit 90""))"),764.9044444444445)</f>
        <v>764.9044444</v>
      </c>
      <c r="M491" s="17">
        <f>IFERROR(__xludf.DUMMYFUNCTION("AVERAGE(QUERY(SORT(GOOGLEFINANCE(B491,""price"",TODAY()-365,TODAY()),1,0),""select Col2 limit 120""))"),758.4795833333333)</f>
        <v>758.4795833</v>
      </c>
      <c r="N491" s="19">
        <f>IFERROR(__xludf.DUMMYFUNCTION("AVERAGE(QUERY(SORT(GOOGLEFINANCE(B491,""price"",TODAY()-365,TODAY()),1,0),""select Col2 limit 200""))"),751.3180000000002)</f>
        <v>751.318</v>
      </c>
      <c r="O491" s="20" t="str">
        <f t="shared" si="2"/>
        <v>Avoid</v>
      </c>
      <c r="P491" s="21" t="str">
        <f t="shared" si="3"/>
        <v/>
      </c>
      <c r="Q491" s="21" t="str">
        <f t="shared" si="4"/>
        <v/>
      </c>
      <c r="R491" s="22">
        <f>IFERROR(__xludf.DUMMYFUNCTION("GOOGLEFINANCE(B491, ""pe"")
"),37.52)</f>
        <v>37.52</v>
      </c>
    </row>
    <row r="492">
      <c r="A492" s="9" t="s">
        <v>504</v>
      </c>
      <c r="B492" s="11" t="str">
        <f t="shared" si="1"/>
        <v>NSE:ASAHIINDIA</v>
      </c>
      <c r="C492" s="12">
        <f>IFERROR(__xludf.DUMMYFUNCTION("GOOGLEFINANCE(B492,""marketcap"")/10000000"),20215.3554905)</f>
        <v>20215.35549</v>
      </c>
      <c r="D492" s="13">
        <f>IFERROR(__xludf.DUMMYFUNCTION("GOOGLEFINANCE(B492,""price"")"),828.45)</f>
        <v>828.45</v>
      </c>
      <c r="E492" s="14">
        <f>IFERROR(__xludf.DUMMYFUNCTION("GOOGLEFINANCE(B492,""Volume"")"),35791.0)</f>
        <v>35791</v>
      </c>
      <c r="F492" s="14">
        <f t="array" ref="F492">F491</f>
        <v>14</v>
      </c>
      <c r="G492" s="15" t="str">
        <f>IFERROR(__xludf.DUMMYFUNCTION("IF(E492&gt;AVERAGE(INDEX(GOOGLEFINANCE(B492,""volume"",WORKDAY(TODAY(),-$F$1),TODAY()),,2)),""Breakout"","""")"),"")</f>
        <v/>
      </c>
      <c r="H492" s="16">
        <f>IFERROR(__xludf.DUMMYFUNCTION("GOOGLEFINANCE(B492,""price"")"),828.45)</f>
        <v>828.45</v>
      </c>
      <c r="I492" s="17">
        <f>IFERROR(__xludf.DUMMYFUNCTION("AVERAGE(QUERY(SORT(GOOGLEFINANCE(B492,""price"",TODAY()-365,TODAY()),1,0),""select Col2 limit 10""))"),845.865)</f>
        <v>845.865</v>
      </c>
      <c r="J492" s="17">
        <f>IFERROR(__xludf.DUMMYFUNCTION("AVERAGE(QUERY(SORT(GOOGLEFINANCE(B492,""price"",TODAY()-365,TODAY()),1,0),""select Col2 limit 30""))"),796.6999999999999)</f>
        <v>796.7</v>
      </c>
      <c r="K492" s="18">
        <f>IFERROR(__xludf.DUMMYFUNCTION("AVERAGE(QUERY(SORT(GOOGLEFINANCE(B492,""price"",TODAY()-365,TODAY()),1,0),""select Col2 limit 60""))"),767.9950000000002)</f>
        <v>767.995</v>
      </c>
      <c r="L492" s="17">
        <f>IFERROR(__xludf.DUMMYFUNCTION("AVERAGE(QUERY(SORT(GOOGLEFINANCE(B492,""price"",TODAY()-365,TODAY()),1,0),""select Col2 limit 90""))"),729.2133333333335)</f>
        <v>729.2133333</v>
      </c>
      <c r="M492" s="17">
        <f>IFERROR(__xludf.DUMMYFUNCTION("AVERAGE(QUERY(SORT(GOOGLEFINANCE(B492,""price"",TODAY()-365,TODAY()),1,0),""select Col2 limit 120""))"),708.7612499999999)</f>
        <v>708.76125</v>
      </c>
      <c r="N492" s="19">
        <f>IFERROR(__xludf.DUMMYFUNCTION("AVERAGE(QUERY(SORT(GOOGLEFINANCE(B492,""price"",TODAY()-365,TODAY()),1,0),""select Col2 limit 200""))"),707.7037500000001)</f>
        <v>707.70375</v>
      </c>
      <c r="O492" s="20" t="str">
        <f t="shared" si="2"/>
        <v>Avoid</v>
      </c>
      <c r="P492" s="21" t="str">
        <f t="shared" si="3"/>
        <v/>
      </c>
      <c r="Q492" s="21" t="str">
        <f t="shared" si="4"/>
        <v/>
      </c>
      <c r="R492" s="22">
        <f>IFERROR(__xludf.DUMMYFUNCTION("GOOGLEFINANCE(B492, ""pe"")
"),54.42)</f>
        <v>54.42</v>
      </c>
    </row>
    <row r="493">
      <c r="A493" s="9" t="s">
        <v>505</v>
      </c>
      <c r="B493" s="11" t="str">
        <f t="shared" si="1"/>
        <v>NSE:CENTURYPLY</v>
      </c>
      <c r="C493" s="12">
        <f>IFERROR(__xludf.DUMMYFUNCTION("GOOGLEFINANCE(B493,""marketcap"")/10000000"),16283.0523834)</f>
        <v>16283.05238</v>
      </c>
      <c r="D493" s="13">
        <f>IFERROR(__xludf.DUMMYFUNCTION("GOOGLEFINANCE(B493,""price"")"),732.9)</f>
        <v>732.9</v>
      </c>
      <c r="E493" s="14">
        <f>IFERROR(__xludf.DUMMYFUNCTION("GOOGLEFINANCE(B493,""Volume"")"),12238.0)</f>
        <v>12238</v>
      </c>
      <c r="F493" s="14">
        <f t="array" ref="F493">F492</f>
        <v>14</v>
      </c>
      <c r="G493" s="15" t="str">
        <f>IFERROR(__xludf.DUMMYFUNCTION("IF(E493&gt;AVERAGE(INDEX(GOOGLEFINANCE(B493,""volume"",WORKDAY(TODAY(),-$F$1),TODAY()),,2)),""Breakout"","""")"),"")</f>
        <v/>
      </c>
      <c r="H493" s="16">
        <f>IFERROR(__xludf.DUMMYFUNCTION("GOOGLEFINANCE(B493,""price"")"),732.9)</f>
        <v>732.9</v>
      </c>
      <c r="I493" s="17">
        <f>IFERROR(__xludf.DUMMYFUNCTION("AVERAGE(QUERY(SORT(GOOGLEFINANCE(B493,""price"",TODAY()-365,TODAY()),1,0),""select Col2 limit 10""))"),731.31)</f>
        <v>731.31</v>
      </c>
      <c r="J493" s="17">
        <f>IFERROR(__xludf.DUMMYFUNCTION("AVERAGE(QUERY(SORT(GOOGLEFINANCE(B493,""price"",TODAY()-365,TODAY()),1,0),""select Col2 limit 30""))"),739.5866666666666)</f>
        <v>739.5866667</v>
      </c>
      <c r="K493" s="18">
        <f>IFERROR(__xludf.DUMMYFUNCTION("AVERAGE(QUERY(SORT(GOOGLEFINANCE(B493,""price"",TODAY()-365,TODAY()),1,0),""select Col2 limit 60""))"),744.9458333333333)</f>
        <v>744.9458333</v>
      </c>
      <c r="L493" s="17">
        <f>IFERROR(__xludf.DUMMYFUNCTION("AVERAGE(QUERY(SORT(GOOGLEFINANCE(B493,""price"",TODAY()-365,TODAY()),1,0),""select Col2 limit 90""))"),733.2477777777779)</f>
        <v>733.2477778</v>
      </c>
      <c r="M493" s="17">
        <f>IFERROR(__xludf.DUMMYFUNCTION("AVERAGE(QUERY(SORT(GOOGLEFINANCE(B493,""price"",TODAY()-365,TODAY()),1,0),""select Col2 limit 120""))"),741.472083333333)</f>
        <v>741.4720833</v>
      </c>
      <c r="N493" s="19">
        <f>IFERROR(__xludf.DUMMYFUNCTION("AVERAGE(QUERY(SORT(GOOGLEFINANCE(B493,""price"",TODAY()-365,TODAY()),1,0),""select Col2 limit 200""))"),767.6259999999999)</f>
        <v>767.626</v>
      </c>
      <c r="O493" s="20" t="str">
        <f t="shared" si="2"/>
        <v>Avoid</v>
      </c>
      <c r="P493" s="21" t="str">
        <f t="shared" si="3"/>
        <v>30 DMA</v>
      </c>
      <c r="Q493" s="21" t="str">
        <f t="shared" si="4"/>
        <v>30 DMA cross best</v>
      </c>
      <c r="R493" s="22">
        <f>IFERROR(__xludf.DUMMYFUNCTION("GOOGLEFINANCE(B493, ""pe"")
"),87.91)</f>
        <v>87.91</v>
      </c>
    </row>
    <row r="494">
      <c r="A494" s="9" t="s">
        <v>506</v>
      </c>
      <c r="B494" s="11" t="str">
        <f t="shared" si="1"/>
        <v>NSE:CHENNPETRO</v>
      </c>
      <c r="C494" s="12">
        <f>IFERROR(__xludf.DUMMYFUNCTION("GOOGLEFINANCE(B494,""marketcap"")/10000000"),10528.03598)</f>
        <v>10528.03598</v>
      </c>
      <c r="D494" s="13">
        <f>IFERROR(__xludf.DUMMYFUNCTION("GOOGLEFINANCE(B494,""price"")"),706.7)</f>
        <v>706.7</v>
      </c>
      <c r="E494" s="14">
        <f>IFERROR(__xludf.DUMMYFUNCTION("GOOGLEFINANCE(B494,""Volume"")"),2525714.0)</f>
        <v>2525714</v>
      </c>
      <c r="F494" s="14">
        <f t="array" ref="F494">F493</f>
        <v>14</v>
      </c>
      <c r="G494" s="15" t="str">
        <f>IFERROR(__xludf.DUMMYFUNCTION("IF(E494&gt;AVERAGE(INDEX(GOOGLEFINANCE(B494,""volume"",WORKDAY(TODAY(),-$F$1),TODAY()),,2)),""Breakout"","""")"),"Breakout")</f>
        <v>Breakout</v>
      </c>
      <c r="H494" s="16">
        <f>IFERROR(__xludf.DUMMYFUNCTION("GOOGLEFINANCE(B494,""price"")"),706.7)</f>
        <v>706.7</v>
      </c>
      <c r="I494" s="17">
        <f>IFERROR(__xludf.DUMMYFUNCTION("AVERAGE(QUERY(SORT(GOOGLEFINANCE(B494,""price"",TODAY()-365,TODAY()),1,0),""select Col2 limit 10""))"),753.66)</f>
        <v>753.66</v>
      </c>
      <c r="J494" s="17">
        <f>IFERROR(__xludf.DUMMYFUNCTION("AVERAGE(QUERY(SORT(GOOGLEFINANCE(B494,""price"",TODAY()-365,TODAY()),1,0),""select Col2 limit 30""))"),709.8316666666666)</f>
        <v>709.8316667</v>
      </c>
      <c r="K494" s="18">
        <f>IFERROR(__xludf.DUMMYFUNCTION("AVERAGE(QUERY(SORT(GOOGLEFINANCE(B494,""price"",TODAY()-365,TODAY()),1,0),""select Col2 limit 60""))"),682.6441666666667)</f>
        <v>682.6441667</v>
      </c>
      <c r="L494" s="17">
        <f>IFERROR(__xludf.DUMMYFUNCTION("AVERAGE(QUERY(SORT(GOOGLEFINANCE(B494,""price"",TODAY()-365,TODAY()),1,0),""select Col2 limit 90""))"),659.4161111111111)</f>
        <v>659.4161111</v>
      </c>
      <c r="M494" s="17">
        <f>IFERROR(__xludf.DUMMYFUNCTION("AVERAGE(QUERY(SORT(GOOGLEFINANCE(B494,""price"",TODAY()-365,TODAY()),1,0),""select Col2 limit 120""))"),620.9220833333336)</f>
        <v>620.9220833</v>
      </c>
      <c r="N494" s="19">
        <f>IFERROR(__xludf.DUMMYFUNCTION("AVERAGE(QUERY(SORT(GOOGLEFINANCE(B494,""price"",TODAY()-365,TODAY()),1,0),""select Col2 limit 200""))"),638.7427499999999)</f>
        <v>638.74275</v>
      </c>
      <c r="O494" s="20" t="str">
        <f t="shared" si="2"/>
        <v>Avoid</v>
      </c>
      <c r="P494" s="21" t="str">
        <f t="shared" si="3"/>
        <v>30 DMA</v>
      </c>
      <c r="Q494" s="21" t="str">
        <f t="shared" si="4"/>
        <v/>
      </c>
      <c r="R494" s="22" t="str">
        <f>IFERROR(__xludf.DUMMYFUNCTION("GOOGLEFINANCE(B494, ""pe"")
"),"#N/A")</f>
        <v>#N/A</v>
      </c>
    </row>
    <row r="495">
      <c r="A495" s="9" t="s">
        <v>507</v>
      </c>
      <c r="B495" s="11" t="str">
        <f t="shared" si="1"/>
        <v>NSE:HONASA</v>
      </c>
      <c r="C495" s="12">
        <f>IFERROR(__xludf.DUMMYFUNCTION("GOOGLEFINANCE(B495,""marketcap"")/10000000"),8537.6923955)</f>
        <v>8537.692396</v>
      </c>
      <c r="D495" s="13">
        <f>IFERROR(__xludf.DUMMYFUNCTION("GOOGLEFINANCE(B495,""price"")"),263.15)</f>
        <v>263.15</v>
      </c>
      <c r="E495" s="14">
        <f>IFERROR(__xludf.DUMMYFUNCTION("GOOGLEFINANCE(B495,""Volume"")"),112662.0)</f>
        <v>112662</v>
      </c>
      <c r="F495" s="14">
        <f t="array" ref="F495">F494</f>
        <v>14</v>
      </c>
      <c r="G495" s="15" t="str">
        <f>IFERROR(__xludf.DUMMYFUNCTION("IF(E495&gt;AVERAGE(INDEX(GOOGLEFINANCE(B495,""volume"",WORKDAY(TODAY(),-$F$1),TODAY()),,2)),""Breakout"","""")"),"")</f>
        <v/>
      </c>
      <c r="H495" s="16">
        <f>IFERROR(__xludf.DUMMYFUNCTION("GOOGLEFINANCE(B495,""price"")"),263.15)</f>
        <v>263.15</v>
      </c>
      <c r="I495" s="17">
        <f>IFERROR(__xludf.DUMMYFUNCTION("AVERAGE(QUERY(SORT(GOOGLEFINANCE(B495,""price"",TODAY()-365,TODAY()),1,0),""select Col2 limit 10""))"),284.33500000000004)</f>
        <v>284.335</v>
      </c>
      <c r="J495" s="17">
        <f>IFERROR(__xludf.DUMMYFUNCTION("AVERAGE(QUERY(SORT(GOOGLEFINANCE(B495,""price"",TODAY()-365,TODAY()),1,0),""select Col2 limit 30""))"),298.1116666666666)</f>
        <v>298.1116667</v>
      </c>
      <c r="K495" s="18">
        <f>IFERROR(__xludf.DUMMYFUNCTION("AVERAGE(QUERY(SORT(GOOGLEFINANCE(B495,""price"",TODAY()-365,TODAY()),1,0),""select Col2 limit 60""))"),291.7025)</f>
        <v>291.7025</v>
      </c>
      <c r="L495" s="17">
        <f>IFERROR(__xludf.DUMMYFUNCTION("AVERAGE(QUERY(SORT(GOOGLEFINANCE(B495,""price"",TODAY()-365,TODAY()),1,0),""select Col2 limit 90""))"),270.7861111111111)</f>
        <v>270.7861111</v>
      </c>
      <c r="M495" s="17">
        <f>IFERROR(__xludf.DUMMYFUNCTION("AVERAGE(QUERY(SORT(GOOGLEFINANCE(B495,""price"",TODAY()-365,TODAY()),1,0),""select Col2 limit 120""))"),258.0474166666666)</f>
        <v>258.0474167</v>
      </c>
      <c r="N495" s="19">
        <f>IFERROR(__xludf.DUMMYFUNCTION("AVERAGE(QUERY(SORT(GOOGLEFINANCE(B495,""price"",TODAY()-365,TODAY()),1,0),""select Col2 limit 200""))"),279.58294999999987)</f>
        <v>279.58295</v>
      </c>
      <c r="O495" s="20" t="str">
        <f t="shared" si="2"/>
        <v>Avoid</v>
      </c>
      <c r="P495" s="21" t="str">
        <f t="shared" si="3"/>
        <v/>
      </c>
      <c r="Q495" s="21" t="str">
        <f t="shared" si="4"/>
        <v/>
      </c>
      <c r="R495" s="22">
        <f>IFERROR(__xludf.DUMMYFUNCTION("GOOGLEFINANCE(B495, ""pe"")
"),117.8)</f>
        <v>117.8</v>
      </c>
    </row>
    <row r="496">
      <c r="A496" s="9" t="s">
        <v>508</v>
      </c>
      <c r="B496" s="11" t="str">
        <f t="shared" si="1"/>
        <v>NSE:VTL</v>
      </c>
      <c r="C496" s="12">
        <f>IFERROR(__xludf.DUMMYFUNCTION("GOOGLEFINANCE(B496,""marketcap"")/10000000"),13502.5533345)</f>
        <v>13502.55333</v>
      </c>
      <c r="D496" s="13">
        <f>IFERROR(__xludf.DUMMYFUNCTION("GOOGLEFINANCE(B496,""price"")"),467.7)</f>
        <v>467.7</v>
      </c>
      <c r="E496" s="14">
        <f>IFERROR(__xludf.DUMMYFUNCTION("GOOGLEFINANCE(B496,""Volume"")"),91894.0)</f>
        <v>91894</v>
      </c>
      <c r="F496" s="14">
        <f t="array" ref="F496">F495</f>
        <v>14</v>
      </c>
      <c r="G496" s="15" t="str">
        <f>IFERROR(__xludf.DUMMYFUNCTION("IF(E496&gt;AVERAGE(INDEX(GOOGLEFINANCE(B496,""volume"",WORKDAY(TODAY(),-$F$1),TODAY()),,2)),""Breakout"","""")"),"")</f>
        <v/>
      </c>
      <c r="H496" s="16">
        <f>IFERROR(__xludf.DUMMYFUNCTION("GOOGLEFINANCE(B496,""price"")"),467.7)</f>
        <v>467.7</v>
      </c>
      <c r="I496" s="17">
        <f>IFERROR(__xludf.DUMMYFUNCTION("AVERAGE(QUERY(SORT(GOOGLEFINANCE(B496,""price"",TODAY()-365,TODAY()),1,0),""select Col2 limit 10""))"),493.21999999999997)</f>
        <v>493.22</v>
      </c>
      <c r="J496" s="17">
        <f>IFERROR(__xludf.DUMMYFUNCTION("AVERAGE(QUERY(SORT(GOOGLEFINANCE(B496,""price"",TODAY()-365,TODAY()),1,0),""select Col2 limit 30""))"),489.5516666666666)</f>
        <v>489.5516667</v>
      </c>
      <c r="K496" s="18">
        <f>IFERROR(__xludf.DUMMYFUNCTION("AVERAGE(QUERY(SORT(GOOGLEFINANCE(B496,""price"",TODAY()-365,TODAY()),1,0),""select Col2 limit 60""))"),489.24249999999995)</f>
        <v>489.2425</v>
      </c>
      <c r="L496" s="17">
        <f>IFERROR(__xludf.DUMMYFUNCTION("AVERAGE(QUERY(SORT(GOOGLEFINANCE(B496,""price"",TODAY()-365,TODAY()),1,0),""select Col2 limit 90""))"),473.1833333333335)</f>
        <v>473.1833333</v>
      </c>
      <c r="M496" s="17">
        <f>IFERROR(__xludf.DUMMYFUNCTION("AVERAGE(QUERY(SORT(GOOGLEFINANCE(B496,""price"",TODAY()-365,TODAY()),1,0),""select Col2 limit 120""))"),459.2025000000001)</f>
        <v>459.2025</v>
      </c>
      <c r="N496" s="19">
        <f>IFERROR(__xludf.DUMMYFUNCTION("AVERAGE(QUERY(SORT(GOOGLEFINANCE(B496,""price"",TODAY()-365,TODAY()),1,0),""select Col2 limit 200""))"),468.3872500000002)</f>
        <v>468.38725</v>
      </c>
      <c r="O496" s="20" t="str">
        <f t="shared" si="2"/>
        <v>Avoid</v>
      </c>
      <c r="P496" s="21" t="str">
        <f t="shared" si="3"/>
        <v>200 DMA</v>
      </c>
      <c r="Q496" s="21" t="str">
        <f t="shared" si="4"/>
        <v/>
      </c>
      <c r="R496" s="22">
        <f>IFERROR(__xludf.DUMMYFUNCTION("GOOGLEFINANCE(B496, ""pe"")
"),15.59)</f>
        <v>15.59</v>
      </c>
    </row>
    <row r="497">
      <c r="A497" s="9" t="s">
        <v>509</v>
      </c>
      <c r="B497" s="11" t="str">
        <f t="shared" si="1"/>
        <v>NSE:DCMSHRIRAM</v>
      </c>
      <c r="C497" s="12">
        <f>IFERROR(__xludf.DUMMYFUNCTION("GOOGLEFINANCE(B497,""marketcap"")/10000000"),21357.7218)</f>
        <v>21357.7218</v>
      </c>
      <c r="D497" s="13">
        <f>IFERROR(__xludf.DUMMYFUNCTION("GOOGLEFINANCE(B497,""price"")"),1382.7)</f>
        <v>1382.7</v>
      </c>
      <c r="E497" s="14">
        <f>IFERROR(__xludf.DUMMYFUNCTION("GOOGLEFINANCE(B497,""Volume"")"),54905.0)</f>
        <v>54905</v>
      </c>
      <c r="F497" s="14">
        <f t="array" ref="F497">F496</f>
        <v>14</v>
      </c>
      <c r="G497" s="15" t="str">
        <f>IFERROR(__xludf.DUMMYFUNCTION("IF(E497&gt;AVERAGE(INDEX(GOOGLEFINANCE(B497,""volume"",WORKDAY(TODAY(),-$F$1),TODAY()),,2)),""Breakout"","""")"),"")</f>
        <v/>
      </c>
      <c r="H497" s="16">
        <f>IFERROR(__xludf.DUMMYFUNCTION("GOOGLEFINANCE(B497,""price"")"),1382.7)</f>
        <v>1382.7</v>
      </c>
      <c r="I497" s="17" t="str">
        <f>IFERROR(__xludf.DUMMYFUNCTION("AVERAGE(QUERY(SORT(GOOGLEFINANCE(B497,""price"",TODAY()-365,TODAY()),1,0),""select Col2 limit 10""))"),"#N/A")</f>
        <v>#N/A</v>
      </c>
      <c r="J497" s="17" t="str">
        <f>IFERROR(__xludf.DUMMYFUNCTION("AVERAGE(QUERY(SORT(GOOGLEFINANCE(B497,""price"",TODAY()-365,TODAY()),1,0),""select Col2 limit 30""))"),"#N/A")</f>
        <v>#N/A</v>
      </c>
      <c r="K497" s="18" t="str">
        <f>IFERROR(__xludf.DUMMYFUNCTION("AVERAGE(QUERY(SORT(GOOGLEFINANCE(B497,""price"",TODAY()-365,TODAY()),1,0),""select Col2 limit 60""))"),"#N/A")</f>
        <v>#N/A</v>
      </c>
      <c r="L497" s="17" t="str">
        <f>IFERROR(__xludf.DUMMYFUNCTION("AVERAGE(QUERY(SORT(GOOGLEFINANCE(B497,""price"",TODAY()-365,TODAY()),1,0),""select Col2 limit 90""))"),"#N/A")</f>
        <v>#N/A</v>
      </c>
      <c r="M497" s="17" t="str">
        <f>IFERROR(__xludf.DUMMYFUNCTION("AVERAGE(QUERY(SORT(GOOGLEFINANCE(B497,""price"",TODAY()-365,TODAY()),1,0),""select Col2 limit 120""))"),"#N/A")</f>
        <v>#N/A</v>
      </c>
      <c r="N497" s="19" t="str">
        <f>IFERROR(__xludf.DUMMYFUNCTION("AVERAGE(QUERY(SORT(GOOGLEFINANCE(B497,""price"",TODAY()-365,TODAY()),1,0),""select Col2 limit 200""))"),"#N/A")</f>
        <v>#N/A</v>
      </c>
      <c r="O497" s="20" t="str">
        <f t="shared" si="2"/>
        <v>#N/A</v>
      </c>
      <c r="P497" s="21" t="str">
        <f t="shared" si="3"/>
        <v>#N/A</v>
      </c>
      <c r="Q497" s="21" t="str">
        <f t="shared" si="4"/>
        <v>#N/A</v>
      </c>
      <c r="R497" s="22">
        <f>IFERROR(__xludf.DUMMYFUNCTION("GOOGLEFINANCE(B497, ""pe"")
"),34.94)</f>
        <v>34.94</v>
      </c>
    </row>
    <row r="498">
      <c r="A498" s="9" t="s">
        <v>510</v>
      </c>
      <c r="B498" s="11" t="str">
        <f t="shared" si="1"/>
        <v>NSE:SWSOLAR</v>
      </c>
      <c r="C498" s="12">
        <f>IFERROR(__xludf.DUMMYFUNCTION("GOOGLEFINANCE(B498,""marketcap"")/10000000"),6751.08046)</f>
        <v>6751.08046</v>
      </c>
      <c r="D498" s="13">
        <f>IFERROR(__xludf.DUMMYFUNCTION("GOOGLEFINANCE(B498,""price"")"),288.75)</f>
        <v>288.75</v>
      </c>
      <c r="E498" s="14">
        <f>IFERROR(__xludf.DUMMYFUNCTION("GOOGLEFINANCE(B498,""Volume"")"),1218424.0)</f>
        <v>1218424</v>
      </c>
      <c r="F498" s="14">
        <f t="array" ref="F498">F497</f>
        <v>14</v>
      </c>
      <c r="G498" s="15" t="str">
        <f>IFERROR(__xludf.DUMMYFUNCTION("IF(E498&gt;AVERAGE(INDEX(GOOGLEFINANCE(B498,""volume"",WORKDAY(TODAY(),-$F$1),TODAY()),,2)),""Breakout"","""")"),"")</f>
        <v/>
      </c>
      <c r="H498" s="16">
        <f>IFERROR(__xludf.DUMMYFUNCTION("GOOGLEFINANCE(B498,""price"")"),288.75)</f>
        <v>288.75</v>
      </c>
      <c r="I498" s="17">
        <f>IFERROR(__xludf.DUMMYFUNCTION("AVERAGE(QUERY(SORT(GOOGLEFINANCE(B498,""price"",TODAY()-365,TODAY()),1,0),""select Col2 limit 10""))"),316.33000000000004)</f>
        <v>316.33</v>
      </c>
      <c r="J498" s="17">
        <f>IFERROR(__xludf.DUMMYFUNCTION("AVERAGE(QUERY(SORT(GOOGLEFINANCE(B498,""price"",TODAY()-365,TODAY()),1,0),""select Col2 limit 30""))"),316.7433333333333)</f>
        <v>316.7433333</v>
      </c>
      <c r="K498" s="18">
        <f>IFERROR(__xludf.DUMMYFUNCTION("AVERAGE(QUERY(SORT(GOOGLEFINANCE(B498,""price"",TODAY()-365,TODAY()),1,0),""select Col2 limit 60""))"),302.3649999999999)</f>
        <v>302.365</v>
      </c>
      <c r="L498" s="17">
        <f>IFERROR(__xludf.DUMMYFUNCTION("AVERAGE(QUERY(SORT(GOOGLEFINANCE(B498,""price"",TODAY()-365,TODAY()),1,0),""select Col2 limit 90""))"),290.7933333333333)</f>
        <v>290.7933333</v>
      </c>
      <c r="M498" s="17">
        <f>IFERROR(__xludf.DUMMYFUNCTION("AVERAGE(QUERY(SORT(GOOGLEFINANCE(B498,""price"",TODAY()-365,TODAY()),1,0),""select Col2 limit 120""))"),286.91541666666666)</f>
        <v>286.9154167</v>
      </c>
      <c r="N498" s="19">
        <f>IFERROR(__xludf.DUMMYFUNCTION("AVERAGE(QUERY(SORT(GOOGLEFINANCE(B498,""price"",TODAY()-365,TODAY()),1,0),""select Col2 limit 200""))"),369.2515)</f>
        <v>369.2515</v>
      </c>
      <c r="O498" s="20" t="str">
        <f t="shared" si="2"/>
        <v>Avoid</v>
      </c>
      <c r="P498" s="21" t="str">
        <f t="shared" si="3"/>
        <v>90 DMA</v>
      </c>
      <c r="Q498" s="21" t="str">
        <f t="shared" si="4"/>
        <v/>
      </c>
      <c r="R498" s="22">
        <f>IFERROR(__xludf.DUMMYFUNCTION("GOOGLEFINANCE(B498, ""pe"")
"),61.76)</f>
        <v>61.76</v>
      </c>
    </row>
    <row r="499">
      <c r="A499" s="9" t="s">
        <v>511</v>
      </c>
      <c r="B499" s="11" t="str">
        <f t="shared" si="1"/>
        <v>NSE:IEX</v>
      </c>
      <c r="C499" s="12">
        <f>IFERROR(__xludf.DUMMYFUNCTION("GOOGLEFINANCE(B499,""marketcap"")/10000000"),12565.8092713)</f>
        <v>12565.80927</v>
      </c>
      <c r="D499" s="13">
        <f>IFERROR(__xludf.DUMMYFUNCTION("GOOGLEFINANCE(B499,""price"")"),140.77)</f>
        <v>140.77</v>
      </c>
      <c r="E499" s="14">
        <f>IFERROR(__xludf.DUMMYFUNCTION("GOOGLEFINANCE(B499,""Volume"")"),7.0431406E7)</f>
        <v>70431406</v>
      </c>
      <c r="F499" s="14">
        <f t="array" ref="F499">F498</f>
        <v>14</v>
      </c>
      <c r="G499" s="15" t="str">
        <f>IFERROR(__xludf.DUMMYFUNCTION("IF(E499&gt;AVERAGE(INDEX(GOOGLEFINANCE(B499,""volume"",WORKDAY(TODAY(),-$F$1),TODAY()),,2)),""Breakout"","""")"),"Breakout")</f>
        <v>Breakout</v>
      </c>
      <c r="H499" s="16">
        <f>IFERROR(__xludf.DUMMYFUNCTION("GOOGLEFINANCE(B499,""price"")"),140.77)</f>
        <v>140.77</v>
      </c>
      <c r="I499" s="17">
        <f>IFERROR(__xludf.DUMMYFUNCTION("AVERAGE(QUERY(SORT(GOOGLEFINANCE(B499,""price"",TODAY()-365,TODAY()),1,0),""select Col2 limit 10""))"),188.709)</f>
        <v>188.709</v>
      </c>
      <c r="J499" s="17">
        <f>IFERROR(__xludf.DUMMYFUNCTION("AVERAGE(QUERY(SORT(GOOGLEFINANCE(B499,""price"",TODAY()-365,TODAY()),1,0),""select Col2 limit 30""))"),191.51033333333345)</f>
        <v>191.5103333</v>
      </c>
      <c r="K499" s="18">
        <f>IFERROR(__xludf.DUMMYFUNCTION("AVERAGE(QUERY(SORT(GOOGLEFINANCE(B499,""price"",TODAY()-365,TODAY()),1,0),""select Col2 limit 60""))"),194.39100000000008)</f>
        <v>194.391</v>
      </c>
      <c r="L499" s="17">
        <f>IFERROR(__xludf.DUMMYFUNCTION("AVERAGE(QUERY(SORT(GOOGLEFINANCE(B499,""price"",TODAY()-365,TODAY()),1,0),""select Col2 limit 90""))"),189.7340000000001)</f>
        <v>189.734</v>
      </c>
      <c r="M499" s="17">
        <f>IFERROR(__xludf.DUMMYFUNCTION("AVERAGE(QUERY(SORT(GOOGLEFINANCE(B499,""price"",TODAY()-365,TODAY()),1,0),""select Col2 limit 120""))"),184.1350000000001)</f>
        <v>184.135</v>
      </c>
      <c r="N499" s="19">
        <f>IFERROR(__xludf.DUMMYFUNCTION("AVERAGE(QUERY(SORT(GOOGLEFINANCE(B499,""price"",TODAY()-365,TODAY()),1,0),""select Col2 limit 200""))"),182.03105000000008)</f>
        <v>182.03105</v>
      </c>
      <c r="O499" s="20" t="str">
        <f t="shared" si="2"/>
        <v>Avoid</v>
      </c>
      <c r="P499" s="21" t="str">
        <f t="shared" si="3"/>
        <v/>
      </c>
      <c r="Q499" s="21" t="str">
        <f t="shared" si="4"/>
        <v/>
      </c>
      <c r="R499" s="22">
        <f>IFERROR(__xludf.DUMMYFUNCTION("GOOGLEFINANCE(B499, ""pe"")
"),27.65)</f>
        <v>27.65</v>
      </c>
    </row>
    <row r="500">
      <c r="A500" s="9" t="s">
        <v>512</v>
      </c>
      <c r="B500" s="11" t="str">
        <f t="shared" si="1"/>
        <v>NSE:BBTC</v>
      </c>
      <c r="C500" s="12">
        <f>IFERROR(__xludf.DUMMYFUNCTION("GOOGLEFINANCE(B500,""marketcap"")/10000000"),13429.0011017)</f>
        <v>13429.0011</v>
      </c>
      <c r="D500" s="13">
        <f>IFERROR(__xludf.DUMMYFUNCTION("GOOGLEFINANCE(B500,""price"")"),1924.7)</f>
        <v>1924.7</v>
      </c>
      <c r="E500" s="14">
        <f>IFERROR(__xludf.DUMMYFUNCTION("GOOGLEFINANCE(B500,""Volume"")"),17484.0)</f>
        <v>17484</v>
      </c>
      <c r="F500" s="14">
        <f t="array" ref="F500">F499</f>
        <v>14</v>
      </c>
      <c r="G500" s="15" t="str">
        <f>IFERROR(__xludf.DUMMYFUNCTION("IF(E500&gt;AVERAGE(INDEX(GOOGLEFINANCE(B500,""volume"",WORKDAY(TODAY(),-$F$1),TODAY()),,2)),""Breakout"","""")"),"")</f>
        <v/>
      </c>
      <c r="H500" s="16">
        <f>IFERROR(__xludf.DUMMYFUNCTION("GOOGLEFINANCE(B500,""price"")"),1924.7)</f>
        <v>1924.7</v>
      </c>
      <c r="I500" s="17">
        <f>IFERROR(__xludf.DUMMYFUNCTION("AVERAGE(QUERY(SORT(GOOGLEFINANCE(B500,""price"",TODAY()-365,TODAY()),1,0),""select Col2 limit 10""))"),1977.7400000000002)</f>
        <v>1977.74</v>
      </c>
      <c r="J500" s="17">
        <f>IFERROR(__xludf.DUMMYFUNCTION("AVERAGE(QUERY(SORT(GOOGLEFINANCE(B500,""price"",TODAY()-365,TODAY()),1,0),""select Col2 limit 30""))"),1958.526666666667)</f>
        <v>1958.526667</v>
      </c>
      <c r="K500" s="18">
        <f>IFERROR(__xludf.DUMMYFUNCTION("AVERAGE(QUERY(SORT(GOOGLEFINANCE(B500,""price"",TODAY()-365,TODAY()),1,0),""select Col2 limit 60""))"),1946.4583333333342)</f>
        <v>1946.458333</v>
      </c>
      <c r="L500" s="17">
        <f>IFERROR(__xludf.DUMMYFUNCTION("AVERAGE(QUERY(SORT(GOOGLEFINANCE(B500,""price"",TODAY()-365,TODAY()),1,0),""select Col2 limit 90""))"),1906.6683333333342)</f>
        <v>1906.668333</v>
      </c>
      <c r="M500" s="17">
        <f>IFERROR(__xludf.DUMMYFUNCTION("AVERAGE(QUERY(SORT(GOOGLEFINANCE(B500,""price"",TODAY()-365,TODAY()),1,0),""select Col2 limit 120""))"),1900.9862500000006)</f>
        <v>1900.98625</v>
      </c>
      <c r="N500" s="19">
        <f>IFERROR(__xludf.DUMMYFUNCTION("AVERAGE(QUERY(SORT(GOOGLEFINANCE(B500,""price"",TODAY()-365,TODAY()),1,0),""select Col2 limit 200""))"),2102.1132499999994)</f>
        <v>2102.11325</v>
      </c>
      <c r="O500" s="20" t="str">
        <f t="shared" si="2"/>
        <v>Avoid</v>
      </c>
      <c r="P500" s="21" t="str">
        <f t="shared" si="3"/>
        <v/>
      </c>
      <c r="Q500" s="21" t="str">
        <f t="shared" si="4"/>
        <v/>
      </c>
      <c r="R500" s="22">
        <f>IFERROR(__xludf.DUMMYFUNCTION("GOOGLEFINANCE(B500, ""pe"")
"),11.96)</f>
        <v>11.96</v>
      </c>
    </row>
    <row r="501">
      <c r="A501" s="9" t="s">
        <v>513</v>
      </c>
      <c r="B501" s="11" t="str">
        <f t="shared" si="1"/>
        <v>NSE:GPIL</v>
      </c>
      <c r="C501" s="12">
        <f>IFERROR(__xludf.DUMMYFUNCTION("GOOGLEFINANCE(B501,""marketcap"")/10000000"),12677.1581284)</f>
        <v>12677.15813</v>
      </c>
      <c r="D501" s="13">
        <f>IFERROR(__xludf.DUMMYFUNCTION("GOOGLEFINANCE(B501,""price"")"),189.39)</f>
        <v>189.39</v>
      </c>
      <c r="E501" s="14">
        <f>IFERROR(__xludf.DUMMYFUNCTION("GOOGLEFINANCE(B501,""Volume"")"),266635.0)</f>
        <v>266635</v>
      </c>
      <c r="F501" s="14">
        <f t="array" ref="F501">F500</f>
        <v>14</v>
      </c>
      <c r="G501" s="15" t="str">
        <f>IFERROR(__xludf.DUMMYFUNCTION("IF(E501&gt;AVERAGE(INDEX(GOOGLEFINANCE(B501,""volume"",WORKDAY(TODAY(),-$F$1),TODAY()),,2)),""Breakout"","""")"),"")</f>
        <v/>
      </c>
      <c r="H501" s="16">
        <f>IFERROR(__xludf.DUMMYFUNCTION("GOOGLEFINANCE(B501,""price"")"),189.39)</f>
        <v>189.39</v>
      </c>
      <c r="I501" s="17">
        <f>IFERROR(__xludf.DUMMYFUNCTION("AVERAGE(QUERY(SORT(GOOGLEFINANCE(B501,""price"",TODAY()-365,TODAY()),1,0),""select Col2 limit 10""))"),190.313)</f>
        <v>190.313</v>
      </c>
      <c r="J501" s="17">
        <f>IFERROR(__xludf.DUMMYFUNCTION("AVERAGE(QUERY(SORT(GOOGLEFINANCE(B501,""price"",TODAY()-365,TODAY()),1,0),""select Col2 limit 30""))"),185.77333333333337)</f>
        <v>185.7733333</v>
      </c>
      <c r="K501" s="18">
        <f>IFERROR(__xludf.DUMMYFUNCTION("AVERAGE(QUERY(SORT(GOOGLEFINANCE(B501,""price"",TODAY()-365,TODAY()),1,0),""select Col2 limit 60""))"),189.0736666666667)</f>
        <v>189.0736667</v>
      </c>
      <c r="L501" s="17">
        <f>IFERROR(__xludf.DUMMYFUNCTION("AVERAGE(QUERY(SORT(GOOGLEFINANCE(B501,""price"",TODAY()-365,TODAY()),1,0),""select Col2 limit 90""))"),188.96700000000007)</f>
        <v>188.967</v>
      </c>
      <c r="M501" s="17">
        <f>IFERROR(__xludf.DUMMYFUNCTION("AVERAGE(QUERY(SORT(GOOGLEFINANCE(B501,""price"",TODAY()-365,TODAY()),1,0),""select Col2 limit 120""))"),185.2126666666667)</f>
        <v>185.2126667</v>
      </c>
      <c r="N501" s="19">
        <f>IFERROR(__xludf.DUMMYFUNCTION("AVERAGE(QUERY(SORT(GOOGLEFINANCE(B501,""price"",TODAY()-365,TODAY()),1,0),""select Col2 limit 200""))"),189.81209999999993)</f>
        <v>189.8121</v>
      </c>
      <c r="O501" s="20" t="str">
        <f t="shared" si="2"/>
        <v>Avoid</v>
      </c>
      <c r="P501" s="21" t="str">
        <f t="shared" si="3"/>
        <v>10 DMA</v>
      </c>
      <c r="Q501" s="21" t="str">
        <f t="shared" si="4"/>
        <v/>
      </c>
      <c r="R501" s="22">
        <f>IFERROR(__xludf.DUMMYFUNCTION("GOOGLEFINANCE(B501, ""pe"")
"),14.41)</f>
        <v>14.41</v>
      </c>
    </row>
    <row r="502">
      <c r="A502" s="9" t="s">
        <v>514</v>
      </c>
      <c r="B502" s="11" t="str">
        <f t="shared" si="1"/>
        <v>NSE:ENGINERSIN</v>
      </c>
      <c r="C502" s="12">
        <f>IFERROR(__xludf.DUMMYFUNCTION("GOOGLEFINANCE(B502,""marketcap"")/10000000"),12336.83068)</f>
        <v>12336.83068</v>
      </c>
      <c r="D502" s="13">
        <f>IFERROR(__xludf.DUMMYFUNCTION("GOOGLEFINANCE(B502,""price"")"),219.5)</f>
        <v>219.5</v>
      </c>
      <c r="E502" s="14">
        <f>IFERROR(__xludf.DUMMYFUNCTION("GOOGLEFINANCE(B502,""Volume"")"),1759420.0)</f>
        <v>1759420</v>
      </c>
      <c r="F502" s="14">
        <f t="array" ref="F502">F501</f>
        <v>14</v>
      </c>
      <c r="G502" s="15" t="str">
        <f>IFERROR(__xludf.DUMMYFUNCTION("IF(E502&gt;AVERAGE(INDEX(GOOGLEFINANCE(B502,""volume"",WORKDAY(TODAY(),-$F$1),TODAY()),,2)),""Breakout"","""")"),"")</f>
        <v/>
      </c>
      <c r="H502" s="16">
        <f>IFERROR(__xludf.DUMMYFUNCTION("GOOGLEFINANCE(B502,""price"")"),219.5)</f>
        <v>219.5</v>
      </c>
      <c r="I502" s="17">
        <f>IFERROR(__xludf.DUMMYFUNCTION("AVERAGE(QUERY(SORT(GOOGLEFINANCE(B502,""price"",TODAY()-365,TODAY()),1,0),""select Col2 limit 10""))"),239.983)</f>
        <v>239.983</v>
      </c>
      <c r="J502" s="17">
        <f>IFERROR(__xludf.DUMMYFUNCTION("AVERAGE(QUERY(SORT(GOOGLEFINANCE(B502,""price"",TODAY()-365,TODAY()),1,0),""select Col2 limit 30""))"),236.37466666666668)</f>
        <v>236.3746667</v>
      </c>
      <c r="K502" s="18">
        <f>IFERROR(__xludf.DUMMYFUNCTION("AVERAGE(QUERY(SORT(GOOGLEFINANCE(B502,""price"",TODAY()-365,TODAY()),1,0),""select Col2 limit 60""))"),221.04733333333328)</f>
        <v>221.0473333</v>
      </c>
      <c r="L502" s="17">
        <f>IFERROR(__xludf.DUMMYFUNCTION("AVERAGE(QUERY(SORT(GOOGLEFINANCE(B502,""price"",TODAY()-365,TODAY()),1,0),""select Col2 limit 90""))"),203.69922222222218)</f>
        <v>203.6992222</v>
      </c>
      <c r="M502" s="17">
        <f>IFERROR(__xludf.DUMMYFUNCTION("AVERAGE(QUERY(SORT(GOOGLEFINANCE(B502,""price"",TODAY()-365,TODAY()),1,0),""select Col2 limit 120""))"),193.3691666666665)</f>
        <v>193.3691667</v>
      </c>
      <c r="N502" s="19">
        <f>IFERROR(__xludf.DUMMYFUNCTION("AVERAGE(QUERY(SORT(GOOGLEFINANCE(B502,""price"",TODAY()-365,TODAY()),1,0),""select Col2 limit 200""))"),190.83239999999998)</f>
        <v>190.8324</v>
      </c>
      <c r="O502" s="20" t="str">
        <f t="shared" si="2"/>
        <v>Avoid</v>
      </c>
      <c r="P502" s="21" t="str">
        <f t="shared" si="3"/>
        <v>60 DMA</v>
      </c>
      <c r="Q502" s="21" t="str">
        <f t="shared" si="4"/>
        <v/>
      </c>
      <c r="R502" s="22">
        <f>IFERROR(__xludf.DUMMYFUNCTION("GOOGLEFINANCE(B502, ""pe"")
"),21.27)</f>
        <v>21.27</v>
      </c>
    </row>
    <row r="503">
      <c r="A503" s="9" t="s">
        <v>515</v>
      </c>
      <c r="B503" s="11" t="str">
        <f t="shared" si="1"/>
        <v>NSE:INTELLECT</v>
      </c>
      <c r="C503" s="12">
        <f>IFERROR(__xludf.DUMMYFUNCTION("GOOGLEFINANCE(B503,""marketcap"")/10000000"),14694.7412709)</f>
        <v>14694.74127</v>
      </c>
      <c r="D503" s="13">
        <f>IFERROR(__xludf.DUMMYFUNCTION("GOOGLEFINANCE(B503,""price"")"),1061.4)</f>
        <v>1061.4</v>
      </c>
      <c r="E503" s="14">
        <f>IFERROR(__xludf.DUMMYFUNCTION("GOOGLEFINANCE(B503,""Volume"")"),639526.0)</f>
        <v>639526</v>
      </c>
      <c r="F503" s="14">
        <f t="array" ref="F503">F502</f>
        <v>14</v>
      </c>
      <c r="G503" s="15" t="str">
        <f>IFERROR(__xludf.DUMMYFUNCTION("IF(E503&gt;AVERAGE(INDEX(GOOGLEFINANCE(B503,""volume"",WORKDAY(TODAY(),-$F$1),TODAY()),,2)),""Breakout"","""")"),"Breakout")</f>
        <v>Breakout</v>
      </c>
      <c r="H503" s="16">
        <f>IFERROR(__xludf.DUMMYFUNCTION("GOOGLEFINANCE(B503,""price"")"),1061.4)</f>
        <v>1061.4</v>
      </c>
      <c r="I503" s="17">
        <f>IFERROR(__xludf.DUMMYFUNCTION("AVERAGE(QUERY(SORT(GOOGLEFINANCE(B503,""price"",TODAY()-365,TODAY()),1,0),""select Col2 limit 10""))"),1161.3200000000002)</f>
        <v>1161.32</v>
      </c>
      <c r="J503" s="17">
        <f>IFERROR(__xludf.DUMMYFUNCTION("AVERAGE(QUERY(SORT(GOOGLEFINANCE(B503,""price"",TODAY()-365,TODAY()),1,0),""select Col2 limit 30""))"),1149.8633333333337)</f>
        <v>1149.863333</v>
      </c>
      <c r="K503" s="18">
        <f>IFERROR(__xludf.DUMMYFUNCTION("AVERAGE(QUERY(SORT(GOOGLEFINANCE(B503,""price"",TODAY()-365,TODAY()),1,0),""select Col2 limit 60""))"),1105.1558333333337)</f>
        <v>1105.155833</v>
      </c>
      <c r="L503" s="17">
        <f>IFERROR(__xludf.DUMMYFUNCTION("AVERAGE(QUERY(SORT(GOOGLEFINANCE(B503,""price"",TODAY()-365,TODAY()),1,0),""select Col2 limit 90""))"),976.191666666667)</f>
        <v>976.1916667</v>
      </c>
      <c r="M503" s="17">
        <f>IFERROR(__xludf.DUMMYFUNCTION("AVERAGE(QUERY(SORT(GOOGLEFINANCE(B503,""price"",TODAY()-365,TODAY()),1,0),""select Col2 limit 120""))"),912.62125)</f>
        <v>912.62125</v>
      </c>
      <c r="N503" s="19">
        <f>IFERROR(__xludf.DUMMYFUNCTION("AVERAGE(QUERY(SORT(GOOGLEFINANCE(B503,""price"",TODAY()-365,TODAY()),1,0),""select Col2 limit 200""))"),882.6337500000002)</f>
        <v>882.63375</v>
      </c>
      <c r="O503" s="20" t="str">
        <f t="shared" si="2"/>
        <v>Avoid</v>
      </c>
      <c r="P503" s="21" t="str">
        <f t="shared" si="3"/>
        <v/>
      </c>
      <c r="Q503" s="21" t="str">
        <f t="shared" si="4"/>
        <v/>
      </c>
      <c r="R503" s="22">
        <f>IFERROR(__xludf.DUMMYFUNCTION("GOOGLEFINANCE(B503, ""pe"")
"),42.15)</f>
        <v>42.15</v>
      </c>
    </row>
    <row r="504">
      <c r="A504" s="9" t="s">
        <v>516</v>
      </c>
      <c r="B504" s="11" t="str">
        <f t="shared" si="1"/>
        <v>NSE:JAIBALAJI</v>
      </c>
      <c r="C504" s="12">
        <f>IFERROR(__xludf.DUMMYFUNCTION("GOOGLEFINANCE(B504,""marketcap"")/10000000"),10181.6401632)</f>
        <v>10181.64016</v>
      </c>
      <c r="D504" s="13">
        <f>IFERROR(__xludf.DUMMYFUNCTION("GOOGLEFINANCE(B504,""price"")"),111.58)</f>
        <v>111.58</v>
      </c>
      <c r="E504" s="14">
        <f>IFERROR(__xludf.DUMMYFUNCTION("GOOGLEFINANCE(B504,""Volume"")"),576599.0)</f>
        <v>576599</v>
      </c>
      <c r="F504" s="14">
        <f t="array" ref="F504">F503</f>
        <v>14</v>
      </c>
      <c r="G504" s="15" t="str">
        <f>IFERROR(__xludf.DUMMYFUNCTION("IF(E504&gt;AVERAGE(INDEX(GOOGLEFINANCE(B504,""volume"",WORKDAY(TODAY(),-$F$1),TODAY()),,2)),""Breakout"","""")"),"#N/A")</f>
        <v>#N/A</v>
      </c>
      <c r="H504" s="16">
        <f>IFERROR(__xludf.DUMMYFUNCTION("GOOGLEFINANCE(B504,""price"")"),111.58)</f>
        <v>111.58</v>
      </c>
      <c r="I504" s="17">
        <f>IFERROR(__xludf.DUMMYFUNCTION("AVERAGE(QUERY(SORT(GOOGLEFINANCE(B504,""price"",TODAY()-365,TODAY()),1,0),""select Col2 limit 10""))"),120.29100000000003)</f>
        <v>120.291</v>
      </c>
      <c r="J504" s="17">
        <f>IFERROR(__xludf.DUMMYFUNCTION("AVERAGE(QUERY(SORT(GOOGLEFINANCE(B504,""price"",TODAY()-365,TODAY()),1,0),""select Col2 limit 30""))"),118.67099999999999)</f>
        <v>118.671</v>
      </c>
      <c r="K504" s="18">
        <f>IFERROR(__xludf.DUMMYFUNCTION("AVERAGE(QUERY(SORT(GOOGLEFINANCE(B504,""price"",TODAY()-365,TODAY()),1,0),""select Col2 limit 60""))"),113.44816666666665)</f>
        <v>113.4481667</v>
      </c>
      <c r="L504" s="17">
        <f>IFERROR(__xludf.DUMMYFUNCTION("AVERAGE(QUERY(SORT(GOOGLEFINANCE(B504,""price"",TODAY()-365,TODAY()),1,0),""select Col2 limit 90""))"),119.95900000000003)</f>
        <v>119.959</v>
      </c>
      <c r="M504" s="17">
        <f>IFERROR(__xludf.DUMMYFUNCTION("AVERAGE(QUERY(SORT(GOOGLEFINANCE(B504,""price"",TODAY()-365,TODAY()),1,0),""select Col2 limit 120""))"),124.75816666666668)</f>
        <v>124.7581667</v>
      </c>
      <c r="N504" s="19">
        <f>IFERROR(__xludf.DUMMYFUNCTION("AVERAGE(QUERY(SORT(GOOGLEFINANCE(B504,""price"",TODAY()-365,TODAY()),1,0),""select Col2 limit 200""))"),153.83495000000005)</f>
        <v>153.83495</v>
      </c>
      <c r="O504" s="20" t="str">
        <f t="shared" si="2"/>
        <v>Avoid</v>
      </c>
      <c r="P504" s="21" t="str">
        <f t="shared" si="3"/>
        <v/>
      </c>
      <c r="Q504" s="21" t="str">
        <f t="shared" si="4"/>
        <v/>
      </c>
      <c r="R504" s="22">
        <f>IFERROR(__xludf.DUMMYFUNCTION("GOOGLEFINANCE(B504, ""pe"")
"),18.06)</f>
        <v>18.06</v>
      </c>
    </row>
    <row r="505">
      <c r="A505" s="9" t="s">
        <v>517</v>
      </c>
      <c r="B505" s="11" t="str">
        <f t="shared" si="1"/>
        <v>NSE:SANOFI</v>
      </c>
      <c r="C505" s="12">
        <f>IFERROR(__xludf.DUMMYFUNCTION("GOOGLEFINANCE(B505,""marketcap"")/10000000"),13361.214193)</f>
        <v>13361.21419</v>
      </c>
      <c r="D505" s="13">
        <f>IFERROR(__xludf.DUMMYFUNCTION("GOOGLEFINANCE(B505,""price"")"),5800.0)</f>
        <v>5800</v>
      </c>
      <c r="E505" s="14">
        <f>IFERROR(__xludf.DUMMYFUNCTION("GOOGLEFINANCE(B505,""Volume"")"),2261.0)</f>
        <v>2261</v>
      </c>
      <c r="F505" s="14">
        <f t="array" ref="F505">F504</f>
        <v>14</v>
      </c>
      <c r="G505" s="15" t="str">
        <f>IFERROR(__xludf.DUMMYFUNCTION("IF(E505&gt;AVERAGE(INDEX(GOOGLEFINANCE(B505,""volume"",WORKDAY(TODAY(),-$F$1),TODAY()),,2)),""Breakout"","""")"),"#N/A")</f>
        <v>#N/A</v>
      </c>
      <c r="H505" s="16">
        <f>IFERROR(__xludf.DUMMYFUNCTION("GOOGLEFINANCE(B505,""price"")"),5800.0)</f>
        <v>5800</v>
      </c>
      <c r="I505" s="17">
        <f>IFERROR(__xludf.DUMMYFUNCTION("AVERAGE(QUERY(SORT(GOOGLEFINANCE(B505,""price"",TODAY()-365,TODAY()),1,0),""select Col2 limit 10""))"),5923.25)</f>
        <v>5923.25</v>
      </c>
      <c r="J505" s="17">
        <f>IFERROR(__xludf.DUMMYFUNCTION("AVERAGE(QUERY(SORT(GOOGLEFINANCE(B505,""price"",TODAY()-365,TODAY()),1,0),""select Col2 limit 30""))"),6024.633333333333)</f>
        <v>6024.633333</v>
      </c>
      <c r="K505" s="18">
        <f>IFERROR(__xludf.DUMMYFUNCTION("AVERAGE(QUERY(SORT(GOOGLEFINANCE(B505,""price"",TODAY()-365,TODAY()),1,0),""select Col2 limit 60""))"),6075.766666666666)</f>
        <v>6075.766667</v>
      </c>
      <c r="L505" s="17">
        <f>IFERROR(__xludf.DUMMYFUNCTION("AVERAGE(QUERY(SORT(GOOGLEFINANCE(B505,""price"",TODAY()-365,TODAY()),1,0),""select Col2 limit 90""))"),6056.845555555556)</f>
        <v>6056.845556</v>
      </c>
      <c r="M505" s="17">
        <f>IFERROR(__xludf.DUMMYFUNCTION("AVERAGE(QUERY(SORT(GOOGLEFINANCE(B505,""price"",TODAY()-365,TODAY()),1,0),""select Col2 limit 120""))"),5874.931666666666)</f>
        <v>5874.931667</v>
      </c>
      <c r="N505" s="19">
        <f>IFERROR(__xludf.DUMMYFUNCTION("AVERAGE(QUERY(SORT(GOOGLEFINANCE(B505,""price"",TODAY()-365,TODAY()),1,0),""select Col2 limit 200""))"),6018.225999999999)</f>
        <v>6018.226</v>
      </c>
      <c r="O505" s="20" t="str">
        <f t="shared" si="2"/>
        <v>Avoid</v>
      </c>
      <c r="P505" s="21" t="str">
        <f t="shared" si="3"/>
        <v/>
      </c>
      <c r="Q505" s="21" t="str">
        <f t="shared" si="4"/>
        <v/>
      </c>
      <c r="R505" s="22">
        <f>IFERROR(__xludf.DUMMYFUNCTION("GOOGLEFINANCE(B505, ""pe"")
"),33.71)</f>
        <v>33.71</v>
      </c>
    </row>
    <row r="506">
      <c r="A506" s="9" t="s">
        <v>518</v>
      </c>
      <c r="B506" s="11" t="str">
        <f t="shared" si="1"/>
        <v>NSE:RBLBANK</v>
      </c>
      <c r="C506" s="12">
        <f>IFERROR(__xludf.DUMMYFUNCTION("GOOGLEFINANCE(B506,""marketcap"")/10000000"),15718.1287759)</f>
        <v>15718.12878</v>
      </c>
      <c r="D506" s="13">
        <f>IFERROR(__xludf.DUMMYFUNCTION("GOOGLEFINANCE(B506,""price"")"),258.15)</f>
        <v>258.15</v>
      </c>
      <c r="E506" s="14">
        <f>IFERROR(__xludf.DUMMYFUNCTION("GOOGLEFINANCE(B506,""Volume"")"),9088362.0)</f>
        <v>9088362</v>
      </c>
      <c r="F506" s="14">
        <f t="array" ref="F506">F505</f>
        <v>14</v>
      </c>
      <c r="G506" s="15" t="str">
        <f>IFERROR(__xludf.DUMMYFUNCTION("IF(E506&gt;AVERAGE(INDEX(GOOGLEFINANCE(B506,""volume"",WORKDAY(TODAY(),-$F$1),TODAY()),,2)),""Breakout"","""")"),"")</f>
        <v/>
      </c>
      <c r="H506" s="16">
        <f>IFERROR(__xludf.DUMMYFUNCTION("GOOGLEFINANCE(B506,""price"")"),258.15)</f>
        <v>258.15</v>
      </c>
      <c r="I506" s="17">
        <f>IFERROR(__xludf.DUMMYFUNCTION("AVERAGE(QUERY(SORT(GOOGLEFINANCE(B506,""price"",TODAY()-365,TODAY()),1,0),""select Col2 limit 10""))"),261.36800000000005)</f>
        <v>261.368</v>
      </c>
      <c r="J506" s="17">
        <f>IFERROR(__xludf.DUMMYFUNCTION("AVERAGE(QUERY(SORT(GOOGLEFINANCE(B506,""price"",TODAY()-365,TODAY()),1,0),""select Col2 limit 30""))"),248.71133333333336)</f>
        <v>248.7113333</v>
      </c>
      <c r="K506" s="18">
        <f>IFERROR(__xludf.DUMMYFUNCTION("AVERAGE(QUERY(SORT(GOOGLEFINANCE(B506,""price"",TODAY()-365,TODAY()),1,0),""select Col2 limit 60""))"),229.6386666666667)</f>
        <v>229.6386667</v>
      </c>
      <c r="L506" s="17">
        <f>IFERROR(__xludf.DUMMYFUNCTION("AVERAGE(QUERY(SORT(GOOGLEFINANCE(B506,""price"",TODAY()-365,TODAY()),1,0),""select Col2 limit 90""))"),213.03644444444447)</f>
        <v>213.0364444</v>
      </c>
      <c r="M506" s="17">
        <f>IFERROR(__xludf.DUMMYFUNCTION("AVERAGE(QUERY(SORT(GOOGLEFINANCE(B506,""price"",TODAY()-365,TODAY()),1,0),""select Col2 limit 120""))"),200.06008333333335)</f>
        <v>200.0600833</v>
      </c>
      <c r="N506" s="19">
        <f>IFERROR(__xludf.DUMMYFUNCTION("AVERAGE(QUERY(SORT(GOOGLEFINANCE(B506,""price"",TODAY()-365,TODAY()),1,0),""select Col2 limit 200""))"),187.23380000000006)</f>
        <v>187.2338</v>
      </c>
      <c r="O506" s="20" t="str">
        <f t="shared" si="2"/>
        <v>Avoid</v>
      </c>
      <c r="P506" s="21" t="str">
        <f t="shared" si="3"/>
        <v/>
      </c>
      <c r="Q506" s="21" t="str">
        <f t="shared" si="4"/>
        <v/>
      </c>
      <c r="R506" s="22">
        <f>IFERROR(__xludf.DUMMYFUNCTION("GOOGLEFINANCE(B506, ""pe"")
"),27.26)</f>
        <v>27.26</v>
      </c>
    </row>
    <row r="507">
      <c r="A507" s="9" t="s">
        <v>519</v>
      </c>
      <c r="B507" s="11" t="str">
        <f t="shared" si="1"/>
        <v>NSE:HDFCBANK</v>
      </c>
      <c r="C507" s="12">
        <f>IFERROR(__xludf.DUMMYFUNCTION("GOOGLEFINANCE(B507,""marketcap"")/10000000"),1543744.4314522)</f>
        <v>1543744.431</v>
      </c>
      <c r="D507" s="13">
        <f>IFERROR(__xludf.DUMMYFUNCTION("GOOGLEFINANCE(B507,""price"")"),2015.0)</f>
        <v>2015</v>
      </c>
      <c r="E507" s="14">
        <f>IFERROR(__xludf.DUMMYFUNCTION("GOOGLEFINANCE(B507,""Volume"")"),2551028.0)</f>
        <v>2551028</v>
      </c>
      <c r="F507" s="14">
        <f t="array" ref="F507">F506</f>
        <v>14</v>
      </c>
      <c r="G507" s="15" t="str">
        <f>IFERROR(__xludf.DUMMYFUNCTION("IF(E507&gt;AVERAGE(INDEX(GOOGLEFINANCE(B507,""volume"",WORKDAY(TODAY(),-$F$1),TODAY()),,2)),""Breakout"","""")"),"")</f>
        <v/>
      </c>
      <c r="H507" s="16">
        <f>IFERROR(__xludf.DUMMYFUNCTION("GOOGLEFINANCE(B507,""price"")"),2015.0)</f>
        <v>2015</v>
      </c>
      <c r="I507" s="17">
        <f>IFERROR(__xludf.DUMMYFUNCTION("AVERAGE(QUERY(SORT(GOOGLEFINANCE(B507,""price"",TODAY()-365,TODAY()),1,0),""select Col2 limit 10""))"),1997.0700000000002)</f>
        <v>1997.07</v>
      </c>
      <c r="J507" s="17">
        <f>IFERROR(__xludf.DUMMYFUNCTION("AVERAGE(QUERY(SORT(GOOGLEFINANCE(B507,""price"",TODAY()-365,TODAY()),1,0),""select Col2 limit 30""))"),1985.2366666666671)</f>
        <v>1985.236667</v>
      </c>
      <c r="K507" s="18">
        <f>IFERROR(__xludf.DUMMYFUNCTION("AVERAGE(QUERY(SORT(GOOGLEFINANCE(B507,""price"",TODAY()-365,TODAY()),1,0),""select Col2 limit 60""))"),1960.4400000000003)</f>
        <v>1960.44</v>
      </c>
      <c r="L507" s="17">
        <f>IFERROR(__xludf.DUMMYFUNCTION("AVERAGE(QUERY(SORT(GOOGLEFINANCE(B507,""price"",TODAY()-365,TODAY()),1,0),""select Col2 limit 90""))"),1918.6505555555564)</f>
        <v>1918.650556</v>
      </c>
      <c r="M507" s="17">
        <f>IFERROR(__xludf.DUMMYFUNCTION("AVERAGE(QUERY(SORT(GOOGLEFINANCE(B507,""price"",TODAY()-365,TODAY()),1,0),""select Col2 limit 120""))"),1865.0925000000009)</f>
        <v>1865.0925</v>
      </c>
      <c r="N507" s="19">
        <f>IFERROR(__xludf.DUMMYFUNCTION("AVERAGE(QUERY(SORT(GOOGLEFINANCE(B507,""price"",TODAY()-365,TODAY()),1,0),""select Col2 limit 200""))"),1814.1037499999989)</f>
        <v>1814.10375</v>
      </c>
      <c r="O507" s="20" t="str">
        <f t="shared" si="2"/>
        <v>Avoid</v>
      </c>
      <c r="P507" s="21" t="str">
        <f t="shared" si="3"/>
        <v/>
      </c>
      <c r="Q507" s="21" t="str">
        <f t="shared" si="4"/>
        <v/>
      </c>
      <c r="R507" s="22">
        <f>IFERROR(__xludf.DUMMYFUNCTION("GOOGLEFINANCE(B507, ""pe"")
"),21.92)</f>
        <v>21.92</v>
      </c>
    </row>
    <row r="508">
      <c r="A508" s="9" t="s">
        <v>520</v>
      </c>
      <c r="B508" s="11" t="str">
        <f t="shared" si="1"/>
        <v>NSE:ELECON</v>
      </c>
      <c r="C508" s="12">
        <f>IFERROR(__xludf.DUMMYFUNCTION("GOOGLEFINANCE(B508,""marketcap"")/10000000"),12768.35431)</f>
        <v>12768.35431</v>
      </c>
      <c r="D508" s="13">
        <f>IFERROR(__xludf.DUMMYFUNCTION("GOOGLEFINANCE(B508,""price"")"),568.7)</f>
        <v>568.7</v>
      </c>
      <c r="E508" s="14">
        <f>IFERROR(__xludf.DUMMYFUNCTION("GOOGLEFINANCE(B508,""Volume"")"),227851.0)</f>
        <v>227851</v>
      </c>
      <c r="F508" s="14">
        <f t="array" ref="F508">F507</f>
        <v>14</v>
      </c>
      <c r="G508" s="15" t="str">
        <f>IFERROR(__xludf.DUMMYFUNCTION("IF(E508&gt;AVERAGE(INDEX(GOOGLEFINANCE(B508,""volume"",WORKDAY(TODAY(),-$F$1),TODAY()),,2)),""Breakout"","""")"),"")</f>
        <v/>
      </c>
      <c r="H508" s="16">
        <f>IFERROR(__xludf.DUMMYFUNCTION("GOOGLEFINANCE(B508,""price"")"),568.7)</f>
        <v>568.7</v>
      </c>
      <c r="I508" s="17">
        <f>IFERROR(__xludf.DUMMYFUNCTION("AVERAGE(QUERY(SORT(GOOGLEFINANCE(B508,""price"",TODAY()-365,TODAY()),1,0),""select Col2 limit 10""))"),602.4350000000001)</f>
        <v>602.435</v>
      </c>
      <c r="J508" s="17">
        <f>IFERROR(__xludf.DUMMYFUNCTION("AVERAGE(QUERY(SORT(GOOGLEFINANCE(B508,""price"",TODAY()-365,TODAY()),1,0),""select Col2 limit 30""))"),629.1116666666666)</f>
        <v>629.1116667</v>
      </c>
      <c r="K508" s="18">
        <f>IFERROR(__xludf.DUMMYFUNCTION("AVERAGE(QUERY(SORT(GOOGLEFINANCE(B508,""price"",TODAY()-365,TODAY()),1,0),""select Col2 limit 60""))"),647.365)</f>
        <v>647.365</v>
      </c>
      <c r="L508" s="17">
        <f>IFERROR(__xludf.DUMMYFUNCTION("AVERAGE(QUERY(SORT(GOOGLEFINANCE(B508,""price"",TODAY()-365,TODAY()),1,0),""select Col2 limit 90""))"),587.7)</f>
        <v>587.7</v>
      </c>
      <c r="M508" s="17">
        <f>IFERROR(__xludf.DUMMYFUNCTION("AVERAGE(QUERY(SORT(GOOGLEFINANCE(B508,""price"",TODAY()-365,TODAY()),1,0),""select Col2 limit 120""))"),555.8504166666667)</f>
        <v>555.8504167</v>
      </c>
      <c r="N508" s="19">
        <f>IFERROR(__xludf.DUMMYFUNCTION("AVERAGE(QUERY(SORT(GOOGLEFINANCE(B508,""price"",TODAY()-365,TODAY()),1,0),""select Col2 limit 200""))"),576.77225)</f>
        <v>576.77225</v>
      </c>
      <c r="O508" s="20" t="str">
        <f t="shared" si="2"/>
        <v>Avoid</v>
      </c>
      <c r="P508" s="21" t="str">
        <f t="shared" si="3"/>
        <v/>
      </c>
      <c r="Q508" s="21" t="str">
        <f t="shared" si="4"/>
        <v/>
      </c>
      <c r="R508" s="22">
        <f>IFERROR(__xludf.DUMMYFUNCTION("GOOGLEFINANCE(B508, ""pe"")
"),24.69)</f>
        <v>24.69</v>
      </c>
    </row>
    <row r="509">
      <c r="A509" s="9" t="s">
        <v>521</v>
      </c>
      <c r="B509" s="11" t="str">
        <f t="shared" si="1"/>
        <v>NSE:SCI</v>
      </c>
      <c r="C509" s="12">
        <f>IFERROR(__xludf.DUMMYFUNCTION("GOOGLEFINANCE(B509,""marketcap"")/10000000"),10070.5785618)</f>
        <v>10070.57856</v>
      </c>
      <c r="D509" s="13">
        <f>IFERROR(__xludf.DUMMYFUNCTION("GOOGLEFINANCE(B509,""price"")"),216.58)</f>
        <v>216.58</v>
      </c>
      <c r="E509" s="14">
        <f>IFERROR(__xludf.DUMMYFUNCTION("GOOGLEFINANCE(B509,""Volume"")"),561191.0)</f>
        <v>561191</v>
      </c>
      <c r="F509" s="14">
        <f t="array" ref="F509">F508</f>
        <v>14</v>
      </c>
      <c r="G509" s="15" t="str">
        <f>IFERROR(__xludf.DUMMYFUNCTION("IF(E509&gt;AVERAGE(INDEX(GOOGLEFINANCE(B509,""volume"",WORKDAY(TODAY(),-$F$1),TODAY()),,2)),""Breakout"","""")"),"")</f>
        <v/>
      </c>
      <c r="H509" s="16">
        <f>IFERROR(__xludf.DUMMYFUNCTION("GOOGLEFINANCE(B509,""price"")"),216.58)</f>
        <v>216.58</v>
      </c>
      <c r="I509" s="17">
        <f>IFERROR(__xludf.DUMMYFUNCTION("AVERAGE(QUERY(SORT(GOOGLEFINANCE(B509,""price"",TODAY()-365,TODAY()),1,0),""select Col2 limit 10""))"),220.087)</f>
        <v>220.087</v>
      </c>
      <c r="J509" s="17">
        <f>IFERROR(__xludf.DUMMYFUNCTION("AVERAGE(QUERY(SORT(GOOGLEFINANCE(B509,""price"",TODAY()-365,TODAY()),1,0),""select Col2 limit 30""))"),222.41433333333333)</f>
        <v>222.4143333</v>
      </c>
      <c r="K509" s="18">
        <f>IFERROR(__xludf.DUMMYFUNCTION("AVERAGE(QUERY(SORT(GOOGLEFINANCE(B509,""price"",TODAY()-365,TODAY()),1,0),""select Col2 limit 60""))"),207.9563333333334)</f>
        <v>207.9563333</v>
      </c>
      <c r="L509" s="17">
        <f>IFERROR(__xludf.DUMMYFUNCTION("AVERAGE(QUERY(SORT(GOOGLEFINANCE(B509,""price"",TODAY()-365,TODAY()),1,0),""select Col2 limit 90""))"),195.41744444444444)</f>
        <v>195.4174444</v>
      </c>
      <c r="M509" s="17">
        <f>IFERROR(__xludf.DUMMYFUNCTION("AVERAGE(QUERY(SORT(GOOGLEFINANCE(B509,""price"",TODAY()-365,TODAY()),1,0),""select Col2 limit 120""))"),187.77641666666665)</f>
        <v>187.7764167</v>
      </c>
      <c r="N509" s="19">
        <f>IFERROR(__xludf.DUMMYFUNCTION("AVERAGE(QUERY(SORT(GOOGLEFINANCE(B509,""price"",TODAY()-365,TODAY()),1,0),""select Col2 limit 200""))"),199.9434499999999)</f>
        <v>199.94345</v>
      </c>
      <c r="O509" s="20" t="str">
        <f t="shared" si="2"/>
        <v>Avoid</v>
      </c>
      <c r="P509" s="21" t="str">
        <f t="shared" si="3"/>
        <v/>
      </c>
      <c r="Q509" s="21" t="str">
        <f t="shared" si="4"/>
        <v/>
      </c>
      <c r="R509" s="22">
        <f>IFERROR(__xludf.DUMMYFUNCTION("GOOGLEFINANCE(B509, ""pe"")
"),11.96)</f>
        <v>11.96</v>
      </c>
    </row>
    <row r="510">
      <c r="A510" s="9" t="s">
        <v>522</v>
      </c>
      <c r="B510" s="11" t="str">
        <f t="shared" si="1"/>
        <v>NSE:BLS</v>
      </c>
      <c r="C510" s="12">
        <f>IFERROR(__xludf.DUMMYFUNCTION("GOOGLEFINANCE(B510,""marketcap"")/10000000"),14981.7329294)</f>
        <v>14981.73293</v>
      </c>
      <c r="D510" s="13">
        <f>IFERROR(__xludf.DUMMYFUNCTION("GOOGLEFINANCE(B510,""price"")"),363.5)</f>
        <v>363.5</v>
      </c>
      <c r="E510" s="14">
        <f>IFERROR(__xludf.DUMMYFUNCTION("GOOGLEFINANCE(B510,""Volume"")"),463872.0)</f>
        <v>463872</v>
      </c>
      <c r="F510" s="14">
        <f t="array" ref="F510">F509</f>
        <v>14</v>
      </c>
      <c r="G510" s="15" t="str">
        <f>IFERROR(__xludf.DUMMYFUNCTION("IF(E510&gt;AVERAGE(INDEX(GOOGLEFINANCE(B510,""volume"",WORKDAY(TODAY(),-$F$1),TODAY()),,2)),""Breakout"","""")"),"")</f>
        <v/>
      </c>
      <c r="H510" s="16">
        <f>IFERROR(__xludf.DUMMYFUNCTION("GOOGLEFINANCE(B510,""price"")"),363.5)</f>
        <v>363.5</v>
      </c>
      <c r="I510" s="17">
        <f>IFERROR(__xludf.DUMMYFUNCTION("AVERAGE(QUERY(SORT(GOOGLEFINANCE(B510,""price"",TODAY()-365,TODAY()),1,0),""select Col2 limit 10""))"),377.6050000000001)</f>
        <v>377.605</v>
      </c>
      <c r="J510" s="17">
        <f>IFERROR(__xludf.DUMMYFUNCTION("AVERAGE(QUERY(SORT(GOOGLEFINANCE(B510,""price"",TODAY()-365,TODAY()),1,0),""select Col2 limit 30""))"),371.4583333333333)</f>
        <v>371.4583333</v>
      </c>
      <c r="K510" s="18">
        <f>IFERROR(__xludf.DUMMYFUNCTION("AVERAGE(QUERY(SORT(GOOGLEFINANCE(B510,""price"",TODAY()-365,TODAY()),1,0),""select Col2 limit 60""))"),378.8166666666668)</f>
        <v>378.8166667</v>
      </c>
      <c r="L510" s="17">
        <f>IFERROR(__xludf.DUMMYFUNCTION("AVERAGE(QUERY(SORT(GOOGLEFINANCE(B510,""price"",TODAY()-365,TODAY()),1,0),""select Col2 limit 90""))"),378.6911111111113)</f>
        <v>378.6911111</v>
      </c>
      <c r="M510" s="17">
        <f>IFERROR(__xludf.DUMMYFUNCTION("AVERAGE(QUERY(SORT(GOOGLEFINANCE(B510,""price"",TODAY()-365,TODAY()),1,0),""select Col2 limit 120""))"),379.75375)</f>
        <v>379.75375</v>
      </c>
      <c r="N510" s="19">
        <f>IFERROR(__xludf.DUMMYFUNCTION("AVERAGE(QUERY(SORT(GOOGLEFINANCE(B510,""price"",TODAY()-365,TODAY()),1,0),""select Col2 limit 200""))"),396.87900000000013)</f>
        <v>396.879</v>
      </c>
      <c r="O510" s="20" t="str">
        <f t="shared" si="2"/>
        <v>Avoid</v>
      </c>
      <c r="P510" s="21" t="str">
        <f t="shared" si="3"/>
        <v/>
      </c>
      <c r="Q510" s="21" t="str">
        <f t="shared" si="4"/>
        <v/>
      </c>
      <c r="R510" s="22">
        <f>IFERROR(__xludf.DUMMYFUNCTION("GOOGLEFINANCE(B510, ""pe"")
"),29.47)</f>
        <v>29.47</v>
      </c>
    </row>
    <row r="511">
      <c r="A511" s="9" t="s">
        <v>523</v>
      </c>
      <c r="B511" s="11" t="str">
        <f t="shared" si="1"/>
        <v>NSE:NEWGEN</v>
      </c>
      <c r="C511" s="12">
        <f>IFERROR(__xludf.DUMMYFUNCTION("GOOGLEFINANCE(B511,""marketcap"")/10000000"),12173.935795)</f>
        <v>12173.9358</v>
      </c>
      <c r="D511" s="13">
        <f>IFERROR(__xludf.DUMMYFUNCTION("GOOGLEFINANCE(B511,""price"")"),865.2)</f>
        <v>865.2</v>
      </c>
      <c r="E511" s="14">
        <f>IFERROR(__xludf.DUMMYFUNCTION("GOOGLEFINANCE(B511,""Volume"")"),396591.0)</f>
        <v>396591</v>
      </c>
      <c r="F511" s="14">
        <f t="array" ref="F511">F510</f>
        <v>14</v>
      </c>
      <c r="G511" s="15" t="str">
        <f>IFERROR(__xludf.DUMMYFUNCTION("IF(E511&gt;AVERAGE(INDEX(GOOGLEFINANCE(B511,""volume"",WORKDAY(TODAY(),-$F$1),TODAY()),,2)),""Breakout"","""")"),"")</f>
        <v/>
      </c>
      <c r="H511" s="16">
        <f>IFERROR(__xludf.DUMMYFUNCTION("GOOGLEFINANCE(B511,""price"")"),865.2)</f>
        <v>865.2</v>
      </c>
      <c r="I511" s="17" t="str">
        <f>IFERROR(__xludf.DUMMYFUNCTION("AVERAGE(QUERY(SORT(GOOGLEFINANCE(B511,""price"",TODAY()-365,TODAY()),1,0),""select Col2 limit 10""))"),"#N/A")</f>
        <v>#N/A</v>
      </c>
      <c r="J511" s="17" t="str">
        <f>IFERROR(__xludf.DUMMYFUNCTION("AVERAGE(QUERY(SORT(GOOGLEFINANCE(B511,""price"",TODAY()-365,TODAY()),1,0),""select Col2 limit 30""))"),"#N/A")</f>
        <v>#N/A</v>
      </c>
      <c r="K511" s="18" t="str">
        <f>IFERROR(__xludf.DUMMYFUNCTION("AVERAGE(QUERY(SORT(GOOGLEFINANCE(B511,""price"",TODAY()-365,TODAY()),1,0),""select Col2 limit 60""))"),"#N/A")</f>
        <v>#N/A</v>
      </c>
      <c r="L511" s="17" t="str">
        <f>IFERROR(__xludf.DUMMYFUNCTION("AVERAGE(QUERY(SORT(GOOGLEFINANCE(B511,""price"",TODAY()-365,TODAY()),1,0),""select Col2 limit 90""))"),"#N/A")</f>
        <v>#N/A</v>
      </c>
      <c r="M511" s="17" t="str">
        <f>IFERROR(__xludf.DUMMYFUNCTION("AVERAGE(QUERY(SORT(GOOGLEFINANCE(B511,""price"",TODAY()-365,TODAY()),1,0),""select Col2 limit 120""))"),"#N/A")</f>
        <v>#N/A</v>
      </c>
      <c r="N511" s="19" t="str">
        <f>IFERROR(__xludf.DUMMYFUNCTION("AVERAGE(QUERY(SORT(GOOGLEFINANCE(B511,""price"",TODAY()-365,TODAY()),1,0),""select Col2 limit 200""))"),"#N/A")</f>
        <v>#N/A</v>
      </c>
      <c r="O511" s="20" t="str">
        <f t="shared" si="2"/>
        <v>#N/A</v>
      </c>
      <c r="P511" s="21" t="str">
        <f t="shared" si="3"/>
        <v>#N/A</v>
      </c>
      <c r="Q511" s="21" t="str">
        <f t="shared" si="4"/>
        <v>#N/A</v>
      </c>
      <c r="R511" s="22">
        <f>IFERROR(__xludf.DUMMYFUNCTION("GOOGLEFINANCE(B511, ""pe"")
"),39.22)</f>
        <v>39.22</v>
      </c>
    </row>
    <row r="512">
      <c r="A512" s="9" t="s">
        <v>524</v>
      </c>
      <c r="B512" s="11" t="str">
        <f t="shared" si="1"/>
        <v>NSE:ZYDUSWELL</v>
      </c>
      <c r="C512" s="12">
        <f>IFERROR(__xludf.DUMMYFUNCTION("GOOGLEFINANCE(B512,""marketcap"")/10000000"),13104.4064089)</f>
        <v>13104.40641</v>
      </c>
      <c r="D512" s="13">
        <f>IFERROR(__xludf.DUMMYFUNCTION("GOOGLEFINANCE(B512,""price"")"),2056.0)</f>
        <v>2056</v>
      </c>
      <c r="E512" s="14">
        <f>IFERROR(__xludf.DUMMYFUNCTION("GOOGLEFINANCE(B512,""Volume"")"),14881.0)</f>
        <v>14881</v>
      </c>
      <c r="F512" s="14">
        <f t="array" ref="F512">F511</f>
        <v>14</v>
      </c>
      <c r="G512" s="15" t="str">
        <f>IFERROR(__xludf.DUMMYFUNCTION("IF(E512&gt;AVERAGE(INDEX(GOOGLEFINANCE(B512,""volume"",WORKDAY(TODAY(),-$F$1),TODAY()),,2)),""Breakout"","""")"),"")</f>
        <v/>
      </c>
      <c r="H512" s="16">
        <f>IFERROR(__xludf.DUMMYFUNCTION("GOOGLEFINANCE(B512,""price"")"),2056.0)</f>
        <v>2056</v>
      </c>
      <c r="I512" s="17">
        <f>IFERROR(__xludf.DUMMYFUNCTION("AVERAGE(QUERY(SORT(GOOGLEFINANCE(B512,""price"",TODAY()-365,TODAY()),1,0),""select Col2 limit 10""))"),2071.1)</f>
        <v>2071.1</v>
      </c>
      <c r="J512" s="17">
        <f>IFERROR(__xludf.DUMMYFUNCTION("AVERAGE(QUERY(SORT(GOOGLEFINANCE(B512,""price"",TODAY()-365,TODAY()),1,0),""select Col2 limit 30""))"),2029.07)</f>
        <v>2029.07</v>
      </c>
      <c r="K512" s="18">
        <f>IFERROR(__xludf.DUMMYFUNCTION("AVERAGE(QUERY(SORT(GOOGLEFINANCE(B512,""price"",TODAY()-365,TODAY()),1,0),""select Col2 limit 60""))"),1953.5733333333335)</f>
        <v>1953.573333</v>
      </c>
      <c r="L512" s="17">
        <f>IFERROR(__xludf.DUMMYFUNCTION("AVERAGE(QUERY(SORT(GOOGLEFINANCE(B512,""price"",TODAY()-365,TODAY()),1,0),""select Col2 limit 90""))"),1873.8633333333337)</f>
        <v>1873.863333</v>
      </c>
      <c r="M512" s="17">
        <f>IFERROR(__xludf.DUMMYFUNCTION("AVERAGE(QUERY(SORT(GOOGLEFINANCE(B512,""price"",TODAY()-365,TODAY()),1,0),""select Col2 limit 120""))"),1824.709583333334)</f>
        <v>1824.709583</v>
      </c>
      <c r="N512" s="19">
        <f>IFERROR(__xludf.DUMMYFUNCTION("AVERAGE(QUERY(SORT(GOOGLEFINANCE(B512,""price"",TODAY()-365,TODAY()),1,0),""select Col2 limit 200""))"),1869.0527499999994)</f>
        <v>1869.05275</v>
      </c>
      <c r="O512" s="20" t="str">
        <f t="shared" si="2"/>
        <v>Avoid</v>
      </c>
      <c r="P512" s="21" t="str">
        <f t="shared" si="3"/>
        <v>10 DMA</v>
      </c>
      <c r="Q512" s="21" t="str">
        <f t="shared" si="4"/>
        <v/>
      </c>
      <c r="R512" s="22">
        <f>IFERROR(__xludf.DUMMYFUNCTION("GOOGLEFINANCE(B512, ""pe"")
"),37.74)</f>
        <v>37.74</v>
      </c>
    </row>
    <row r="513">
      <c r="A513" s="9" t="s">
        <v>525</v>
      </c>
      <c r="B513" s="11" t="str">
        <f t="shared" si="1"/>
        <v>NSE:EIDPARRY</v>
      </c>
      <c r="C513" s="12">
        <f>IFERROR(__xludf.DUMMYFUNCTION("GOOGLEFINANCE(B513,""marketcap"")/10000000"),20979.928)</f>
        <v>20979.928</v>
      </c>
      <c r="D513" s="13">
        <f>IFERROR(__xludf.DUMMYFUNCTION("GOOGLEFINANCE(B513,""price"")"),1181.0)</f>
        <v>1181</v>
      </c>
      <c r="E513" s="14">
        <f>IFERROR(__xludf.DUMMYFUNCTION("GOOGLEFINANCE(B513,""Volume"")"),68735.0)</f>
        <v>68735</v>
      </c>
      <c r="F513" s="14">
        <f t="array" ref="F513">F512</f>
        <v>14</v>
      </c>
      <c r="G513" s="15" t="str">
        <f>IFERROR(__xludf.DUMMYFUNCTION("IF(E513&gt;AVERAGE(INDEX(GOOGLEFINANCE(B513,""volume"",WORKDAY(TODAY(),-$F$1),TODAY()),,2)),""Breakout"","""")"),"")</f>
        <v/>
      </c>
      <c r="H513" s="16">
        <f>IFERROR(__xludf.DUMMYFUNCTION("GOOGLEFINANCE(B513,""price"")"),1181.0)</f>
        <v>1181</v>
      </c>
      <c r="I513" s="17">
        <f>IFERROR(__xludf.DUMMYFUNCTION("AVERAGE(QUERY(SORT(GOOGLEFINANCE(B513,""price"",TODAY()-365,TODAY()),1,0),""select Col2 limit 10""))"),1165.22)</f>
        <v>1165.22</v>
      </c>
      <c r="J513" s="17">
        <f>IFERROR(__xludf.DUMMYFUNCTION("AVERAGE(QUERY(SORT(GOOGLEFINANCE(B513,""price"",TODAY()-365,TODAY()),1,0),""select Col2 limit 30""))"),1085.6999999999998)</f>
        <v>1085.7</v>
      </c>
      <c r="K513" s="18">
        <f>IFERROR(__xludf.DUMMYFUNCTION("AVERAGE(QUERY(SORT(GOOGLEFINANCE(B513,""price"",TODAY()-365,TODAY()),1,0),""select Col2 limit 60""))"),1015.8000000000001)</f>
        <v>1015.8</v>
      </c>
      <c r="L513" s="17">
        <f>IFERROR(__xludf.DUMMYFUNCTION("AVERAGE(QUERY(SORT(GOOGLEFINANCE(B513,""price"",TODAY()-365,TODAY()),1,0),""select Col2 limit 90""))"),943.0072222222221)</f>
        <v>943.0072222</v>
      </c>
      <c r="M513" s="17">
        <f>IFERROR(__xludf.DUMMYFUNCTION("AVERAGE(QUERY(SORT(GOOGLEFINANCE(B513,""price"",TODAY()-365,TODAY()),1,0),""select Col2 limit 120""))"),893.5370833333333)</f>
        <v>893.5370833</v>
      </c>
      <c r="N513" s="19">
        <f>IFERROR(__xludf.DUMMYFUNCTION("AVERAGE(QUERY(SORT(GOOGLEFINANCE(B513,""price"",TODAY()-365,TODAY()),1,0),""select Col2 limit 200""))"),875.1192499999997)</f>
        <v>875.11925</v>
      </c>
      <c r="O513" s="20" t="str">
        <f t="shared" si="2"/>
        <v>Avoid</v>
      </c>
      <c r="P513" s="21" t="str">
        <f t="shared" si="3"/>
        <v/>
      </c>
      <c r="Q513" s="21" t="str">
        <f t="shared" si="4"/>
        <v/>
      </c>
      <c r="R513" s="22">
        <f>IFERROR(__xludf.DUMMYFUNCTION("GOOGLEFINANCE(B513, ""pe"")
"),23.87)</f>
        <v>23.87</v>
      </c>
    </row>
    <row r="514">
      <c r="A514" s="9" t="s">
        <v>526</v>
      </c>
      <c r="B514" s="11" t="str">
        <f t="shared" si="1"/>
        <v>NSE:AMBER</v>
      </c>
      <c r="C514" s="12">
        <f>IFERROR(__xludf.DUMMYFUNCTION("GOOGLEFINANCE(B514,""marketcap"")/10000000"),25312.2428565)</f>
        <v>25312.24286</v>
      </c>
      <c r="D514" s="13">
        <f>IFERROR(__xludf.DUMMYFUNCTION("GOOGLEFINANCE(B514,""price"")"),7466.5)</f>
        <v>7466.5</v>
      </c>
      <c r="E514" s="14">
        <f>IFERROR(__xludf.DUMMYFUNCTION("GOOGLEFINANCE(B514,""Volume"")"),135832.0)</f>
        <v>135832</v>
      </c>
      <c r="F514" s="14">
        <f t="array" ref="F514">F513</f>
        <v>14</v>
      </c>
      <c r="G514" s="15" t="str">
        <f>IFERROR(__xludf.DUMMYFUNCTION("IF(E514&gt;AVERAGE(INDEX(GOOGLEFINANCE(B514,""volume"",WORKDAY(TODAY(),-$F$1),TODAY()),,2)),""Breakout"","""")"),"")</f>
        <v/>
      </c>
      <c r="H514" s="16">
        <f>IFERROR(__xludf.DUMMYFUNCTION("GOOGLEFINANCE(B514,""price"")"),7466.5)</f>
        <v>7466.5</v>
      </c>
      <c r="I514" s="17">
        <f>IFERROR(__xludf.DUMMYFUNCTION("AVERAGE(QUERY(SORT(GOOGLEFINANCE(B514,""price"",TODAY()-365,TODAY()),1,0),""select Col2 limit 10""))"),7506.25)</f>
        <v>7506.25</v>
      </c>
      <c r="J514" s="17">
        <f>IFERROR(__xludf.DUMMYFUNCTION("AVERAGE(QUERY(SORT(GOOGLEFINANCE(B514,""price"",TODAY()-365,TODAY()),1,0),""select Col2 limit 30""))"),7173.483333333334)</f>
        <v>7173.483333</v>
      </c>
      <c r="K514" s="18">
        <f>IFERROR(__xludf.DUMMYFUNCTION("AVERAGE(QUERY(SORT(GOOGLEFINANCE(B514,""price"",TODAY()-365,TODAY()),1,0),""select Col2 limit 60""))"),6757.683333333333)</f>
        <v>6757.683333</v>
      </c>
      <c r="L514" s="17">
        <f>IFERROR(__xludf.DUMMYFUNCTION("AVERAGE(QUERY(SORT(GOOGLEFINANCE(B514,""price"",TODAY()-365,TODAY()),1,0),""select Col2 limit 90""))"),6727.825555555559)</f>
        <v>6727.825556</v>
      </c>
      <c r="M514" s="17">
        <f>IFERROR(__xludf.DUMMYFUNCTION("AVERAGE(QUERY(SORT(GOOGLEFINANCE(B514,""price"",TODAY()-365,TODAY()),1,0),""select Col2 limit 120""))"),6596.660416666671)</f>
        <v>6596.660417</v>
      </c>
      <c r="N514" s="19">
        <f>IFERROR(__xludf.DUMMYFUNCTION("AVERAGE(QUERY(SORT(GOOGLEFINANCE(B514,""price"",TODAY()-365,TODAY()),1,0),""select Col2 limit 200""))"),6494.824750000004)</f>
        <v>6494.82475</v>
      </c>
      <c r="O514" s="20" t="str">
        <f t="shared" si="2"/>
        <v>Avoid</v>
      </c>
      <c r="P514" s="21" t="str">
        <f t="shared" si="3"/>
        <v>10 DMA</v>
      </c>
      <c r="Q514" s="21" t="str">
        <f t="shared" si="4"/>
        <v/>
      </c>
      <c r="R514" s="22">
        <f>IFERROR(__xludf.DUMMYFUNCTION("GOOGLEFINANCE(B514, ""pe"")
"),104.29)</f>
        <v>104.29</v>
      </c>
    </row>
    <row r="515">
      <c r="A515" s="9" t="s">
        <v>527</v>
      </c>
      <c r="B515" s="11" t="str">
        <f t="shared" si="1"/>
        <v>NSE:PVRINOX</v>
      </c>
      <c r="C515" s="12">
        <f>IFERROR(__xludf.DUMMYFUNCTION("GOOGLEFINANCE(B515,""marketcap"")/10000000"),9820.978)</f>
        <v>9820.978</v>
      </c>
      <c r="D515" s="13">
        <f>IFERROR(__xludf.DUMMYFUNCTION("GOOGLEFINANCE(B515,""price"")"),985.2)</f>
        <v>985.2</v>
      </c>
      <c r="E515" s="14">
        <f>IFERROR(__xludf.DUMMYFUNCTION("GOOGLEFINANCE(B515,""Volume"")"),92066.0)</f>
        <v>92066</v>
      </c>
      <c r="F515" s="14">
        <f t="array" ref="F515">F514</f>
        <v>14</v>
      </c>
      <c r="G515" s="15" t="str">
        <f>IFERROR(__xludf.DUMMYFUNCTION("IF(E515&gt;AVERAGE(INDEX(GOOGLEFINANCE(B515,""volume"",WORKDAY(TODAY(),-$F$1),TODAY()),,2)),""Breakout"","""")"),"")</f>
        <v/>
      </c>
      <c r="H515" s="16">
        <f>IFERROR(__xludf.DUMMYFUNCTION("GOOGLEFINANCE(B515,""price"")"),985.2)</f>
        <v>985.2</v>
      </c>
      <c r="I515" s="17">
        <f>IFERROR(__xludf.DUMMYFUNCTION("AVERAGE(QUERY(SORT(GOOGLEFINANCE(B515,""price"",TODAY()-365,TODAY()),1,0),""select Col2 limit 10""))"),1002.765)</f>
        <v>1002.765</v>
      </c>
      <c r="J515" s="17">
        <f>IFERROR(__xludf.DUMMYFUNCTION("AVERAGE(QUERY(SORT(GOOGLEFINANCE(B515,""price"",TODAY()-365,TODAY()),1,0),""select Col2 limit 30""))"),980.5433333333333)</f>
        <v>980.5433333</v>
      </c>
      <c r="K515" s="18">
        <f>IFERROR(__xludf.DUMMYFUNCTION("AVERAGE(QUERY(SORT(GOOGLEFINANCE(B515,""price"",TODAY()-365,TODAY()),1,0),""select Col2 limit 60""))"),982.3216666666667)</f>
        <v>982.3216667</v>
      </c>
      <c r="L515" s="17">
        <f>IFERROR(__xludf.DUMMYFUNCTION("AVERAGE(QUERY(SORT(GOOGLEFINANCE(B515,""price"",TODAY()-365,TODAY()),1,0),""select Col2 limit 90""))"),970.4061111111109)</f>
        <v>970.4061111</v>
      </c>
      <c r="M515" s="17">
        <f>IFERROR(__xludf.DUMMYFUNCTION("AVERAGE(QUERY(SORT(GOOGLEFINANCE(B515,""price"",TODAY()-365,TODAY()),1,0),""select Col2 limit 120""))"),981.0754166666666)</f>
        <v>981.0754167</v>
      </c>
      <c r="N515" s="19">
        <f>IFERROR(__xludf.DUMMYFUNCTION("AVERAGE(QUERY(SORT(GOOGLEFINANCE(B515,""price"",TODAY()-365,TODAY()),1,0),""select Col2 limit 200""))"),1153.9837500000008)</f>
        <v>1153.98375</v>
      </c>
      <c r="O515" s="20" t="str">
        <f t="shared" si="2"/>
        <v>Avoid</v>
      </c>
      <c r="P515" s="21" t="str">
        <f t="shared" si="3"/>
        <v/>
      </c>
      <c r="Q515" s="21" t="str">
        <f t="shared" si="4"/>
        <v/>
      </c>
      <c r="R515" s="22" t="str">
        <f>IFERROR(__xludf.DUMMYFUNCTION("GOOGLEFINANCE(B515, ""pe"")
"),"#N/A")</f>
        <v>#N/A</v>
      </c>
    </row>
    <row r="516">
      <c r="A516" s="9" t="s">
        <v>528</v>
      </c>
      <c r="B516" s="11" t="str">
        <f t="shared" si="1"/>
        <v>NSE:AAVAS</v>
      </c>
      <c r="C516" s="12">
        <f>IFERROR(__xludf.DUMMYFUNCTION("GOOGLEFINANCE(B516,""marketcap"")/10000000"),14483.3412658)</f>
        <v>14483.34127</v>
      </c>
      <c r="D516" s="13">
        <f>IFERROR(__xludf.DUMMYFUNCTION("GOOGLEFINANCE(B516,""price"")"),1829.1)</f>
        <v>1829.1</v>
      </c>
      <c r="E516" s="14">
        <f>IFERROR(__xludf.DUMMYFUNCTION("GOOGLEFINANCE(B516,""Volume"")"),25050.0)</f>
        <v>25050</v>
      </c>
      <c r="F516" s="14">
        <f t="array" ref="F516">F515</f>
        <v>14</v>
      </c>
      <c r="G516" s="15" t="str">
        <f>IFERROR(__xludf.DUMMYFUNCTION("IF(E516&gt;AVERAGE(INDEX(GOOGLEFINANCE(B516,""volume"",WORKDAY(TODAY(),-$F$1),TODAY()),,2)),""Breakout"","""")"),"")</f>
        <v/>
      </c>
      <c r="H516" s="16">
        <f>IFERROR(__xludf.DUMMYFUNCTION("GOOGLEFINANCE(B516,""price"")"),1829.1)</f>
        <v>1829.1</v>
      </c>
      <c r="I516" s="17">
        <f>IFERROR(__xludf.DUMMYFUNCTION("AVERAGE(QUERY(SORT(GOOGLEFINANCE(B516,""price"",TODAY()-365,TODAY()),1,0),""select Col2 limit 10""))"),1912.9300000000003)</f>
        <v>1912.93</v>
      </c>
      <c r="J516" s="17">
        <f>IFERROR(__xludf.DUMMYFUNCTION("AVERAGE(QUERY(SORT(GOOGLEFINANCE(B516,""price"",TODAY()-365,TODAY()),1,0),""select Col2 limit 30""))"),1919.5933333333337)</f>
        <v>1919.593333</v>
      </c>
      <c r="K516" s="18">
        <f>IFERROR(__xludf.DUMMYFUNCTION("AVERAGE(QUERY(SORT(GOOGLEFINANCE(B516,""price"",TODAY()-365,TODAY()),1,0),""select Col2 limit 60""))"),1865.9566666666667)</f>
        <v>1865.956667</v>
      </c>
      <c r="L516" s="17">
        <f>IFERROR(__xludf.DUMMYFUNCTION("AVERAGE(QUERY(SORT(GOOGLEFINANCE(B516,""price"",TODAY()-365,TODAY()),1,0),""select Col2 limit 90""))"),1918.268333333333)</f>
        <v>1918.268333</v>
      </c>
      <c r="M516" s="17">
        <f>IFERROR(__xludf.DUMMYFUNCTION("AVERAGE(QUERY(SORT(GOOGLEFINANCE(B516,""price"",TODAY()-365,TODAY()),1,0),""select Col2 limit 120""))"),1864.9962500000004)</f>
        <v>1864.99625</v>
      </c>
      <c r="N516" s="19">
        <f>IFERROR(__xludf.DUMMYFUNCTION("AVERAGE(QUERY(SORT(GOOGLEFINANCE(B516,""price"",TODAY()-365,TODAY()),1,0),""select Col2 limit 200""))"),1791.299)</f>
        <v>1791.299</v>
      </c>
      <c r="O516" s="20" t="str">
        <f t="shared" si="2"/>
        <v>Sell Below 200 DMA</v>
      </c>
      <c r="P516" s="21" t="str">
        <f t="shared" si="3"/>
        <v/>
      </c>
      <c r="Q516" s="21" t="str">
        <f t="shared" si="4"/>
        <v/>
      </c>
      <c r="R516" s="22">
        <f>IFERROR(__xludf.DUMMYFUNCTION("GOOGLEFINANCE(B516, ""pe"")
"),25.43)</f>
        <v>25.43</v>
      </c>
    </row>
    <row r="517">
      <c r="A517" s="9" t="s">
        <v>529</v>
      </c>
      <c r="B517" s="11" t="str">
        <f t="shared" si="1"/>
        <v>NSE:ERIS</v>
      </c>
      <c r="C517" s="12">
        <f>IFERROR(__xludf.DUMMYFUNCTION("GOOGLEFINANCE(B517,""marketcap"")/10000000"),24218.9307754)</f>
        <v>24218.93078</v>
      </c>
      <c r="D517" s="13">
        <f>IFERROR(__xludf.DUMMYFUNCTION("GOOGLEFINANCE(B517,""price"")"),1777.6)</f>
        <v>1777.6</v>
      </c>
      <c r="E517" s="14">
        <f>IFERROR(__xludf.DUMMYFUNCTION("GOOGLEFINANCE(B517,""Volume"")"),171840.0)</f>
        <v>171840</v>
      </c>
      <c r="F517" s="14">
        <f t="array" ref="F517">F516</f>
        <v>14</v>
      </c>
      <c r="G517" s="15" t="str">
        <f>IFERROR(__xludf.DUMMYFUNCTION("IF(E517&gt;AVERAGE(INDEX(GOOGLEFINANCE(B517,""volume"",WORKDAY(TODAY(),-$F$1),TODAY()),,2)),""Breakout"","""")"),"Breakout")</f>
        <v>Breakout</v>
      </c>
      <c r="H517" s="16">
        <f>IFERROR(__xludf.DUMMYFUNCTION("GOOGLEFINANCE(B517,""price"")"),1777.6)</f>
        <v>1777.6</v>
      </c>
      <c r="I517" s="17">
        <f>IFERROR(__xludf.DUMMYFUNCTION("AVERAGE(QUERY(SORT(GOOGLEFINANCE(B517,""price"",TODAY()-365,TODAY()),1,0),""select Col2 limit 10""))"),1770.7499999999995)</f>
        <v>1770.75</v>
      </c>
      <c r="J517" s="17">
        <f>IFERROR(__xludf.DUMMYFUNCTION("AVERAGE(QUERY(SORT(GOOGLEFINANCE(B517,""price"",TODAY()-365,TODAY()),1,0),""select Col2 limit 30""))"),1722.7166666666667)</f>
        <v>1722.716667</v>
      </c>
      <c r="K517" s="18">
        <f>IFERROR(__xludf.DUMMYFUNCTION("AVERAGE(QUERY(SORT(GOOGLEFINANCE(B517,""price"",TODAY()-365,TODAY()),1,0),""select Col2 limit 60""))"),1639.5149999999999)</f>
        <v>1639.515</v>
      </c>
      <c r="L517" s="17">
        <f>IFERROR(__xludf.DUMMYFUNCTION("AVERAGE(QUERY(SORT(GOOGLEFINANCE(B517,""price"",TODAY()-365,TODAY()),1,0),""select Col2 limit 90""))"),1554.8916666666667)</f>
        <v>1554.891667</v>
      </c>
      <c r="M517" s="17">
        <f>IFERROR(__xludf.DUMMYFUNCTION("AVERAGE(QUERY(SORT(GOOGLEFINANCE(B517,""price"",TODAY()-365,TODAY()),1,0),""select Col2 limit 120""))"),1484.0783333333336)</f>
        <v>1484.078333</v>
      </c>
      <c r="N517" s="19">
        <f>IFERROR(__xludf.DUMMYFUNCTION("AVERAGE(QUERY(SORT(GOOGLEFINANCE(B517,""price"",TODAY()-365,TODAY()),1,0),""select Col2 limit 200""))"),1430.5114999999996)</f>
        <v>1430.5115</v>
      </c>
      <c r="O517" s="20" t="str">
        <f t="shared" si="2"/>
        <v>Avoid</v>
      </c>
      <c r="P517" s="21" t="str">
        <f t="shared" si="3"/>
        <v/>
      </c>
      <c r="Q517" s="21" t="str">
        <f t="shared" si="4"/>
        <v/>
      </c>
      <c r="R517" s="22">
        <f>IFERROR(__xludf.DUMMYFUNCTION("GOOGLEFINANCE(B517, ""pe"")
"),68.86)</f>
        <v>68.86</v>
      </c>
    </row>
    <row r="518">
      <c r="A518" s="9" t="s">
        <v>530</v>
      </c>
      <c r="B518" s="11" t="str">
        <f t="shared" si="1"/>
        <v>NSE:INDGN</v>
      </c>
      <c r="C518" s="12">
        <f>IFERROR(__xludf.DUMMYFUNCTION("GOOGLEFINANCE(B518,""marketcap"")/10000000"),13304.8092371)</f>
        <v>13304.80924</v>
      </c>
      <c r="D518" s="13">
        <f>IFERROR(__xludf.DUMMYFUNCTION("GOOGLEFINANCE(B518,""price"")"),556.25)</f>
        <v>556.25</v>
      </c>
      <c r="E518" s="14">
        <f>IFERROR(__xludf.DUMMYFUNCTION("GOOGLEFINANCE(B518,""Volume"")"),108211.0)</f>
        <v>108211</v>
      </c>
      <c r="F518" s="14">
        <f t="array" ref="F518">F517</f>
        <v>14</v>
      </c>
      <c r="G518" s="15" t="str">
        <f>IFERROR(__xludf.DUMMYFUNCTION("IF(E518&gt;AVERAGE(INDEX(GOOGLEFINANCE(B518,""volume"",WORKDAY(TODAY(),-$F$1),TODAY()),,2)),""Breakout"","""")"),"")</f>
        <v/>
      </c>
      <c r="H518" s="16">
        <f>IFERROR(__xludf.DUMMYFUNCTION("GOOGLEFINANCE(B518,""price"")"),556.25)</f>
        <v>556.25</v>
      </c>
      <c r="I518" s="17">
        <f>IFERROR(__xludf.DUMMYFUNCTION("AVERAGE(QUERY(SORT(GOOGLEFINANCE(B518,""price"",TODAY()-365,TODAY()),1,0),""select Col2 limit 10""))"),565.705)</f>
        <v>565.705</v>
      </c>
      <c r="J518" s="17">
        <f>IFERROR(__xludf.DUMMYFUNCTION("AVERAGE(QUERY(SORT(GOOGLEFINANCE(B518,""price"",TODAY()-365,TODAY()),1,0),""select Col2 limit 30""))"),571.0766666666665)</f>
        <v>571.0766667</v>
      </c>
      <c r="K518" s="18">
        <f>IFERROR(__xludf.DUMMYFUNCTION("AVERAGE(QUERY(SORT(GOOGLEFINANCE(B518,""price"",TODAY()-365,TODAY()),1,0),""select Col2 limit 60""))"),579.81)</f>
        <v>579.81</v>
      </c>
      <c r="L518" s="17">
        <f>IFERROR(__xludf.DUMMYFUNCTION("AVERAGE(QUERY(SORT(GOOGLEFINANCE(B518,""price"",TODAY()-365,TODAY()),1,0),""select Col2 limit 90""))"),572.4233333333335)</f>
        <v>572.4233333</v>
      </c>
      <c r="M518" s="17">
        <f>IFERROR(__xludf.DUMMYFUNCTION("AVERAGE(QUERY(SORT(GOOGLEFINANCE(B518,""price"",TODAY()-365,TODAY()),1,0),""select Col2 limit 120""))"),571.3729166666668)</f>
        <v>571.3729167</v>
      </c>
      <c r="N518" s="19">
        <f>IFERROR(__xludf.DUMMYFUNCTION("AVERAGE(QUERY(SORT(GOOGLEFINANCE(B518,""price"",TODAY()-365,TODAY()),1,0),""select Col2 limit 200""))"),599.8415)</f>
        <v>599.8415</v>
      </c>
      <c r="O518" s="20" t="str">
        <f t="shared" si="2"/>
        <v>Avoid</v>
      </c>
      <c r="P518" s="21" t="str">
        <f t="shared" si="3"/>
        <v/>
      </c>
      <c r="Q518" s="21" t="str">
        <f t="shared" si="4"/>
        <v/>
      </c>
      <c r="R518" s="22">
        <f>IFERROR(__xludf.DUMMYFUNCTION("GOOGLEFINANCE(B518, ""pe"")
"),32.46)</f>
        <v>32.46</v>
      </c>
    </row>
    <row r="519">
      <c r="A519" s="9" t="s">
        <v>531</v>
      </c>
      <c r="B519" s="11" t="str">
        <f t="shared" si="1"/>
        <v>NSE:NETWEB</v>
      </c>
      <c r="C519" s="12">
        <f>IFERROR(__xludf.DUMMYFUNCTION("GOOGLEFINANCE(B519,""marketcap"")/10000000"),10467.7090625)</f>
        <v>10467.70906</v>
      </c>
      <c r="D519" s="13">
        <f>IFERROR(__xludf.DUMMYFUNCTION("GOOGLEFINANCE(B519,""price"")"),1851.8)</f>
        <v>1851.8</v>
      </c>
      <c r="E519" s="14">
        <f>IFERROR(__xludf.DUMMYFUNCTION("GOOGLEFINANCE(B519,""Volume"")"),91335.0)</f>
        <v>91335</v>
      </c>
      <c r="F519" s="14">
        <f t="array" ref="F519">F518</f>
        <v>14</v>
      </c>
      <c r="G519" s="15" t="str">
        <f>IFERROR(__xludf.DUMMYFUNCTION("IF(E519&gt;AVERAGE(INDEX(GOOGLEFINANCE(B519,""volume"",WORKDAY(TODAY(),-$F$1),TODAY()),,2)),""Breakout"","""")"),"#N/A")</f>
        <v>#N/A</v>
      </c>
      <c r="H519" s="16">
        <f>IFERROR(__xludf.DUMMYFUNCTION("GOOGLEFINANCE(B519,""price"")"),1851.8)</f>
        <v>1851.8</v>
      </c>
      <c r="I519" s="17">
        <f>IFERROR(__xludf.DUMMYFUNCTION("AVERAGE(QUERY(SORT(GOOGLEFINANCE(B519,""price"",TODAY()-365,TODAY()),1,0),""select Col2 limit 10""))"),1940.9099999999999)</f>
        <v>1940.91</v>
      </c>
      <c r="J519" s="17">
        <f>IFERROR(__xludf.DUMMYFUNCTION("AVERAGE(QUERY(SORT(GOOGLEFINANCE(B519,""price"",TODAY()-365,TODAY()),1,0),""select Col2 limit 30""))"),1855.7699999999998)</f>
        <v>1855.77</v>
      </c>
      <c r="K519" s="18">
        <f>IFERROR(__xludf.DUMMYFUNCTION("AVERAGE(QUERY(SORT(GOOGLEFINANCE(B519,""price"",TODAY()-365,TODAY()),1,0),""select Col2 limit 60""))"),1842.3933333333339)</f>
        <v>1842.393333</v>
      </c>
      <c r="L519" s="17">
        <f>IFERROR(__xludf.DUMMYFUNCTION("AVERAGE(QUERY(SORT(GOOGLEFINANCE(B519,""price"",TODAY()-365,TODAY()),1,0),""select Col2 limit 90""))"),1728.8066666666664)</f>
        <v>1728.806667</v>
      </c>
      <c r="M519" s="17">
        <f>IFERROR(__xludf.DUMMYFUNCTION("AVERAGE(QUERY(SORT(GOOGLEFINANCE(B519,""price"",TODAY()-365,TODAY()),1,0),""select Col2 limit 120""))"),1687.1025)</f>
        <v>1687.1025</v>
      </c>
      <c r="N519" s="19">
        <f>IFERROR(__xludf.DUMMYFUNCTION("AVERAGE(QUERY(SORT(GOOGLEFINANCE(B519,""price"",TODAY()-365,TODAY()),1,0),""select Col2 limit 200""))"),2062.86)</f>
        <v>2062.86</v>
      </c>
      <c r="O519" s="20" t="str">
        <f t="shared" si="2"/>
        <v>Avoid</v>
      </c>
      <c r="P519" s="21" t="str">
        <f t="shared" si="3"/>
        <v>30 DMA</v>
      </c>
      <c r="Q519" s="21" t="str">
        <f t="shared" si="4"/>
        <v/>
      </c>
      <c r="R519" s="22">
        <f>IFERROR(__xludf.DUMMYFUNCTION("GOOGLEFINANCE(B519, ""pe"")
"),91.7)</f>
        <v>91.7</v>
      </c>
    </row>
    <row r="520">
      <c r="A520" s="9" t="s">
        <v>532</v>
      </c>
      <c r="B520" s="11" t="str">
        <f t="shared" si="1"/>
        <v>NSE:DOMS</v>
      </c>
      <c r="C520" s="12">
        <f>IFERROR(__xludf.DUMMYFUNCTION("GOOGLEFINANCE(B520,""marketcap"")/10000000"),14128.802465)</f>
        <v>14128.80247</v>
      </c>
      <c r="D520" s="13">
        <f>IFERROR(__xludf.DUMMYFUNCTION("GOOGLEFINANCE(B520,""price"")"),2335.2)</f>
        <v>2335.2</v>
      </c>
      <c r="E520" s="14">
        <f>IFERROR(__xludf.DUMMYFUNCTION("GOOGLEFINANCE(B520,""Volume"")"),15853.0)</f>
        <v>15853</v>
      </c>
      <c r="F520" s="14">
        <f t="array" ref="F520">F519</f>
        <v>14</v>
      </c>
      <c r="G520" s="15" t="str">
        <f>IFERROR(__xludf.DUMMYFUNCTION("IF(E520&gt;AVERAGE(INDEX(GOOGLEFINANCE(B520,""volume"",WORKDAY(TODAY(),-$F$1),TODAY()),,2)),""Breakout"","""")"),"")</f>
        <v/>
      </c>
      <c r="H520" s="16">
        <f>IFERROR(__xludf.DUMMYFUNCTION("GOOGLEFINANCE(B520,""price"")"),2335.2)</f>
        <v>2335.2</v>
      </c>
      <c r="I520" s="17">
        <f>IFERROR(__xludf.DUMMYFUNCTION("AVERAGE(QUERY(SORT(GOOGLEFINANCE(B520,""price"",TODAY()-365,TODAY()),1,0),""select Col2 limit 10""))"),2381.39)</f>
        <v>2381.39</v>
      </c>
      <c r="J520" s="17">
        <f>IFERROR(__xludf.DUMMYFUNCTION("AVERAGE(QUERY(SORT(GOOGLEFINANCE(B520,""price"",TODAY()-365,TODAY()),1,0),""select Col2 limit 30""))"),2425.1466666666665)</f>
        <v>2425.146667</v>
      </c>
      <c r="K520" s="18">
        <f>IFERROR(__xludf.DUMMYFUNCTION("AVERAGE(QUERY(SORT(GOOGLEFINANCE(B520,""price"",TODAY()-365,TODAY()),1,0),""select Col2 limit 60""))"),2493.2750000000005)</f>
        <v>2493.275</v>
      </c>
      <c r="L520" s="17">
        <f>IFERROR(__xludf.DUMMYFUNCTION("AVERAGE(QUERY(SORT(GOOGLEFINANCE(B520,""price"",TODAY()-365,TODAY()),1,0),""select Col2 limit 90""))"),2598.5716666666663)</f>
        <v>2598.571667</v>
      </c>
      <c r="M520" s="17">
        <f>IFERROR(__xludf.DUMMYFUNCTION("AVERAGE(QUERY(SORT(GOOGLEFINANCE(B520,""price"",TODAY()-365,TODAY()),1,0),""select Col2 limit 120""))"),2600.0116666666654)</f>
        <v>2600.011667</v>
      </c>
      <c r="N520" s="19">
        <f>IFERROR(__xludf.DUMMYFUNCTION("AVERAGE(QUERY(SORT(GOOGLEFINANCE(B520,""price"",TODAY()-365,TODAY()),1,0),""select Col2 limit 200""))"),2650.9469999999997)</f>
        <v>2650.947</v>
      </c>
      <c r="O520" s="20" t="str">
        <f t="shared" si="2"/>
        <v>Avoid</v>
      </c>
      <c r="P520" s="21" t="str">
        <f t="shared" si="3"/>
        <v/>
      </c>
      <c r="Q520" s="21" t="str">
        <f t="shared" si="4"/>
        <v/>
      </c>
      <c r="R520" s="22">
        <f>IFERROR(__xludf.DUMMYFUNCTION("GOOGLEFINANCE(B520, ""pe"")
"),70.1)</f>
        <v>70.1</v>
      </c>
    </row>
    <row r="521">
      <c r="A521" s="9" t="s">
        <v>533</v>
      </c>
      <c r="B521" s="11" t="str">
        <f t="shared" si="1"/>
        <v>NSE:INGERRAND</v>
      </c>
      <c r="C521" s="12">
        <f>IFERROR(__xludf.DUMMYFUNCTION("GOOGLEFINANCE(B521,""marketcap"")/10000000"),12391.7063371)</f>
        <v>12391.70634</v>
      </c>
      <c r="D521" s="13">
        <f>IFERROR(__xludf.DUMMYFUNCTION("GOOGLEFINANCE(B521,""price"")"),3912.0)</f>
        <v>3912</v>
      </c>
      <c r="E521" s="14">
        <f>IFERROR(__xludf.DUMMYFUNCTION("GOOGLEFINANCE(B521,""Volume"")"),5784.0)</f>
        <v>5784</v>
      </c>
      <c r="F521" s="14">
        <f t="array" ref="F521">F520</f>
        <v>14</v>
      </c>
      <c r="G521" s="15" t="str">
        <f>IFERROR(__xludf.DUMMYFUNCTION("IF(E521&gt;AVERAGE(INDEX(GOOGLEFINANCE(B521,""volume"",WORKDAY(TODAY(),-$F$1),TODAY()),,2)),""Breakout"","""")"),"")</f>
        <v/>
      </c>
      <c r="H521" s="16">
        <f>IFERROR(__xludf.DUMMYFUNCTION("GOOGLEFINANCE(B521,""price"")"),3912.0)</f>
        <v>3912</v>
      </c>
      <c r="I521" s="17">
        <f>IFERROR(__xludf.DUMMYFUNCTION("AVERAGE(QUERY(SORT(GOOGLEFINANCE(B521,""price"",TODAY()-365,TODAY()),1,0),""select Col2 limit 10""))"),4126.890000000001)</f>
        <v>4126.89</v>
      </c>
      <c r="J521" s="17">
        <f>IFERROR(__xludf.DUMMYFUNCTION("AVERAGE(QUERY(SORT(GOOGLEFINANCE(B521,""price"",TODAY()-365,TODAY()),1,0),""select Col2 limit 30""))"),3974.096666666666)</f>
        <v>3974.096667</v>
      </c>
      <c r="K521" s="18">
        <f>IFERROR(__xludf.DUMMYFUNCTION("AVERAGE(QUERY(SORT(GOOGLEFINANCE(B521,""price"",TODAY()-365,TODAY()),1,0),""select Col2 limit 60""))"),3916.236666666666)</f>
        <v>3916.236667</v>
      </c>
      <c r="L521" s="17">
        <f>IFERROR(__xludf.DUMMYFUNCTION("AVERAGE(QUERY(SORT(GOOGLEFINANCE(B521,""price"",TODAY()-365,TODAY()),1,0),""select Col2 limit 90""))"),3807.641666666668)</f>
        <v>3807.641667</v>
      </c>
      <c r="M521" s="17">
        <f>IFERROR(__xludf.DUMMYFUNCTION("AVERAGE(QUERY(SORT(GOOGLEFINANCE(B521,""price"",TODAY()-365,TODAY()),1,0),""select Col2 limit 120""))"),3709.886666666668)</f>
        <v>3709.886667</v>
      </c>
      <c r="N521" s="19">
        <f>IFERROR(__xludf.DUMMYFUNCTION("AVERAGE(QUERY(SORT(GOOGLEFINANCE(B521,""price"",TODAY()-365,TODAY()),1,0),""select Col2 limit 200""))"),3908.7929999999997)</f>
        <v>3908.793</v>
      </c>
      <c r="O521" s="20" t="str">
        <f t="shared" si="2"/>
        <v>Avoid</v>
      </c>
      <c r="P521" s="21" t="str">
        <f t="shared" si="3"/>
        <v>60 DMA</v>
      </c>
      <c r="Q521" s="21" t="str">
        <f t="shared" si="4"/>
        <v/>
      </c>
      <c r="R521" s="22">
        <f>IFERROR(__xludf.DUMMYFUNCTION("GOOGLEFINANCE(B521, ""pe"")
"),46.32)</f>
        <v>46.32</v>
      </c>
    </row>
    <row r="522">
      <c r="A522" s="9" t="s">
        <v>534</v>
      </c>
      <c r="B522" s="11" t="str">
        <f t="shared" si="1"/>
        <v>NSE:AKZOINDIA</v>
      </c>
      <c r="C522" s="12">
        <f>IFERROR(__xludf.DUMMYFUNCTION("GOOGLEFINANCE(B522,""marketcap"")/10000000"),17296.6693839)</f>
        <v>17296.66938</v>
      </c>
      <c r="D522" s="13">
        <f>IFERROR(__xludf.DUMMYFUNCTION("GOOGLEFINANCE(B522,""price"")"),3788.5)</f>
        <v>3788.5</v>
      </c>
      <c r="E522" s="14">
        <f>IFERROR(__xludf.DUMMYFUNCTION("GOOGLEFINANCE(B522,""Volume"")"),15983.0)</f>
        <v>15983</v>
      </c>
      <c r="F522" s="14">
        <f t="array" ref="F522">F521</f>
        <v>14</v>
      </c>
      <c r="G522" s="15" t="str">
        <f>IFERROR(__xludf.DUMMYFUNCTION("IF(E522&gt;AVERAGE(INDEX(GOOGLEFINANCE(B522,""volume"",WORKDAY(TODAY(),-$F$1),TODAY()),,2)),""Breakout"","""")"),"")</f>
        <v/>
      </c>
      <c r="H522" s="16">
        <f>IFERROR(__xludf.DUMMYFUNCTION("GOOGLEFINANCE(B522,""price"")"),3788.5)</f>
        <v>3788.5</v>
      </c>
      <c r="I522" s="17">
        <f>IFERROR(__xludf.DUMMYFUNCTION("AVERAGE(QUERY(SORT(GOOGLEFINANCE(B522,""price"",TODAY()-365,TODAY()),1,0),""select Col2 limit 10""))"),3691.8199999999997)</f>
        <v>3691.82</v>
      </c>
      <c r="J522" s="17">
        <f>IFERROR(__xludf.DUMMYFUNCTION("AVERAGE(QUERY(SORT(GOOGLEFINANCE(B522,""price"",TODAY()-365,TODAY()),1,0),""select Col2 limit 30""))"),3485.756666666667)</f>
        <v>3485.756667</v>
      </c>
      <c r="K522" s="18">
        <f>IFERROR(__xludf.DUMMYFUNCTION("AVERAGE(QUERY(SORT(GOOGLEFINANCE(B522,""price"",TODAY()-365,TODAY()),1,0),""select Col2 limit 60""))"),3452.536666666666)</f>
        <v>3452.536667</v>
      </c>
      <c r="L522" s="17">
        <f>IFERROR(__xludf.DUMMYFUNCTION("AVERAGE(QUERY(SORT(GOOGLEFINANCE(B522,""price"",TODAY()-365,TODAY()),1,0),""select Col2 limit 90""))"),3450.416666666666)</f>
        <v>3450.416667</v>
      </c>
      <c r="M522" s="17">
        <f>IFERROR(__xludf.DUMMYFUNCTION("AVERAGE(QUERY(SORT(GOOGLEFINANCE(B522,""price"",TODAY()-365,TODAY()),1,0),""select Col2 limit 120""))"),3432.992083333333)</f>
        <v>3432.992083</v>
      </c>
      <c r="N522" s="19">
        <f>IFERROR(__xludf.DUMMYFUNCTION("AVERAGE(QUERY(SORT(GOOGLEFINANCE(B522,""price"",TODAY()-365,TODAY()),1,0),""select Col2 limit 200""))"),3561.7179999999994)</f>
        <v>3561.718</v>
      </c>
      <c r="O522" s="20" t="str">
        <f t="shared" si="2"/>
        <v>Avoid</v>
      </c>
      <c r="P522" s="21" t="str">
        <f t="shared" si="3"/>
        <v/>
      </c>
      <c r="Q522" s="21" t="str">
        <f t="shared" si="4"/>
        <v/>
      </c>
      <c r="R522" s="22">
        <f>IFERROR(__xludf.DUMMYFUNCTION("GOOGLEFINANCE(B522, ""pe"")
"),40.27)</f>
        <v>40.27</v>
      </c>
    </row>
    <row r="523">
      <c r="A523" s="9" t="s">
        <v>535</v>
      </c>
      <c r="B523" s="11" t="str">
        <f t="shared" si="1"/>
        <v>NSE:WESTLIFE</v>
      </c>
      <c r="C523" s="12">
        <f>IFERROR(__xludf.DUMMYFUNCTION("GOOGLEFINANCE(B523,""marketcap"")/10000000"),11810.0124)</f>
        <v>11810.0124</v>
      </c>
      <c r="D523" s="13">
        <f>IFERROR(__xludf.DUMMYFUNCTION("GOOGLEFINANCE(B523,""price"")"),760.6)</f>
        <v>760.6</v>
      </c>
      <c r="E523" s="14">
        <f>IFERROR(__xludf.DUMMYFUNCTION("GOOGLEFINANCE(B523,""Volume"")"),46415.0)</f>
        <v>46415</v>
      </c>
      <c r="F523" s="14">
        <f t="array" ref="F523">F522</f>
        <v>14</v>
      </c>
      <c r="G523" s="15" t="str">
        <f>IFERROR(__xludf.DUMMYFUNCTION("IF(E523&gt;AVERAGE(INDEX(GOOGLEFINANCE(B523,""volume"",WORKDAY(TODAY(),-$F$1),TODAY()),,2)),""Breakout"","""")"),"")</f>
        <v/>
      </c>
      <c r="H523" s="16">
        <f>IFERROR(__xludf.DUMMYFUNCTION("GOOGLEFINANCE(B523,""price"")"),760.6)</f>
        <v>760.6</v>
      </c>
      <c r="I523" s="17">
        <f>IFERROR(__xludf.DUMMYFUNCTION("AVERAGE(QUERY(SORT(GOOGLEFINANCE(B523,""price"",TODAY()-365,TODAY()),1,0),""select Col2 limit 10""))"),773.645)</f>
        <v>773.645</v>
      </c>
      <c r="J523" s="17">
        <f>IFERROR(__xludf.DUMMYFUNCTION("AVERAGE(QUERY(SORT(GOOGLEFINANCE(B523,""price"",TODAY()-365,TODAY()),1,0),""select Col2 limit 30""))"),755.4900000000001)</f>
        <v>755.49</v>
      </c>
      <c r="K523" s="18">
        <f>IFERROR(__xludf.DUMMYFUNCTION("AVERAGE(QUERY(SORT(GOOGLEFINANCE(B523,""price"",TODAY()-365,TODAY()),1,0),""select Col2 limit 60""))"),722.5575000000002)</f>
        <v>722.5575</v>
      </c>
      <c r="L523" s="17">
        <f>IFERROR(__xludf.DUMMYFUNCTION("AVERAGE(QUERY(SORT(GOOGLEFINANCE(B523,""price"",TODAY()-365,TODAY()),1,0),""select Col2 limit 90""))"),717.3038888888891)</f>
        <v>717.3038889</v>
      </c>
      <c r="M523" s="17">
        <f>IFERROR(__xludf.DUMMYFUNCTION("AVERAGE(QUERY(SORT(GOOGLEFINANCE(B523,""price"",TODAY()-365,TODAY()),1,0),""select Col2 limit 120""))"),724.7433333333333)</f>
        <v>724.7433333</v>
      </c>
      <c r="N523" s="19">
        <f>IFERROR(__xludf.DUMMYFUNCTION("AVERAGE(QUERY(SORT(GOOGLEFINANCE(B523,""price"",TODAY()-365,TODAY()),1,0),""select Col2 limit 200""))"),751.5630000000003)</f>
        <v>751.563</v>
      </c>
      <c r="O523" s="20" t="str">
        <f t="shared" si="2"/>
        <v>Avoid</v>
      </c>
      <c r="P523" s="21" t="str">
        <f t="shared" si="3"/>
        <v/>
      </c>
      <c r="Q523" s="21" t="str">
        <f t="shared" si="4"/>
        <v/>
      </c>
      <c r="R523" s="22">
        <f>IFERROR(__xludf.DUMMYFUNCTION("GOOGLEFINANCE(B523, ""pe"")
"),1170.46)</f>
        <v>1170.46</v>
      </c>
    </row>
    <row r="524">
      <c r="A524" s="9" t="s">
        <v>536</v>
      </c>
      <c r="B524" s="11" t="str">
        <f t="shared" si="1"/>
        <v>NSE:ZEEL</v>
      </c>
      <c r="C524" s="12">
        <f>IFERROR(__xludf.DUMMYFUNCTION("GOOGLEFINANCE(B524,""marketcap"")/10000000"),11593.4736928)</f>
        <v>11593.47369</v>
      </c>
      <c r="D524" s="13">
        <f>IFERROR(__xludf.DUMMYFUNCTION("GOOGLEFINANCE(B524,""price"")"),120.5)</f>
        <v>120.5</v>
      </c>
      <c r="E524" s="14">
        <f>IFERROR(__xludf.DUMMYFUNCTION("GOOGLEFINANCE(B524,""Volume"")"),6670273.0)</f>
        <v>6670273</v>
      </c>
      <c r="F524" s="14">
        <f t="array" ref="F524">F523</f>
        <v>14</v>
      </c>
      <c r="G524" s="15" t="str">
        <f>IFERROR(__xludf.DUMMYFUNCTION("IF(E524&gt;AVERAGE(INDEX(GOOGLEFINANCE(B524,""volume"",WORKDAY(TODAY(),-$F$1),TODAY()),,2)),""Breakout"","""")"),"")</f>
        <v/>
      </c>
      <c r="H524" s="16">
        <f>IFERROR(__xludf.DUMMYFUNCTION("GOOGLEFINANCE(B524,""price"")"),120.5)</f>
        <v>120.5</v>
      </c>
      <c r="I524" s="17">
        <f>IFERROR(__xludf.DUMMYFUNCTION("AVERAGE(QUERY(SORT(GOOGLEFINANCE(B524,""price"",TODAY()-365,TODAY()),1,0),""select Col2 limit 10""))"),137.15800000000002)</f>
        <v>137.158</v>
      </c>
      <c r="J524" s="17">
        <f>IFERROR(__xludf.DUMMYFUNCTION("AVERAGE(QUERY(SORT(GOOGLEFINANCE(B524,""price"",TODAY()-365,TODAY()),1,0),""select Col2 limit 30""))"),140.04366666666667)</f>
        <v>140.0436667</v>
      </c>
      <c r="K524" s="18">
        <f>IFERROR(__xludf.DUMMYFUNCTION("AVERAGE(QUERY(SORT(GOOGLEFINANCE(B524,""price"",TODAY()-365,TODAY()),1,0),""select Col2 limit 60""))"),132.48766666666668)</f>
        <v>132.4876667</v>
      </c>
      <c r="L524" s="17">
        <f>IFERROR(__xludf.DUMMYFUNCTION("AVERAGE(QUERY(SORT(GOOGLEFINANCE(B524,""price"",TODAY()-365,TODAY()),1,0),""select Col2 limit 90""))"),123.70777777777785)</f>
        <v>123.7077778</v>
      </c>
      <c r="M524" s="17">
        <f>IFERROR(__xludf.DUMMYFUNCTION("AVERAGE(QUERY(SORT(GOOGLEFINANCE(B524,""price"",TODAY()-365,TODAY()),1,0),""select Col2 limit 120""))"),118.11450000000005)</f>
        <v>118.1145</v>
      </c>
      <c r="N524" s="19">
        <f>IFERROR(__xludf.DUMMYFUNCTION("AVERAGE(QUERY(SORT(GOOGLEFINANCE(B524,""price"",TODAY()-365,TODAY()),1,0),""select Col2 limit 200""))"),121.11725)</f>
        <v>121.11725</v>
      </c>
      <c r="O524" s="20" t="str">
        <f t="shared" si="2"/>
        <v>Avoid</v>
      </c>
      <c r="P524" s="21" t="str">
        <f t="shared" si="3"/>
        <v>200 DMA</v>
      </c>
      <c r="Q524" s="21" t="str">
        <f t="shared" si="4"/>
        <v/>
      </c>
      <c r="R524" s="22">
        <f>IFERROR(__xludf.DUMMYFUNCTION("GOOGLEFINANCE(B524, ""pe"")
"),16.44)</f>
        <v>16.44</v>
      </c>
    </row>
    <row r="525">
      <c r="A525" s="9" t="s">
        <v>537</v>
      </c>
      <c r="B525" s="11" t="str">
        <f t="shared" si="1"/>
        <v>NSE:TANLA</v>
      </c>
      <c r="C525" s="12">
        <f>IFERROR(__xludf.DUMMYFUNCTION("GOOGLEFINANCE(B525,""marketcap"")/10000000"),8441.9530941)</f>
        <v>8441.953094</v>
      </c>
      <c r="D525" s="13">
        <f>IFERROR(__xludf.DUMMYFUNCTION("GOOGLEFINANCE(B525,""price"")"),629.9)</f>
        <v>629.9</v>
      </c>
      <c r="E525" s="14">
        <f>IFERROR(__xludf.DUMMYFUNCTION("GOOGLEFINANCE(B525,""Volume"")"),377750.0)</f>
        <v>377750</v>
      </c>
      <c r="F525" s="14">
        <f t="array" ref="F525">F524</f>
        <v>14</v>
      </c>
      <c r="G525" s="15" t="str">
        <f>IFERROR(__xludf.DUMMYFUNCTION("IF(E525&gt;AVERAGE(INDEX(GOOGLEFINANCE(B525,""volume"",WORKDAY(TODAY(),-$F$1),TODAY()),,2)),""Breakout"","""")"),"")</f>
        <v/>
      </c>
      <c r="H525" s="16">
        <f>IFERROR(__xludf.DUMMYFUNCTION("GOOGLEFINANCE(B525,""price"")"),629.9)</f>
        <v>629.9</v>
      </c>
      <c r="I525" s="17">
        <f>IFERROR(__xludf.DUMMYFUNCTION("AVERAGE(QUERY(SORT(GOOGLEFINANCE(B525,""price"",TODAY()-365,TODAY()),1,0),""select Col2 limit 10""))"),653.4050000000001)</f>
        <v>653.405</v>
      </c>
      <c r="J525" s="17">
        <f>IFERROR(__xludf.DUMMYFUNCTION("AVERAGE(QUERY(SORT(GOOGLEFINANCE(B525,""price"",TODAY()-365,TODAY()),1,0),""select Col2 limit 30""))"),647.7633333333334)</f>
        <v>647.7633333</v>
      </c>
      <c r="K525" s="18">
        <f>IFERROR(__xludf.DUMMYFUNCTION("AVERAGE(QUERY(SORT(GOOGLEFINANCE(B525,""price"",TODAY()-365,TODAY()),1,0),""select Col2 limit 60""))"),599.1966666666666)</f>
        <v>599.1966667</v>
      </c>
      <c r="L525" s="17">
        <f>IFERROR(__xludf.DUMMYFUNCTION("AVERAGE(QUERY(SORT(GOOGLEFINANCE(B525,""price"",TODAY()-365,TODAY()),1,0),""select Col2 limit 90""))"),557.0922222222223)</f>
        <v>557.0922222</v>
      </c>
      <c r="M525" s="17">
        <f>IFERROR(__xludf.DUMMYFUNCTION("AVERAGE(QUERY(SORT(GOOGLEFINANCE(B525,""price"",TODAY()-365,TODAY()),1,0),""select Col2 limit 120""))"),547.6545833333334)</f>
        <v>547.6545833</v>
      </c>
      <c r="N525" s="19">
        <f>IFERROR(__xludf.DUMMYFUNCTION("AVERAGE(QUERY(SORT(GOOGLEFINANCE(B525,""price"",TODAY()-365,TODAY()),1,0),""select Col2 limit 200""))"),624.7785)</f>
        <v>624.7785</v>
      </c>
      <c r="O525" s="20" t="str">
        <f t="shared" si="2"/>
        <v>Avoid</v>
      </c>
      <c r="P525" s="21" t="str">
        <f t="shared" si="3"/>
        <v/>
      </c>
      <c r="Q525" s="21" t="str">
        <f t="shared" si="4"/>
        <v/>
      </c>
      <c r="R525" s="22">
        <f>IFERROR(__xludf.DUMMYFUNCTION("GOOGLEFINANCE(B525, ""pe"")
"),17.48)</f>
        <v>17.48</v>
      </c>
    </row>
    <row r="526">
      <c r="A526" s="9" t="s">
        <v>538</v>
      </c>
      <c r="B526" s="11" t="str">
        <f t="shared" si="1"/>
        <v>NSE:PNCINFRA</v>
      </c>
      <c r="C526" s="12">
        <f>IFERROR(__xludf.DUMMYFUNCTION("GOOGLEFINANCE(B526,""marketcap"")/10000000"),7766.7212525)</f>
        <v>7766.721253</v>
      </c>
      <c r="D526" s="13">
        <f>IFERROR(__xludf.DUMMYFUNCTION("GOOGLEFINANCE(B526,""price"")"),302.55)</f>
        <v>302.55</v>
      </c>
      <c r="E526" s="14">
        <f>IFERROR(__xludf.DUMMYFUNCTION("GOOGLEFINANCE(B526,""Volume"")"),91822.0)</f>
        <v>91822</v>
      </c>
      <c r="F526" s="14">
        <f t="array" ref="F526">F525</f>
        <v>14</v>
      </c>
      <c r="G526" s="15" t="str">
        <f>IFERROR(__xludf.DUMMYFUNCTION("IF(E526&gt;AVERAGE(INDEX(GOOGLEFINANCE(B526,""volume"",WORKDAY(TODAY(),-$F$1),TODAY()),,2)),""Breakout"","""")"),"")</f>
        <v/>
      </c>
      <c r="H526" s="16">
        <f>IFERROR(__xludf.DUMMYFUNCTION("GOOGLEFINANCE(B526,""price"")"),302.55)</f>
        <v>302.55</v>
      </c>
      <c r="I526" s="17">
        <f>IFERROR(__xludf.DUMMYFUNCTION("AVERAGE(QUERY(SORT(GOOGLEFINANCE(B526,""price"",TODAY()-365,TODAY()),1,0),""select Col2 limit 10""))"),311.77)</f>
        <v>311.77</v>
      </c>
      <c r="J526" s="17">
        <f>IFERROR(__xludf.DUMMYFUNCTION("AVERAGE(QUERY(SORT(GOOGLEFINANCE(B526,""price"",TODAY()-365,TODAY()),1,0),""select Col2 limit 30""))"),305.64666666666665)</f>
        <v>305.6466667</v>
      </c>
      <c r="K526" s="18">
        <f>IFERROR(__xludf.DUMMYFUNCTION("AVERAGE(QUERY(SORT(GOOGLEFINANCE(B526,""price"",TODAY()-365,TODAY()),1,0),""select Col2 limit 60""))"),295.45250000000004)</f>
        <v>295.4525</v>
      </c>
      <c r="L526" s="17">
        <f>IFERROR(__xludf.DUMMYFUNCTION("AVERAGE(QUERY(SORT(GOOGLEFINANCE(B526,""price"",TODAY()-365,TODAY()),1,0),""select Col2 limit 90""))"),286.4094444444444)</f>
        <v>286.4094444</v>
      </c>
      <c r="M526" s="17">
        <f>IFERROR(__xludf.DUMMYFUNCTION("AVERAGE(QUERY(SORT(GOOGLEFINANCE(B526,""price"",TODAY()-365,TODAY()),1,0),""select Col2 limit 120""))"),283.9108333333333)</f>
        <v>283.9108333</v>
      </c>
      <c r="N526" s="19">
        <f>IFERROR(__xludf.DUMMYFUNCTION("AVERAGE(QUERY(SORT(GOOGLEFINANCE(B526,""price"",TODAY()-365,TODAY()),1,0),""select Col2 limit 200""))"),303.34)</f>
        <v>303.34</v>
      </c>
      <c r="O526" s="20" t="str">
        <f t="shared" si="2"/>
        <v>Avoid</v>
      </c>
      <c r="P526" s="21" t="str">
        <f t="shared" si="3"/>
        <v>200 DMA</v>
      </c>
      <c r="Q526" s="21" t="str">
        <f t="shared" si="4"/>
        <v/>
      </c>
      <c r="R526" s="22">
        <f>IFERROR(__xludf.DUMMYFUNCTION("GOOGLEFINANCE(B526, ""pe"")
"),9.53)</f>
        <v>9.53</v>
      </c>
    </row>
    <row r="527">
      <c r="A527" s="9" t="s">
        <v>539</v>
      </c>
      <c r="B527" s="11" t="str">
        <f t="shared" si="1"/>
        <v>NSE:MMTC</v>
      </c>
      <c r="C527" s="12">
        <f>IFERROR(__xludf.DUMMYFUNCTION("GOOGLEFINANCE(B527,""marketcap"")/10000000"),9906.0001373)</f>
        <v>9906.000137</v>
      </c>
      <c r="D527" s="13">
        <f>IFERROR(__xludf.DUMMYFUNCTION("GOOGLEFINANCE(B527,""price"")"),66.0)</f>
        <v>66</v>
      </c>
      <c r="E527" s="14">
        <f>IFERROR(__xludf.DUMMYFUNCTION("GOOGLEFINANCE(B527,""Volume"")"),329381.0)</f>
        <v>329381</v>
      </c>
      <c r="F527" s="14">
        <f t="array" ref="F527">F526</f>
        <v>14</v>
      </c>
      <c r="G527" s="15" t="str">
        <f>IFERROR(__xludf.DUMMYFUNCTION("IF(E527&gt;AVERAGE(INDEX(GOOGLEFINANCE(B527,""volume"",WORKDAY(TODAY(),-$F$1),TODAY()),,2)),""Breakout"","""")"),"")</f>
        <v/>
      </c>
      <c r="H527" s="16">
        <f>IFERROR(__xludf.DUMMYFUNCTION("GOOGLEFINANCE(B527,""price"")"),66.0)</f>
        <v>66</v>
      </c>
      <c r="I527" s="17">
        <f>IFERROR(__xludf.DUMMYFUNCTION("AVERAGE(QUERY(SORT(GOOGLEFINANCE(B527,""price"",TODAY()-365,TODAY()),1,0),""select Col2 limit 10""))"),68.72999999999999)</f>
        <v>68.73</v>
      </c>
      <c r="J527" s="17">
        <f>IFERROR(__xludf.DUMMYFUNCTION("AVERAGE(QUERY(SORT(GOOGLEFINANCE(B527,""price"",TODAY()-365,TODAY()),1,0),""select Col2 limit 30""))"),69.49366666666666)</f>
        <v>69.49366667</v>
      </c>
      <c r="K527" s="18">
        <f>IFERROR(__xludf.DUMMYFUNCTION("AVERAGE(QUERY(SORT(GOOGLEFINANCE(B527,""price"",TODAY()-365,TODAY()),1,0),""select Col2 limit 60""))"),67.75050000000002)</f>
        <v>67.7505</v>
      </c>
      <c r="L527" s="17">
        <f>IFERROR(__xludf.DUMMYFUNCTION("AVERAGE(QUERY(SORT(GOOGLEFINANCE(B527,""price"",TODAY()-365,TODAY()),1,0),""select Col2 limit 90""))"),63.13911111111111)</f>
        <v>63.13911111</v>
      </c>
      <c r="M527" s="17">
        <f>IFERROR(__xludf.DUMMYFUNCTION("AVERAGE(QUERY(SORT(GOOGLEFINANCE(B527,""price"",TODAY()-365,TODAY()),1,0),""select Col2 limit 120""))"),61.98216666666666)</f>
        <v>61.98216667</v>
      </c>
      <c r="N527" s="19">
        <f>IFERROR(__xludf.DUMMYFUNCTION("AVERAGE(QUERY(SORT(GOOGLEFINANCE(B527,""price"",TODAY()-365,TODAY()),1,0),""select Col2 limit 200""))"),67.85814999999998)</f>
        <v>67.85815</v>
      </c>
      <c r="O527" s="20" t="str">
        <f t="shared" si="2"/>
        <v>Avoid</v>
      </c>
      <c r="P527" s="21" t="str">
        <f t="shared" si="3"/>
        <v/>
      </c>
      <c r="Q527" s="21" t="str">
        <f t="shared" si="4"/>
        <v/>
      </c>
      <c r="R527" s="22">
        <f>IFERROR(__xludf.DUMMYFUNCTION("GOOGLEFINANCE(B527, ""pe"")
"),113.79)</f>
        <v>113.79</v>
      </c>
    </row>
    <row r="528">
      <c r="A528" s="9" t="s">
        <v>540</v>
      </c>
      <c r="B528" s="11" t="str">
        <f t="shared" si="1"/>
        <v>NSE:MAPMYINDIA</v>
      </c>
      <c r="C528" s="12">
        <f>IFERROR(__xludf.DUMMYFUNCTION("GOOGLEFINANCE(B528,""marketcap"")/10000000"),10067.71295)</f>
        <v>10067.71295</v>
      </c>
      <c r="D528" s="13">
        <f>IFERROR(__xludf.DUMMYFUNCTION("GOOGLEFINANCE(B528,""price"")"),1849.8)</f>
        <v>1849.8</v>
      </c>
      <c r="E528" s="14">
        <f>IFERROR(__xludf.DUMMYFUNCTION("GOOGLEFINANCE(B528,""Volume"")"),69488.0)</f>
        <v>69488</v>
      </c>
      <c r="F528" s="14">
        <f t="array" ref="F528">F527</f>
        <v>14</v>
      </c>
      <c r="G528" s="15" t="str">
        <f>IFERROR(__xludf.DUMMYFUNCTION("IF(E528&gt;AVERAGE(INDEX(GOOGLEFINANCE(B528,""volume"",WORKDAY(TODAY(),-$F$1),TODAY()),,2)),""Breakout"","""")"),"")</f>
        <v/>
      </c>
      <c r="H528" s="16">
        <f>IFERROR(__xludf.DUMMYFUNCTION("GOOGLEFINANCE(B528,""price"")"),1849.8)</f>
        <v>1849.8</v>
      </c>
      <c r="I528" s="17">
        <f>IFERROR(__xludf.DUMMYFUNCTION("AVERAGE(QUERY(SORT(GOOGLEFINANCE(B528,""price"",TODAY()-365,TODAY()),1,0),""select Col2 limit 10""))"),1819.5700000000002)</f>
        <v>1819.57</v>
      </c>
      <c r="J528" s="17">
        <f>IFERROR(__xludf.DUMMYFUNCTION("AVERAGE(QUERY(SORT(GOOGLEFINANCE(B528,""price"",TODAY()-365,TODAY()),1,0),""select Col2 limit 30""))"),1778.956666666666)</f>
        <v>1778.956667</v>
      </c>
      <c r="K528" s="18">
        <f>IFERROR(__xludf.DUMMYFUNCTION("AVERAGE(QUERY(SORT(GOOGLEFINANCE(B528,""price"",TODAY()-365,TODAY()),1,0),""select Col2 limit 60""))"),1859.1616666666666)</f>
        <v>1859.161667</v>
      </c>
      <c r="L528" s="17">
        <f>IFERROR(__xludf.DUMMYFUNCTION("AVERAGE(QUERY(SORT(GOOGLEFINANCE(B528,""price"",TODAY()-365,TODAY()),1,0),""select Col2 limit 90""))"),1813.2372222222223)</f>
        <v>1813.237222</v>
      </c>
      <c r="M528" s="17">
        <f>IFERROR(__xludf.DUMMYFUNCTION("AVERAGE(QUERY(SORT(GOOGLEFINANCE(B528,""price"",TODAY()-365,TODAY()),1,0),""select Col2 limit 120""))"),1778.162499999999)</f>
        <v>1778.1625</v>
      </c>
      <c r="N528" s="19">
        <f>IFERROR(__xludf.DUMMYFUNCTION("AVERAGE(QUERY(SORT(GOOGLEFINANCE(B528,""price"",TODAY()-365,TODAY()),1,0),""select Col2 limit 200""))"),1787.5914999999993)</f>
        <v>1787.5915</v>
      </c>
      <c r="O528" s="20" t="str">
        <f t="shared" si="2"/>
        <v>Avoid</v>
      </c>
      <c r="P528" s="21" t="str">
        <f t="shared" si="3"/>
        <v>60 DMA</v>
      </c>
      <c r="Q528" s="21" t="str">
        <f t="shared" si="4"/>
        <v/>
      </c>
      <c r="R528" s="22">
        <f>IFERROR(__xludf.DUMMYFUNCTION("GOOGLEFINANCE(B528, ""pe"")
"),69.11)</f>
        <v>69.11</v>
      </c>
    </row>
    <row r="529">
      <c r="A529" s="9" t="s">
        <v>541</v>
      </c>
      <c r="B529" s="11" t="str">
        <f t="shared" si="1"/>
        <v>NSE:PRAJIND</v>
      </c>
      <c r="C529" s="12">
        <f>IFERROR(__xludf.DUMMYFUNCTION("GOOGLEFINANCE(B529,""marketcap"")/10000000"),8762.3659343)</f>
        <v>8762.365934</v>
      </c>
      <c r="D529" s="13">
        <f>IFERROR(__xludf.DUMMYFUNCTION("GOOGLEFINANCE(B529,""price"")"),477.3)</f>
        <v>477.3</v>
      </c>
      <c r="E529" s="14">
        <f>IFERROR(__xludf.DUMMYFUNCTION("GOOGLEFINANCE(B529,""Volume"")"),210100.0)</f>
        <v>210100</v>
      </c>
      <c r="F529" s="14">
        <f t="array" ref="F529">F528</f>
        <v>14</v>
      </c>
      <c r="G529" s="15" t="str">
        <f>IFERROR(__xludf.DUMMYFUNCTION("IF(E529&gt;AVERAGE(INDEX(GOOGLEFINANCE(B529,""volume"",WORKDAY(TODAY(),-$F$1),TODAY()),,2)),""Breakout"","""")"),"")</f>
        <v/>
      </c>
      <c r="H529" s="16">
        <f>IFERROR(__xludf.DUMMYFUNCTION("GOOGLEFINANCE(B529,""price"")"),477.3)</f>
        <v>477.3</v>
      </c>
      <c r="I529" s="17">
        <f>IFERROR(__xludf.DUMMYFUNCTION("AVERAGE(QUERY(SORT(GOOGLEFINANCE(B529,""price"",TODAY()-365,TODAY()),1,0),""select Col2 limit 10""))"),494.425)</f>
        <v>494.425</v>
      </c>
      <c r="J529" s="17">
        <f>IFERROR(__xludf.DUMMYFUNCTION("AVERAGE(QUERY(SORT(GOOGLEFINANCE(B529,""price"",TODAY()-365,TODAY()),1,0),""select Col2 limit 30""))"),495.6683333333334)</f>
        <v>495.6683333</v>
      </c>
      <c r="K529" s="18">
        <f>IFERROR(__xludf.DUMMYFUNCTION("AVERAGE(QUERY(SORT(GOOGLEFINANCE(B529,""price"",TODAY()-365,TODAY()),1,0),""select Col2 limit 60""))"),491.71416666666676)</f>
        <v>491.7141667</v>
      </c>
      <c r="L529" s="17">
        <f>IFERROR(__xludf.DUMMYFUNCTION("AVERAGE(QUERY(SORT(GOOGLEFINANCE(B529,""price"",TODAY()-365,TODAY()),1,0),""select Col2 limit 90""))"),502.8477777777777)</f>
        <v>502.8477778</v>
      </c>
      <c r="M529" s="17">
        <f>IFERROR(__xludf.DUMMYFUNCTION("AVERAGE(QUERY(SORT(GOOGLEFINANCE(B529,""price"",TODAY()-365,TODAY()),1,0),""select Col2 limit 120""))"),515.9970833333333)</f>
        <v>515.9970833</v>
      </c>
      <c r="N529" s="19">
        <f>IFERROR(__xludf.DUMMYFUNCTION("AVERAGE(QUERY(SORT(GOOGLEFINANCE(B529,""price"",TODAY()-365,TODAY()),1,0),""select Col2 limit 200""))"),616.6390000000001)</f>
        <v>616.639</v>
      </c>
      <c r="O529" s="20" t="str">
        <f t="shared" si="2"/>
        <v>Avoid</v>
      </c>
      <c r="P529" s="21" t="str">
        <f t="shared" si="3"/>
        <v/>
      </c>
      <c r="Q529" s="21" t="str">
        <f t="shared" si="4"/>
        <v/>
      </c>
      <c r="R529" s="22">
        <f>IFERROR(__xludf.DUMMYFUNCTION("GOOGLEFINANCE(B529, ""pe"")
"),40.01)</f>
        <v>40.01</v>
      </c>
    </row>
    <row r="530">
      <c r="A530" s="9" t="s">
        <v>542</v>
      </c>
      <c r="B530" s="11" t="str">
        <f t="shared" si="1"/>
        <v>NSE:GMDCLTD</v>
      </c>
      <c r="C530" s="12">
        <f>IFERROR(__xludf.DUMMYFUNCTION("GOOGLEFINANCE(B530,""marketcap"")/10000000"),13286.0396118)</f>
        <v>13286.03961</v>
      </c>
      <c r="D530" s="13">
        <f>IFERROR(__xludf.DUMMYFUNCTION("GOOGLEFINANCE(B530,""price"")"),417.35)</f>
        <v>417.35</v>
      </c>
      <c r="E530" s="14">
        <f>IFERROR(__xludf.DUMMYFUNCTION("GOOGLEFINANCE(B530,""Volume"")"),3396232.0)</f>
        <v>3396232</v>
      </c>
      <c r="F530" s="14">
        <f t="array" ref="F530">F529</f>
        <v>14</v>
      </c>
      <c r="G530" s="15" t="str">
        <f>IFERROR(__xludf.DUMMYFUNCTION("IF(E530&gt;AVERAGE(INDEX(GOOGLEFINANCE(B530,""volume"",WORKDAY(TODAY(),-$F$1),TODAY()),,2)),""Breakout"","""")"),"")</f>
        <v/>
      </c>
      <c r="H530" s="16">
        <f>IFERROR(__xludf.DUMMYFUNCTION("GOOGLEFINANCE(B530,""price"")"),417.35)</f>
        <v>417.35</v>
      </c>
      <c r="I530" s="17">
        <f>IFERROR(__xludf.DUMMYFUNCTION("AVERAGE(QUERY(SORT(GOOGLEFINANCE(B530,""price"",TODAY()-365,TODAY()),1,0),""select Col2 limit 10""))"),418.95500000000004)</f>
        <v>418.955</v>
      </c>
      <c r="J530" s="17">
        <f>IFERROR(__xludf.DUMMYFUNCTION("AVERAGE(QUERY(SORT(GOOGLEFINANCE(B530,""price"",TODAY()-365,TODAY()),1,0),""select Col2 limit 30""))"),406.3483333333333)</f>
        <v>406.3483333</v>
      </c>
      <c r="K530" s="18">
        <f>IFERROR(__xludf.DUMMYFUNCTION("AVERAGE(QUERY(SORT(GOOGLEFINANCE(B530,""price"",TODAY()-365,TODAY()),1,0),""select Col2 limit 60""))"),380.3516666666667)</f>
        <v>380.3516667</v>
      </c>
      <c r="L530" s="17">
        <f>IFERROR(__xludf.DUMMYFUNCTION("AVERAGE(QUERY(SORT(GOOGLEFINANCE(B530,""price"",TODAY()-365,TODAY()),1,0),""select Col2 limit 90""))"),349.08899999999994)</f>
        <v>349.089</v>
      </c>
      <c r="M530" s="17">
        <f>IFERROR(__xludf.DUMMYFUNCTION("AVERAGE(QUERY(SORT(GOOGLEFINANCE(B530,""price"",TODAY()-365,TODAY()),1,0),""select Col2 limit 120""))"),330.0709166666668)</f>
        <v>330.0709167</v>
      </c>
      <c r="N530" s="19">
        <f>IFERROR(__xludf.DUMMYFUNCTION("AVERAGE(QUERY(SORT(GOOGLEFINANCE(B530,""price"",TODAY()-365,TODAY()),1,0),""select Col2 limit 200""))"),332.56480000000016)</f>
        <v>332.5648</v>
      </c>
      <c r="O530" s="20" t="str">
        <f t="shared" si="2"/>
        <v>Avoid</v>
      </c>
      <c r="P530" s="21" t="str">
        <f t="shared" si="3"/>
        <v>10 DMA</v>
      </c>
      <c r="Q530" s="21" t="str">
        <f t="shared" si="4"/>
        <v/>
      </c>
      <c r="R530" s="22">
        <f>IFERROR(__xludf.DUMMYFUNCTION("GOOGLEFINANCE(B530, ""pe"")
"),19.99)</f>
        <v>19.99</v>
      </c>
    </row>
    <row r="531">
      <c r="A531" s="9" t="s">
        <v>543</v>
      </c>
      <c r="B531" s="11" t="str">
        <f t="shared" si="1"/>
        <v>NSE:UTIAMC</v>
      </c>
      <c r="C531" s="12">
        <f>IFERROR(__xludf.DUMMYFUNCTION("GOOGLEFINANCE(B531,""marketcap"")/10000000"),17630.9403825)</f>
        <v>17630.94038</v>
      </c>
      <c r="D531" s="13">
        <f>IFERROR(__xludf.DUMMYFUNCTION("GOOGLEFINANCE(B531,""price"")"),1372.1)</f>
        <v>1372.1</v>
      </c>
      <c r="E531" s="14">
        <f>IFERROR(__xludf.DUMMYFUNCTION("GOOGLEFINANCE(B531,""Volume"")"),97859.0)</f>
        <v>97859</v>
      </c>
      <c r="F531" s="14">
        <f t="array" ref="F531">F530</f>
        <v>14</v>
      </c>
      <c r="G531" s="15" t="str">
        <f>IFERROR(__xludf.DUMMYFUNCTION("IF(E531&gt;AVERAGE(INDEX(GOOGLEFINANCE(B531,""volume"",WORKDAY(TODAY(),-$F$1),TODAY()),,2)),""Breakout"","""")"),"")</f>
        <v/>
      </c>
      <c r="H531" s="16">
        <f>IFERROR(__xludf.DUMMYFUNCTION("GOOGLEFINANCE(B531,""price"")"),1372.1)</f>
        <v>1372.1</v>
      </c>
      <c r="I531" s="17">
        <f>IFERROR(__xludf.DUMMYFUNCTION("AVERAGE(QUERY(SORT(GOOGLEFINANCE(B531,""price"",TODAY()-365,TODAY()),1,0),""select Col2 limit 10""))"),1431.7800000000002)</f>
        <v>1431.78</v>
      </c>
      <c r="J531" s="17">
        <f>IFERROR(__xludf.DUMMYFUNCTION("AVERAGE(QUERY(SORT(GOOGLEFINANCE(B531,""price"",TODAY()-365,TODAY()),1,0),""select Col2 limit 30""))"),1337.9033333333332)</f>
        <v>1337.903333</v>
      </c>
      <c r="K531" s="18">
        <f>IFERROR(__xludf.DUMMYFUNCTION("AVERAGE(QUERY(SORT(GOOGLEFINANCE(B531,""price"",TODAY()-365,TODAY()),1,0),""select Col2 limit 60""))"),1242.993333333333)</f>
        <v>1242.993333</v>
      </c>
      <c r="L531" s="17">
        <f>IFERROR(__xludf.DUMMYFUNCTION("AVERAGE(QUERY(SORT(GOOGLEFINANCE(B531,""price"",TODAY()-365,TODAY()),1,0),""select Col2 limit 90""))"),1176.6444444444442)</f>
        <v>1176.644444</v>
      </c>
      <c r="M531" s="17">
        <f>IFERROR(__xludf.DUMMYFUNCTION("AVERAGE(QUERY(SORT(GOOGLEFINANCE(B531,""price"",TODAY()-365,TODAY()),1,0),""select Col2 limit 120""))"),1128.519583333333)</f>
        <v>1128.519583</v>
      </c>
      <c r="N531" s="19">
        <f>IFERROR(__xludf.DUMMYFUNCTION("AVERAGE(QUERY(SORT(GOOGLEFINANCE(B531,""price"",TODAY()-365,TODAY()),1,0),""select Col2 limit 200""))"),1186.1702499999997)</f>
        <v>1186.17025</v>
      </c>
      <c r="O531" s="20" t="str">
        <f t="shared" si="2"/>
        <v>Avoid</v>
      </c>
      <c r="P531" s="21" t="str">
        <f t="shared" si="3"/>
        <v/>
      </c>
      <c r="Q531" s="21" t="str">
        <f t="shared" si="4"/>
        <v/>
      </c>
      <c r="R531" s="22">
        <f>IFERROR(__xludf.DUMMYFUNCTION("GOOGLEFINANCE(B531, ""pe"")
"),24.69)</f>
        <v>24.69</v>
      </c>
    </row>
    <row r="532">
      <c r="A532" s="9" t="s">
        <v>544</v>
      </c>
      <c r="B532" s="11" t="str">
        <f t="shared" si="1"/>
        <v>NSE:ALOKINDS</v>
      </c>
      <c r="C532" s="12">
        <f>IFERROR(__xludf.DUMMYFUNCTION("GOOGLEFINANCE(B532,""marketcap"")/10000000"),9880.199516)</f>
        <v>9880.199516</v>
      </c>
      <c r="D532" s="13">
        <f>IFERROR(__xludf.DUMMYFUNCTION("GOOGLEFINANCE(B532,""price"")"),19.82)</f>
        <v>19.82</v>
      </c>
      <c r="E532" s="14">
        <f>IFERROR(__xludf.DUMMYFUNCTION("GOOGLEFINANCE(B532,""Volume"")"),4470194.0)</f>
        <v>4470194</v>
      </c>
      <c r="F532" s="14">
        <f t="array" ref="F532">F531</f>
        <v>14</v>
      </c>
      <c r="G532" s="15" t="str">
        <f>IFERROR(__xludf.DUMMYFUNCTION("IF(E532&gt;AVERAGE(INDEX(GOOGLEFINANCE(B532,""volume"",WORKDAY(TODAY(),-$F$1),TODAY()),,2)),""Breakout"","""")"),"")</f>
        <v/>
      </c>
      <c r="H532" s="16">
        <f>IFERROR(__xludf.DUMMYFUNCTION("GOOGLEFINANCE(B532,""price"")"),19.82)</f>
        <v>19.82</v>
      </c>
      <c r="I532" s="17">
        <f>IFERROR(__xludf.DUMMYFUNCTION("AVERAGE(QUERY(SORT(GOOGLEFINANCE(B532,""price"",TODAY()-365,TODAY()),1,0),""select Col2 limit 10""))"),20.695999999999998)</f>
        <v>20.696</v>
      </c>
      <c r="J532" s="17">
        <f>IFERROR(__xludf.DUMMYFUNCTION("AVERAGE(QUERY(SORT(GOOGLEFINANCE(B532,""price"",TODAY()-365,TODAY()),1,0),""select Col2 limit 30""))"),20.372666666666667)</f>
        <v>20.37266667</v>
      </c>
      <c r="K532" s="18">
        <f>IFERROR(__xludf.DUMMYFUNCTION("AVERAGE(QUERY(SORT(GOOGLEFINANCE(B532,""price"",TODAY()-365,TODAY()),1,0),""select Col2 limit 60""))"),19.544833333333337)</f>
        <v>19.54483333</v>
      </c>
      <c r="L532" s="17">
        <f>IFERROR(__xludf.DUMMYFUNCTION("AVERAGE(QUERY(SORT(GOOGLEFINANCE(B532,""price"",TODAY()-365,TODAY()),1,0),""select Col2 limit 90""))"),18.472666666666665)</f>
        <v>18.47266667</v>
      </c>
      <c r="M532" s="17">
        <f>IFERROR(__xludf.DUMMYFUNCTION("AVERAGE(QUERY(SORT(GOOGLEFINANCE(B532,""price"",TODAY()-365,TODAY()),1,0),""select Col2 limit 120""))"),18.13483333333334)</f>
        <v>18.13483333</v>
      </c>
      <c r="N532" s="19">
        <f>IFERROR(__xludf.DUMMYFUNCTION("AVERAGE(QUERY(SORT(GOOGLEFINANCE(B532,""price"",TODAY()-365,TODAY()),1,0),""select Col2 limit 200""))"),19.562100000000004)</f>
        <v>19.5621</v>
      </c>
      <c r="O532" s="20" t="str">
        <f t="shared" si="2"/>
        <v>Avoid</v>
      </c>
      <c r="P532" s="21" t="str">
        <f t="shared" si="3"/>
        <v/>
      </c>
      <c r="Q532" s="21" t="str">
        <f t="shared" si="4"/>
        <v/>
      </c>
      <c r="R532" s="22" t="str">
        <f>IFERROR(__xludf.DUMMYFUNCTION("GOOGLEFINANCE(B532, ""pe"")
"),"#N/A")</f>
        <v>#N/A</v>
      </c>
    </row>
    <row r="533">
      <c r="A533" s="9" t="s">
        <v>545</v>
      </c>
      <c r="B533" s="11" t="str">
        <f t="shared" si="1"/>
        <v>NSE:KFINTECH</v>
      </c>
      <c r="C533" s="12">
        <f>IFERROR(__xludf.DUMMYFUNCTION("GOOGLEFINANCE(B533,""marketcap"")/10000000"),20003.7157075)</f>
        <v>20003.71571</v>
      </c>
      <c r="D533" s="13">
        <f>IFERROR(__xludf.DUMMYFUNCTION("GOOGLEFINANCE(B533,""price"")"),1161.6)</f>
        <v>1161.6</v>
      </c>
      <c r="E533" s="14">
        <f>IFERROR(__xludf.DUMMYFUNCTION("GOOGLEFINANCE(B533,""Volume"")"),887431.0)</f>
        <v>887431</v>
      </c>
      <c r="F533" s="14">
        <f t="array" ref="F533">F532</f>
        <v>14</v>
      </c>
      <c r="G533" s="15" t="str">
        <f>IFERROR(__xludf.DUMMYFUNCTION("IF(E533&gt;AVERAGE(INDEX(GOOGLEFINANCE(B533,""volume"",WORKDAY(TODAY(),-$F$1),TODAY()),,2)),""Breakout"","""")"),"")</f>
        <v/>
      </c>
      <c r="H533" s="16">
        <f>IFERROR(__xludf.DUMMYFUNCTION("GOOGLEFINANCE(B533,""price"")"),1161.6)</f>
        <v>1161.6</v>
      </c>
      <c r="I533" s="17">
        <f>IFERROR(__xludf.DUMMYFUNCTION("AVERAGE(QUERY(SORT(GOOGLEFINANCE(B533,""price"",TODAY()-365,TODAY()),1,0),""select Col2 limit 10""))"),1260.0)</f>
        <v>1260</v>
      </c>
      <c r="J533" s="17">
        <f>IFERROR(__xludf.DUMMYFUNCTION("AVERAGE(QUERY(SORT(GOOGLEFINANCE(B533,""price"",TODAY()-365,TODAY()),1,0),""select Col2 limit 30""))"),1280.44)</f>
        <v>1280.44</v>
      </c>
      <c r="K533" s="18">
        <f>IFERROR(__xludf.DUMMYFUNCTION("AVERAGE(QUERY(SORT(GOOGLEFINANCE(B533,""price"",TODAY()-365,TODAY()),1,0),""select Col2 limit 60""))"),1197.0416666666667)</f>
        <v>1197.041667</v>
      </c>
      <c r="L533" s="17">
        <f>IFERROR(__xludf.DUMMYFUNCTION("AVERAGE(QUERY(SORT(GOOGLEFINANCE(B533,""price"",TODAY()-365,TODAY()),1,0),""select Col2 limit 90""))"),1162.1744444444448)</f>
        <v>1162.174444</v>
      </c>
      <c r="M533" s="17">
        <f>IFERROR(__xludf.DUMMYFUNCTION("AVERAGE(QUERY(SORT(GOOGLEFINANCE(B533,""price"",TODAY()-365,TODAY()),1,0),""select Col2 limit 120""))"),1112.2545833333338)</f>
        <v>1112.254583</v>
      </c>
      <c r="N533" s="19">
        <f>IFERROR(__xludf.DUMMYFUNCTION("AVERAGE(QUERY(SORT(GOOGLEFINANCE(B533,""price"",TODAY()-365,TODAY()),1,0),""select Col2 limit 200""))"),1138.6012500000008)</f>
        <v>1138.60125</v>
      </c>
      <c r="O533" s="20" t="str">
        <f t="shared" si="2"/>
        <v>Avoid</v>
      </c>
      <c r="P533" s="21" t="str">
        <f t="shared" si="3"/>
        <v>90 DMA</v>
      </c>
      <c r="Q533" s="21" t="str">
        <f t="shared" si="4"/>
        <v/>
      </c>
      <c r="R533" s="22">
        <f>IFERROR(__xludf.DUMMYFUNCTION("GOOGLEFINANCE(B533, ""pe"")
"),58.78)</f>
        <v>58.78</v>
      </c>
    </row>
    <row r="534">
      <c r="A534" s="9" t="s">
        <v>546</v>
      </c>
      <c r="B534" s="11" t="str">
        <f t="shared" si="1"/>
        <v>NSE:ELECTCAST</v>
      </c>
      <c r="C534" s="12">
        <f>IFERROR(__xludf.DUMMYFUNCTION("GOOGLEFINANCE(B534,""marketcap"")/10000000"),7004.0305736)</f>
        <v>7004.030574</v>
      </c>
      <c r="D534" s="13">
        <f>IFERROR(__xludf.DUMMYFUNCTION("GOOGLEFINANCE(B534,""price"")"),113.3)</f>
        <v>113.3</v>
      </c>
      <c r="E534" s="14">
        <f>IFERROR(__xludf.DUMMYFUNCTION("GOOGLEFINANCE(B534,""Volume"")"),592417.0)</f>
        <v>592417</v>
      </c>
      <c r="F534" s="14">
        <f t="array" ref="F534">F533</f>
        <v>14</v>
      </c>
      <c r="G534" s="15" t="str">
        <f>IFERROR(__xludf.DUMMYFUNCTION("IF(E534&gt;AVERAGE(INDEX(GOOGLEFINANCE(B534,""volume"",WORKDAY(TODAY(),-$F$1),TODAY()),,2)),""Breakout"","""")"),"")</f>
        <v/>
      </c>
      <c r="H534" s="16">
        <f>IFERROR(__xludf.DUMMYFUNCTION("GOOGLEFINANCE(B534,""price"")"),113.3)</f>
        <v>113.3</v>
      </c>
      <c r="I534" s="17">
        <f>IFERROR(__xludf.DUMMYFUNCTION("AVERAGE(QUERY(SORT(GOOGLEFINANCE(B534,""price"",TODAY()-365,TODAY()),1,0),""select Col2 limit 10""))"),117.30299999999997)</f>
        <v>117.303</v>
      </c>
      <c r="J534" s="17">
        <f>IFERROR(__xludf.DUMMYFUNCTION("AVERAGE(QUERY(SORT(GOOGLEFINANCE(B534,""price"",TODAY()-365,TODAY()),1,0),""select Col2 limit 30""))"),123.71866666666664)</f>
        <v>123.7186667</v>
      </c>
      <c r="K534" s="18">
        <f>IFERROR(__xludf.DUMMYFUNCTION("AVERAGE(QUERY(SORT(GOOGLEFINANCE(B534,""price"",TODAY()-365,TODAY()),1,0),""select Col2 limit 60""))"),114.97316666666664)</f>
        <v>114.9731667</v>
      </c>
      <c r="L534" s="17">
        <f>IFERROR(__xludf.DUMMYFUNCTION("AVERAGE(QUERY(SORT(GOOGLEFINANCE(B534,""price"",TODAY()-365,TODAY()),1,0),""select Col2 limit 90""))"),109.82588888888888)</f>
        <v>109.8258889</v>
      </c>
      <c r="M534" s="17">
        <f>IFERROR(__xludf.DUMMYFUNCTION("AVERAGE(QUERY(SORT(GOOGLEFINANCE(B534,""price"",TODAY()-365,TODAY()),1,0),""select Col2 limit 120""))"),108.85549999999999)</f>
        <v>108.8555</v>
      </c>
      <c r="N534" s="19">
        <f>IFERROR(__xludf.DUMMYFUNCTION("AVERAGE(QUERY(SORT(GOOGLEFINANCE(B534,""price"",TODAY()-365,TODAY()),1,0),""select Col2 limit 200""))"),127.01379999999997)</f>
        <v>127.0138</v>
      </c>
      <c r="O534" s="20" t="str">
        <f t="shared" si="2"/>
        <v>Avoid</v>
      </c>
      <c r="P534" s="21" t="str">
        <f t="shared" si="3"/>
        <v/>
      </c>
      <c r="Q534" s="21" t="str">
        <f t="shared" si="4"/>
        <v/>
      </c>
      <c r="R534" s="22">
        <f>IFERROR(__xludf.DUMMYFUNCTION("GOOGLEFINANCE(B534, ""pe"")
"),9.88)</f>
        <v>9.88</v>
      </c>
    </row>
    <row r="535">
      <c r="A535" s="9" t="s">
        <v>547</v>
      </c>
      <c r="B535" s="11" t="str">
        <f t="shared" si="1"/>
        <v>NSE:KPIGREEN</v>
      </c>
      <c r="C535" s="12">
        <f>IFERROR(__xludf.DUMMYFUNCTION("GOOGLEFINANCE(B535,""marketcap"")/10000000"),10029.8614075)</f>
        <v>10029.86141</v>
      </c>
      <c r="D535" s="13">
        <f>IFERROR(__xludf.DUMMYFUNCTION("GOOGLEFINANCE(B535,""price"")"),506.4)</f>
        <v>506.4</v>
      </c>
      <c r="E535" s="14">
        <f>IFERROR(__xludf.DUMMYFUNCTION("GOOGLEFINANCE(B535,""Volume"")"),490189.0)</f>
        <v>490189</v>
      </c>
      <c r="F535" s="14">
        <f t="array" ref="F535">F534</f>
        <v>14</v>
      </c>
      <c r="G535" s="15" t="str">
        <f>IFERROR(__xludf.DUMMYFUNCTION("IF(E535&gt;AVERAGE(INDEX(GOOGLEFINANCE(B535,""volume"",WORKDAY(TODAY(),-$F$1),TODAY()),,2)),""Breakout"","""")"),"")</f>
        <v/>
      </c>
      <c r="H535" s="16">
        <f>IFERROR(__xludf.DUMMYFUNCTION("GOOGLEFINANCE(B535,""price"")"),506.4)</f>
        <v>506.4</v>
      </c>
      <c r="I535" s="17">
        <f>IFERROR(__xludf.DUMMYFUNCTION("AVERAGE(QUERY(SORT(GOOGLEFINANCE(B535,""price"",TODAY()-365,TODAY()),1,0),""select Col2 limit 10""))"),539.625)</f>
        <v>539.625</v>
      </c>
      <c r="J535" s="17">
        <f>IFERROR(__xludf.DUMMYFUNCTION("AVERAGE(QUERY(SORT(GOOGLEFINANCE(B535,""price"",TODAY()-365,TODAY()),1,0),""select Col2 limit 30""))"),515.0649999999998)</f>
        <v>515.065</v>
      </c>
      <c r="K535" s="18">
        <f>IFERROR(__xludf.DUMMYFUNCTION("AVERAGE(QUERY(SORT(GOOGLEFINANCE(B535,""price"",TODAY()-365,TODAY()),1,0),""select Col2 limit 60""))"),487.58833333333314)</f>
        <v>487.5883333</v>
      </c>
      <c r="L535" s="17">
        <f>IFERROR(__xludf.DUMMYFUNCTION("AVERAGE(QUERY(SORT(GOOGLEFINANCE(B535,""price"",TODAY()-365,TODAY()),1,0),""select Col2 limit 90""))"),461.85611111111115)</f>
        <v>461.8561111</v>
      </c>
      <c r="M535" s="17">
        <f>IFERROR(__xludf.DUMMYFUNCTION("AVERAGE(QUERY(SORT(GOOGLEFINANCE(B535,""price"",TODAY()-365,TODAY()),1,0),""select Col2 limit 120""))"),446.8258333333334)</f>
        <v>446.8258333</v>
      </c>
      <c r="N535" s="19">
        <f>IFERROR(__xludf.DUMMYFUNCTION("AVERAGE(QUERY(SORT(GOOGLEFINANCE(B535,""price"",TODAY()-365,TODAY()),1,0),""select Col2 limit 200""))"),469.55339999999995)</f>
        <v>469.5534</v>
      </c>
      <c r="O535" s="20" t="str">
        <f t="shared" si="2"/>
        <v>Avoid</v>
      </c>
      <c r="P535" s="21" t="str">
        <f t="shared" si="3"/>
        <v/>
      </c>
      <c r="Q535" s="21" t="str">
        <f t="shared" si="4"/>
        <v/>
      </c>
      <c r="R535" s="22">
        <f>IFERROR(__xludf.DUMMYFUNCTION("GOOGLEFINANCE(B535, ""pe"")
"),31.56)</f>
        <v>31.56</v>
      </c>
    </row>
    <row r="536">
      <c r="A536" s="9" t="s">
        <v>548</v>
      </c>
      <c r="B536" s="11" t="str">
        <f t="shared" si="1"/>
        <v>NSE:CRAFTSMAN</v>
      </c>
      <c r="C536" s="12">
        <f>IFERROR(__xludf.DUMMYFUNCTION("GOOGLEFINANCE(B536,""marketcap"")/10000000"),14885.88192)</f>
        <v>14885.88192</v>
      </c>
      <c r="D536" s="13">
        <f>IFERROR(__xludf.DUMMYFUNCTION("GOOGLEFINANCE(B536,""price"")"),6240.0)</f>
        <v>6240</v>
      </c>
      <c r="E536" s="14">
        <f>IFERROR(__xludf.DUMMYFUNCTION("GOOGLEFINANCE(B536,""Volume"")"),8199.0)</f>
        <v>8199</v>
      </c>
      <c r="F536" s="14">
        <f t="array" ref="F536">F535</f>
        <v>14</v>
      </c>
      <c r="G536" s="15" t="str">
        <f>IFERROR(__xludf.DUMMYFUNCTION("IF(E536&gt;AVERAGE(INDEX(GOOGLEFINANCE(B536,""volume"",WORKDAY(TODAY(),-$F$1),TODAY()),,2)),""Breakout"","""")"),"")</f>
        <v/>
      </c>
      <c r="H536" s="16">
        <f>IFERROR(__xludf.DUMMYFUNCTION("GOOGLEFINANCE(B536,""price"")"),6240.0)</f>
        <v>6240</v>
      </c>
      <c r="I536" s="17">
        <f>IFERROR(__xludf.DUMMYFUNCTION("AVERAGE(QUERY(SORT(GOOGLEFINANCE(B536,""price"",TODAY()-365,TODAY()),1,0),""select Col2 limit 10""))"),6328.35)</f>
        <v>6328.35</v>
      </c>
      <c r="J536" s="17">
        <f>IFERROR(__xludf.DUMMYFUNCTION("AVERAGE(QUERY(SORT(GOOGLEFINANCE(B536,""price"",TODAY()-365,TODAY()),1,0),""select Col2 limit 30""))"),5821.783333333334)</f>
        <v>5821.783333</v>
      </c>
      <c r="K536" s="18">
        <f>IFERROR(__xludf.DUMMYFUNCTION("AVERAGE(QUERY(SORT(GOOGLEFINANCE(B536,""price"",TODAY()-365,TODAY()),1,0),""select Col2 limit 60""))"),5568.738333333333)</f>
        <v>5568.738333</v>
      </c>
      <c r="L536" s="17">
        <f>IFERROR(__xludf.DUMMYFUNCTION("AVERAGE(QUERY(SORT(GOOGLEFINANCE(B536,""price"",TODAY()-365,TODAY()),1,0),""select Col2 limit 90""))"),5284.104999999999)</f>
        <v>5284.105</v>
      </c>
      <c r="M536" s="17">
        <f>IFERROR(__xludf.DUMMYFUNCTION("AVERAGE(QUERY(SORT(GOOGLEFINANCE(B536,""price"",TODAY()-365,TODAY()),1,0),""select Col2 limit 120""))"),5046.9054166666665)</f>
        <v>5046.905417</v>
      </c>
      <c r="N536" s="19">
        <f>IFERROR(__xludf.DUMMYFUNCTION("AVERAGE(QUERY(SORT(GOOGLEFINANCE(B536,""price"",TODAY()-365,TODAY()),1,0),""select Col2 limit 200""))"),5109.346249999999)</f>
        <v>5109.34625</v>
      </c>
      <c r="O536" s="20" t="str">
        <f t="shared" si="2"/>
        <v>Avoid</v>
      </c>
      <c r="P536" s="21" t="str">
        <f t="shared" si="3"/>
        <v/>
      </c>
      <c r="Q536" s="21" t="str">
        <f t="shared" si="4"/>
        <v/>
      </c>
      <c r="R536" s="22">
        <f>IFERROR(__xludf.DUMMYFUNCTION("GOOGLEFINANCE(B536, ""pe"")
"),74.6)</f>
        <v>74.6</v>
      </c>
    </row>
    <row r="537">
      <c r="A537" s="9" t="s">
        <v>549</v>
      </c>
      <c r="B537" s="11" t="str">
        <f t="shared" si="1"/>
        <v>NSE:HAPPSTMNDS</v>
      </c>
      <c r="C537" s="12">
        <f>IFERROR(__xludf.DUMMYFUNCTION("GOOGLEFINANCE(B537,""marketcap"")/10000000"),9070.2651244)</f>
        <v>9070.265124</v>
      </c>
      <c r="D537" s="13">
        <f>IFERROR(__xludf.DUMMYFUNCTION("GOOGLEFINANCE(B537,""price"")"),604.2)</f>
        <v>604.2</v>
      </c>
      <c r="E537" s="14">
        <f>IFERROR(__xludf.DUMMYFUNCTION("GOOGLEFINANCE(B537,""Volume"")"),100105.0)</f>
        <v>100105</v>
      </c>
      <c r="F537" s="14">
        <f t="array" ref="F537">F536</f>
        <v>14</v>
      </c>
      <c r="G537" s="15" t="str">
        <f>IFERROR(__xludf.DUMMYFUNCTION("IF(E537&gt;AVERAGE(INDEX(GOOGLEFINANCE(B537,""volume"",WORKDAY(TODAY(),-$F$1),TODAY()),,2)),""Breakout"","""")"),"#N/A")</f>
        <v>#N/A</v>
      </c>
      <c r="H537" s="16">
        <f>IFERROR(__xludf.DUMMYFUNCTION("GOOGLEFINANCE(B537,""price"")"),604.2)</f>
        <v>604.2</v>
      </c>
      <c r="I537" s="17">
        <f>IFERROR(__xludf.DUMMYFUNCTION("AVERAGE(QUERY(SORT(GOOGLEFINANCE(B537,""price"",TODAY()-365,TODAY()),1,0),""select Col2 limit 10""))"),622.5150000000001)</f>
        <v>622.515</v>
      </c>
      <c r="J537" s="17">
        <f>IFERROR(__xludf.DUMMYFUNCTION("AVERAGE(QUERY(SORT(GOOGLEFINANCE(B537,""price"",TODAY()-365,TODAY()),1,0),""select Col2 limit 30""))"),633.6533333333334)</f>
        <v>633.6533333</v>
      </c>
      <c r="K537" s="18">
        <f>IFERROR(__xludf.DUMMYFUNCTION("AVERAGE(QUERY(SORT(GOOGLEFINANCE(B537,""price"",TODAY()-365,TODAY()),1,0),""select Col2 limit 60""))"),617.3491666666667)</f>
        <v>617.3491667</v>
      </c>
      <c r="L537" s="17">
        <f>IFERROR(__xludf.DUMMYFUNCTION("AVERAGE(QUERY(SORT(GOOGLEFINANCE(B537,""price"",TODAY()-365,TODAY()),1,0),""select Col2 limit 90""))"),611.2094444444446)</f>
        <v>611.2094444</v>
      </c>
      <c r="M537" s="17">
        <f>IFERROR(__xludf.DUMMYFUNCTION("AVERAGE(QUERY(SORT(GOOGLEFINANCE(B537,""price"",TODAY()-365,TODAY()),1,0),""select Col2 limit 120""))"),631.272916666667)</f>
        <v>631.2729167</v>
      </c>
      <c r="N537" s="19">
        <f>IFERROR(__xludf.DUMMYFUNCTION("AVERAGE(QUERY(SORT(GOOGLEFINANCE(B537,""price"",TODAY()-365,TODAY()),1,0),""select Col2 limit 200""))"),677.5150000000004)</f>
        <v>677.515</v>
      </c>
      <c r="O537" s="20" t="str">
        <f t="shared" si="2"/>
        <v>Avoid</v>
      </c>
      <c r="P537" s="21" t="str">
        <f t="shared" si="3"/>
        <v/>
      </c>
      <c r="Q537" s="21" t="str">
        <f t="shared" si="4"/>
        <v/>
      </c>
      <c r="R537" s="22">
        <f>IFERROR(__xludf.DUMMYFUNCTION("GOOGLEFINANCE(B537, ""pe"")
"),49.31)</f>
        <v>49.31</v>
      </c>
    </row>
    <row r="538">
      <c r="A538" s="9" t="s">
        <v>550</v>
      </c>
      <c r="B538" s="11" t="str">
        <f t="shared" si="1"/>
        <v>NSE:RHIM</v>
      </c>
      <c r="C538" s="12">
        <f>IFERROR(__xludf.DUMMYFUNCTION("GOOGLEFINANCE(B538,""marketcap"")/10000000"),10210.46)</f>
        <v>10210.46</v>
      </c>
      <c r="D538" s="13">
        <f>IFERROR(__xludf.DUMMYFUNCTION("GOOGLEFINANCE(B538,""price"")"),502.25)</f>
        <v>502.25</v>
      </c>
      <c r="E538" s="14">
        <f>IFERROR(__xludf.DUMMYFUNCTION("GOOGLEFINANCE(B538,""Volume"")"),476750.0)</f>
        <v>476750</v>
      </c>
      <c r="F538" s="14">
        <f t="array" ref="F538">F537</f>
        <v>14</v>
      </c>
      <c r="G538" s="15" t="str">
        <f>IFERROR(__xludf.DUMMYFUNCTION("IF(E538&gt;AVERAGE(INDEX(GOOGLEFINANCE(B538,""volume"",WORKDAY(TODAY(),-$F$1),TODAY()),,2)),""Breakout"","""")"),"")</f>
        <v/>
      </c>
      <c r="H538" s="16">
        <f>IFERROR(__xludf.DUMMYFUNCTION("GOOGLEFINANCE(B538,""price"")"),502.25)</f>
        <v>502.25</v>
      </c>
      <c r="I538" s="17" t="str">
        <f>IFERROR(__xludf.DUMMYFUNCTION("AVERAGE(QUERY(SORT(GOOGLEFINANCE(B538,""price"",TODAY()-365,TODAY()),1,0),""select Col2 limit 10""))"),"#N/A")</f>
        <v>#N/A</v>
      </c>
      <c r="J538" s="17" t="str">
        <f>IFERROR(__xludf.DUMMYFUNCTION("AVERAGE(QUERY(SORT(GOOGLEFINANCE(B538,""price"",TODAY()-365,TODAY()),1,0),""select Col2 limit 30""))"),"#N/A")</f>
        <v>#N/A</v>
      </c>
      <c r="K538" s="18" t="str">
        <f>IFERROR(__xludf.DUMMYFUNCTION("AVERAGE(QUERY(SORT(GOOGLEFINANCE(B538,""price"",TODAY()-365,TODAY()),1,0),""select Col2 limit 60""))"),"#N/A")</f>
        <v>#N/A</v>
      </c>
      <c r="L538" s="17" t="str">
        <f>IFERROR(__xludf.DUMMYFUNCTION("AVERAGE(QUERY(SORT(GOOGLEFINANCE(B538,""price"",TODAY()-365,TODAY()),1,0),""select Col2 limit 90""))"),"#N/A")</f>
        <v>#N/A</v>
      </c>
      <c r="M538" s="17" t="str">
        <f>IFERROR(__xludf.DUMMYFUNCTION("AVERAGE(QUERY(SORT(GOOGLEFINANCE(B538,""price"",TODAY()-365,TODAY()),1,0),""select Col2 limit 120""))"),"#N/A")</f>
        <v>#N/A</v>
      </c>
      <c r="N538" s="19" t="str">
        <f>IFERROR(__xludf.DUMMYFUNCTION("AVERAGE(QUERY(SORT(GOOGLEFINANCE(B538,""price"",TODAY()-365,TODAY()),1,0),""select Col2 limit 200""))"),"#N/A")</f>
        <v>#N/A</v>
      </c>
      <c r="O538" s="20" t="str">
        <f t="shared" si="2"/>
        <v>#N/A</v>
      </c>
      <c r="P538" s="21" t="str">
        <f t="shared" si="3"/>
        <v>#N/A</v>
      </c>
      <c r="Q538" s="21" t="str">
        <f t="shared" si="4"/>
        <v>#N/A</v>
      </c>
      <c r="R538" s="22" t="str">
        <f>IFERROR(__xludf.DUMMYFUNCTION("GOOGLEFINANCE(B538, ""pe"")
"),"#N/A")</f>
        <v>#N/A</v>
      </c>
    </row>
    <row r="539">
      <c r="A539" s="9" t="s">
        <v>551</v>
      </c>
      <c r="B539" s="11" t="str">
        <f t="shared" si="1"/>
        <v>NSE:J&amp;KBANK</v>
      </c>
      <c r="C539" s="12">
        <f>IFERROR(__xludf.DUMMYFUNCTION("GOOGLEFINANCE(B539,""marketcap"")/10000000"),11809.0755327)</f>
        <v>11809.07553</v>
      </c>
      <c r="D539" s="13">
        <f>IFERROR(__xludf.DUMMYFUNCTION("GOOGLEFINANCE(B539,""price"")"),107.35)</f>
        <v>107.35</v>
      </c>
      <c r="E539" s="14">
        <f>IFERROR(__xludf.DUMMYFUNCTION("GOOGLEFINANCE(B539,""Volume"")"),2283595.0)</f>
        <v>2283595</v>
      </c>
      <c r="F539" s="14">
        <f t="array" ref="F539">F538</f>
        <v>14</v>
      </c>
      <c r="G539" s="15" t="str">
        <f>IFERROR(__xludf.DUMMYFUNCTION("IF(E539&gt;AVERAGE(INDEX(GOOGLEFINANCE(B539,""volume"",WORKDAY(TODAY(),-$F$1),TODAY()),,2)),""Breakout"","""")"),"")</f>
        <v/>
      </c>
      <c r="H539" s="16">
        <f>IFERROR(__xludf.DUMMYFUNCTION("GOOGLEFINANCE(B539,""price"")"),107.35)</f>
        <v>107.35</v>
      </c>
      <c r="I539" s="17">
        <f>IFERROR(__xludf.DUMMYFUNCTION("AVERAGE(QUERY(SORT(GOOGLEFINANCE(B539,""price"",TODAY()-365,TODAY()),1,0),""select Col2 limit 10""))"),112.218)</f>
        <v>112.218</v>
      </c>
      <c r="J539" s="17">
        <f>IFERROR(__xludf.DUMMYFUNCTION("AVERAGE(QUERY(SORT(GOOGLEFINANCE(B539,""price"",TODAY()-365,TODAY()),1,0),""select Col2 limit 30""))"),110.28066666666669)</f>
        <v>110.2806667</v>
      </c>
      <c r="K539" s="18">
        <f>IFERROR(__xludf.DUMMYFUNCTION("AVERAGE(QUERY(SORT(GOOGLEFINANCE(B539,""price"",TODAY()-365,TODAY()),1,0),""select Col2 limit 60""))"),105.94383333333339)</f>
        <v>105.9438333</v>
      </c>
      <c r="L539" s="17">
        <f>IFERROR(__xludf.DUMMYFUNCTION("AVERAGE(QUERY(SORT(GOOGLEFINANCE(B539,""price"",TODAY()-365,TODAY()),1,0),""select Col2 limit 90""))"),102.79811111111111)</f>
        <v>102.7981111</v>
      </c>
      <c r="M539" s="17">
        <f>IFERROR(__xludf.DUMMYFUNCTION("AVERAGE(QUERY(SORT(GOOGLEFINANCE(B539,""price"",TODAY()-365,TODAY()),1,0),""select Col2 limit 120""))"),101.40950000000002)</f>
        <v>101.4095</v>
      </c>
      <c r="N539" s="19">
        <f>IFERROR(__xludf.DUMMYFUNCTION("AVERAGE(QUERY(SORT(GOOGLEFINANCE(B539,""price"",TODAY()-365,TODAY()),1,0),""select Col2 limit 200""))"),100.08239999999998)</f>
        <v>100.0824</v>
      </c>
      <c r="O539" s="20" t="str">
        <f t="shared" si="2"/>
        <v>Avoid</v>
      </c>
      <c r="P539" s="21" t="str">
        <f t="shared" si="3"/>
        <v/>
      </c>
      <c r="Q539" s="21" t="str">
        <f t="shared" si="4"/>
        <v/>
      </c>
      <c r="R539" s="22">
        <f>IFERROR(__xludf.DUMMYFUNCTION("GOOGLEFINANCE(B539, ""pe"")
"),5.68)</f>
        <v>5.68</v>
      </c>
    </row>
    <row r="540">
      <c r="A540" s="9" t="s">
        <v>552</v>
      </c>
      <c r="B540" s="11" t="str">
        <f t="shared" si="1"/>
        <v>NSE:GRANULES</v>
      </c>
      <c r="C540" s="12">
        <f>IFERROR(__xludf.DUMMYFUNCTION("GOOGLEFINANCE(B540,""marketcap"")/10000000"),11386.0556225)</f>
        <v>11386.05562</v>
      </c>
      <c r="D540" s="13">
        <f>IFERROR(__xludf.DUMMYFUNCTION("GOOGLEFINANCE(B540,""price"")"),470.15)</f>
        <v>470.15</v>
      </c>
      <c r="E540" s="14">
        <f>IFERROR(__xludf.DUMMYFUNCTION("GOOGLEFINANCE(B540,""Volume"")"),458578.0)</f>
        <v>458578</v>
      </c>
      <c r="F540" s="14">
        <f t="array" ref="F540">F539</f>
        <v>14</v>
      </c>
      <c r="G540" s="15" t="str">
        <f>IFERROR(__xludf.DUMMYFUNCTION("IF(E540&gt;AVERAGE(INDEX(GOOGLEFINANCE(B540,""volume"",WORKDAY(TODAY(),-$F$1),TODAY()),,2)),""Breakout"","""")"),"")</f>
        <v/>
      </c>
      <c r="H540" s="16">
        <f>IFERROR(__xludf.DUMMYFUNCTION("GOOGLEFINANCE(B540,""price"")"),470.15)</f>
        <v>470.15</v>
      </c>
      <c r="I540" s="17">
        <f>IFERROR(__xludf.DUMMYFUNCTION("AVERAGE(QUERY(SORT(GOOGLEFINANCE(B540,""price"",TODAY()-365,TODAY()),1,0),""select Col2 limit 10""))"),486.9)</f>
        <v>486.9</v>
      </c>
      <c r="J540" s="17">
        <f>IFERROR(__xludf.DUMMYFUNCTION("AVERAGE(QUERY(SORT(GOOGLEFINANCE(B540,""price"",TODAY()-365,TODAY()),1,0),""select Col2 limit 30""))"),489.15999999999997)</f>
        <v>489.16</v>
      </c>
      <c r="K540" s="18">
        <f>IFERROR(__xludf.DUMMYFUNCTION("AVERAGE(QUERY(SORT(GOOGLEFINANCE(B540,""price"",TODAY()-365,TODAY()),1,0),""select Col2 limit 60""))"),497.6858333333334)</f>
        <v>497.6858333</v>
      </c>
      <c r="L540" s="17">
        <f>IFERROR(__xludf.DUMMYFUNCTION("AVERAGE(QUERY(SORT(GOOGLEFINANCE(B540,""price"",TODAY()-365,TODAY()),1,0),""select Col2 limit 90""))"),489.8977777777777)</f>
        <v>489.8977778</v>
      </c>
      <c r="M540" s="17">
        <f>IFERROR(__xludf.DUMMYFUNCTION("AVERAGE(QUERY(SORT(GOOGLEFINANCE(B540,""price"",TODAY()-365,TODAY()),1,0),""select Col2 limit 120""))"),498.24416666666656)</f>
        <v>498.2441667</v>
      </c>
      <c r="N540" s="19">
        <f>IFERROR(__xludf.DUMMYFUNCTION("AVERAGE(QUERY(SORT(GOOGLEFINANCE(B540,""price"",TODAY()-365,TODAY()),1,0),""select Col2 limit 200""))"),529.9687499999999)</f>
        <v>529.96875</v>
      </c>
      <c r="O540" s="20" t="str">
        <f t="shared" si="2"/>
        <v>Avoid</v>
      </c>
      <c r="P540" s="21" t="str">
        <f t="shared" si="3"/>
        <v/>
      </c>
      <c r="Q540" s="21" t="str">
        <f t="shared" si="4"/>
        <v/>
      </c>
      <c r="R540" s="22">
        <f>IFERROR(__xludf.DUMMYFUNCTION("GOOGLEFINANCE(B540, ""pe"")
"),22.73)</f>
        <v>22.73</v>
      </c>
    </row>
    <row r="541">
      <c r="A541" s="9" t="s">
        <v>553</v>
      </c>
      <c r="B541" s="11" t="str">
        <f t="shared" si="1"/>
        <v>NSE:TTKPRESTIG</v>
      </c>
      <c r="C541" s="12">
        <f>IFERROR(__xludf.DUMMYFUNCTION("GOOGLEFINANCE(B541,""marketcap"")/10000000"),8614.01033)</f>
        <v>8614.01033</v>
      </c>
      <c r="D541" s="13">
        <f>IFERROR(__xludf.DUMMYFUNCTION("GOOGLEFINANCE(B541,""price"")"),630.0)</f>
        <v>630</v>
      </c>
      <c r="E541" s="14">
        <f>IFERROR(__xludf.DUMMYFUNCTION("GOOGLEFINANCE(B541,""Volume"")"),82007.0)</f>
        <v>82007</v>
      </c>
      <c r="F541" s="14">
        <f t="array" ref="F541">F540</f>
        <v>14</v>
      </c>
      <c r="G541" s="15" t="str">
        <f>IFERROR(__xludf.DUMMYFUNCTION("IF(E541&gt;AVERAGE(INDEX(GOOGLEFINANCE(B541,""volume"",WORKDAY(TODAY(),-$F$1),TODAY()),,2)),""Breakout"","""")"),"Breakout")</f>
        <v>Breakout</v>
      </c>
      <c r="H541" s="16">
        <f>IFERROR(__xludf.DUMMYFUNCTION("GOOGLEFINANCE(B541,""price"")"),630.0)</f>
        <v>630</v>
      </c>
      <c r="I541" s="17">
        <f>IFERROR(__xludf.DUMMYFUNCTION("AVERAGE(QUERY(SORT(GOOGLEFINANCE(B541,""price"",TODAY()-365,TODAY()),1,0),""select Col2 limit 10""))"),634.7050000000002)</f>
        <v>634.705</v>
      </c>
      <c r="J541" s="17">
        <f>IFERROR(__xludf.DUMMYFUNCTION("AVERAGE(QUERY(SORT(GOOGLEFINANCE(B541,""price"",TODAY()-365,TODAY()),1,0),""select Col2 limit 30""))"),628.235)</f>
        <v>628.235</v>
      </c>
      <c r="K541" s="18">
        <f>IFERROR(__xludf.DUMMYFUNCTION("AVERAGE(QUERY(SORT(GOOGLEFINANCE(B541,""price"",TODAY()-365,TODAY()),1,0),""select Col2 limit 60""))"),633.0833333333333)</f>
        <v>633.0833333</v>
      </c>
      <c r="L541" s="17">
        <f>IFERROR(__xludf.DUMMYFUNCTION("AVERAGE(QUERY(SORT(GOOGLEFINANCE(B541,""price"",TODAY()-365,TODAY()),1,0),""select Col2 limit 90""))"),630.49)</f>
        <v>630.49</v>
      </c>
      <c r="M541" s="17">
        <f>IFERROR(__xludf.DUMMYFUNCTION("AVERAGE(QUERY(SORT(GOOGLEFINANCE(B541,""price"",TODAY()-365,TODAY()),1,0),""select Col2 limit 120""))"),640.3166666666668)</f>
        <v>640.3166667</v>
      </c>
      <c r="N541" s="19">
        <f>IFERROR(__xludf.DUMMYFUNCTION("AVERAGE(QUERY(SORT(GOOGLEFINANCE(B541,""price"",TODAY()-365,TODAY()),1,0),""select Col2 limit 200""))"),719.9845)</f>
        <v>719.9845</v>
      </c>
      <c r="O541" s="20" t="str">
        <f t="shared" si="2"/>
        <v>Avoid</v>
      </c>
      <c r="P541" s="21" t="str">
        <f t="shared" si="3"/>
        <v>10 DMA</v>
      </c>
      <c r="Q541" s="21" t="str">
        <f t="shared" si="4"/>
        <v/>
      </c>
      <c r="R541" s="22">
        <f>IFERROR(__xludf.DUMMYFUNCTION("GOOGLEFINANCE(B541, ""pe"")
"),77.03)</f>
        <v>77.03</v>
      </c>
    </row>
    <row r="542">
      <c r="A542" s="9" t="s">
        <v>554</v>
      </c>
      <c r="B542" s="11" t="str">
        <f t="shared" si="1"/>
        <v>NSE:WOCKPHARMA</v>
      </c>
      <c r="C542" s="12">
        <f>IFERROR(__xludf.DUMMYFUNCTION("GOOGLEFINANCE(B542,""marketcap"")/10000000"),27622.535)</f>
        <v>27622.535</v>
      </c>
      <c r="D542" s="13">
        <f>IFERROR(__xludf.DUMMYFUNCTION("GOOGLEFINANCE(B542,""price"")"),1700.0)</f>
        <v>1700</v>
      </c>
      <c r="E542" s="14">
        <f>IFERROR(__xludf.DUMMYFUNCTION("GOOGLEFINANCE(B542,""Volume"")"),997342.0)</f>
        <v>997342</v>
      </c>
      <c r="F542" s="14">
        <f t="array" ref="F542">F541</f>
        <v>14</v>
      </c>
      <c r="G542" s="15" t="str">
        <f>IFERROR(__xludf.DUMMYFUNCTION("IF(E542&gt;AVERAGE(INDEX(GOOGLEFINANCE(B542,""volume"",WORKDAY(TODAY(),-$F$1),TODAY()),,2)),""Breakout"","""")"),"Breakout")</f>
        <v>Breakout</v>
      </c>
      <c r="H542" s="16">
        <f>IFERROR(__xludf.DUMMYFUNCTION("GOOGLEFINANCE(B542,""price"")"),1700.0)</f>
        <v>1700</v>
      </c>
      <c r="I542" s="17">
        <f>IFERROR(__xludf.DUMMYFUNCTION("AVERAGE(QUERY(SORT(GOOGLEFINANCE(B542,""price"",TODAY()-365,TODAY()),1,0),""select Col2 limit 10""))"),1759.6599999999999)</f>
        <v>1759.66</v>
      </c>
      <c r="J542" s="17">
        <f>IFERROR(__xludf.DUMMYFUNCTION("AVERAGE(QUERY(SORT(GOOGLEFINANCE(B542,""price"",TODAY()-365,TODAY()),1,0),""select Col2 limit 30""))"),1728.5666666666666)</f>
        <v>1728.566667</v>
      </c>
      <c r="K542" s="18">
        <f>IFERROR(__xludf.DUMMYFUNCTION("AVERAGE(QUERY(SORT(GOOGLEFINANCE(B542,""price"",TODAY()-365,TODAY()),1,0),""select Col2 limit 60""))"),1566.0400000000002)</f>
        <v>1566.04</v>
      </c>
      <c r="L542" s="17">
        <f>IFERROR(__xludf.DUMMYFUNCTION("AVERAGE(QUERY(SORT(GOOGLEFINANCE(B542,""price"",TODAY()-365,TODAY()),1,0),""select Col2 limit 90""))"),1505.3527777777779)</f>
        <v>1505.352778</v>
      </c>
      <c r="M542" s="17">
        <f>IFERROR(__xludf.DUMMYFUNCTION("AVERAGE(QUERY(SORT(GOOGLEFINANCE(B542,""price"",TODAY()-365,TODAY()),1,0),""select Col2 limit 120""))"),1472.9879166666667)</f>
        <v>1472.987917</v>
      </c>
      <c r="N542" s="19">
        <f>IFERROR(__xludf.DUMMYFUNCTION("AVERAGE(QUERY(SORT(GOOGLEFINANCE(B542,""price"",TODAY()-365,TODAY()),1,0),""select Col2 limit 200""))"),1398.3935000000006)</f>
        <v>1398.3935</v>
      </c>
      <c r="O542" s="20" t="str">
        <f t="shared" si="2"/>
        <v>Avoid</v>
      </c>
      <c r="P542" s="21" t="str">
        <f t="shared" si="3"/>
        <v/>
      </c>
      <c r="Q542" s="21" t="str">
        <f t="shared" si="4"/>
        <v/>
      </c>
      <c r="R542" s="22" t="str">
        <f>IFERROR(__xludf.DUMMYFUNCTION("GOOGLEFINANCE(B542, ""pe"")
"),"#N/A")</f>
        <v>#N/A</v>
      </c>
    </row>
    <row r="543">
      <c r="A543" s="9" t="s">
        <v>555</v>
      </c>
      <c r="B543" s="11" t="str">
        <f t="shared" si="1"/>
        <v>NSE:NUVOCO</v>
      </c>
      <c r="C543" s="12">
        <f>IFERROR(__xludf.DUMMYFUNCTION("GOOGLEFINANCE(B543,""marketcap"")/10000000"),14843.4118899)</f>
        <v>14843.41189</v>
      </c>
      <c r="D543" s="13">
        <f>IFERROR(__xludf.DUMMYFUNCTION("GOOGLEFINANCE(B543,""price"")"),415.8)</f>
        <v>415.8</v>
      </c>
      <c r="E543" s="14">
        <f>IFERROR(__xludf.DUMMYFUNCTION("GOOGLEFINANCE(B543,""Volume"")"),399792.0)</f>
        <v>399792</v>
      </c>
      <c r="F543" s="14">
        <f t="array" ref="F543">F542</f>
        <v>14</v>
      </c>
      <c r="G543" s="15" t="str">
        <f>IFERROR(__xludf.DUMMYFUNCTION("IF(E543&gt;AVERAGE(INDEX(GOOGLEFINANCE(B543,""volume"",WORKDAY(TODAY(),-$F$1),TODAY()),,2)),""Breakout"","""")"),"")</f>
        <v/>
      </c>
      <c r="H543" s="16">
        <f>IFERROR(__xludf.DUMMYFUNCTION("GOOGLEFINANCE(B543,""price"")"),415.8)</f>
        <v>415.8</v>
      </c>
      <c r="I543" s="17">
        <f>IFERROR(__xludf.DUMMYFUNCTION("AVERAGE(QUERY(SORT(GOOGLEFINANCE(B543,""price"",TODAY()-365,TODAY()),1,0),""select Col2 limit 10""))"),391.39)</f>
        <v>391.39</v>
      </c>
      <c r="J543" s="17">
        <f>IFERROR(__xludf.DUMMYFUNCTION("AVERAGE(QUERY(SORT(GOOGLEFINANCE(B543,""price"",TODAY()-365,TODAY()),1,0),""select Col2 limit 30""))"),365.6033333333333)</f>
        <v>365.6033333</v>
      </c>
      <c r="K543" s="18">
        <f>IFERROR(__xludf.DUMMYFUNCTION("AVERAGE(QUERY(SORT(GOOGLEFINANCE(B543,""price"",TODAY()-365,TODAY()),1,0),""select Col2 limit 60""))"),358.8975000000001)</f>
        <v>358.8975</v>
      </c>
      <c r="L543" s="17">
        <f>IFERROR(__xludf.DUMMYFUNCTION("AVERAGE(QUERY(SORT(GOOGLEFINANCE(B543,""price"",TODAY()-365,TODAY()),1,0),""select Col2 limit 90""))"),345.14166666666665)</f>
        <v>345.1416667</v>
      </c>
      <c r="M543" s="17">
        <f>IFERROR(__xludf.DUMMYFUNCTION("AVERAGE(QUERY(SORT(GOOGLEFINANCE(B543,""price"",TODAY()-365,TODAY()),1,0),""select Col2 limit 120""))"),340.59833333333336)</f>
        <v>340.5983333</v>
      </c>
      <c r="N543" s="19">
        <f>IFERROR(__xludf.DUMMYFUNCTION("AVERAGE(QUERY(SORT(GOOGLEFINANCE(B543,""price"",TODAY()-365,TODAY()),1,0),""select Col2 limit 200""))"),344.80275000000006)</f>
        <v>344.80275</v>
      </c>
      <c r="O543" s="20" t="str">
        <f t="shared" si="2"/>
        <v>Avoid</v>
      </c>
      <c r="P543" s="21" t="str">
        <f t="shared" si="3"/>
        <v/>
      </c>
      <c r="Q543" s="21" t="str">
        <f t="shared" si="4"/>
        <v/>
      </c>
      <c r="R543" s="22">
        <f>IFERROR(__xludf.DUMMYFUNCTION("GOOGLEFINANCE(B543, ""pe"")
"),97.22)</f>
        <v>97.22</v>
      </c>
    </row>
    <row r="544">
      <c r="A544" s="9" t="s">
        <v>556</v>
      </c>
      <c r="B544" s="11" t="str">
        <f t="shared" si="1"/>
        <v>NSE:BIRLACORPN</v>
      </c>
      <c r="C544" s="12">
        <f>IFERROR(__xludf.DUMMYFUNCTION("GOOGLEFINANCE(B544,""marketcap"")/10000000"),11141.6371165)</f>
        <v>11141.63712</v>
      </c>
      <c r="D544" s="13">
        <f>IFERROR(__xludf.DUMMYFUNCTION("GOOGLEFINANCE(B544,""price"")"),1445.2)</f>
        <v>1445.2</v>
      </c>
      <c r="E544" s="14">
        <f>IFERROR(__xludf.DUMMYFUNCTION("GOOGLEFINANCE(B544,""Volume"")"),80207.0)</f>
        <v>80207</v>
      </c>
      <c r="F544" s="14">
        <f t="array" ref="F544">F543</f>
        <v>14</v>
      </c>
      <c r="G544" s="15" t="str">
        <f>IFERROR(__xludf.DUMMYFUNCTION("IF(E544&gt;AVERAGE(INDEX(GOOGLEFINANCE(B544,""volume"",WORKDAY(TODAY(),-$F$1),TODAY()),,2)),""Breakout"","""")"),"")</f>
        <v/>
      </c>
      <c r="H544" s="16">
        <f>IFERROR(__xludf.DUMMYFUNCTION("GOOGLEFINANCE(B544,""price"")"),1445.2)</f>
        <v>1445.2</v>
      </c>
      <c r="I544" s="17">
        <f>IFERROR(__xludf.DUMMYFUNCTION("AVERAGE(QUERY(SORT(GOOGLEFINANCE(B544,""price"",TODAY()-365,TODAY()),1,0),""select Col2 limit 10""))"),1418.3300000000004)</f>
        <v>1418.33</v>
      </c>
      <c r="J544" s="17">
        <f>IFERROR(__xludf.DUMMYFUNCTION("AVERAGE(QUERY(SORT(GOOGLEFINANCE(B544,""price"",TODAY()-365,TODAY()),1,0),""select Col2 limit 30""))"),1367.5200000000004)</f>
        <v>1367.52</v>
      </c>
      <c r="K544" s="18">
        <f>IFERROR(__xludf.DUMMYFUNCTION("AVERAGE(QUERY(SORT(GOOGLEFINANCE(B544,""price"",TODAY()-365,TODAY()),1,0),""select Col2 limit 60""))"),1345.6633333333336)</f>
        <v>1345.663333</v>
      </c>
      <c r="L544" s="17">
        <f>IFERROR(__xludf.DUMMYFUNCTION("AVERAGE(QUERY(SORT(GOOGLEFINANCE(B544,""price"",TODAY()-365,TODAY()),1,0),""select Col2 limit 90""))"),1258.6188888888896)</f>
        <v>1258.618889</v>
      </c>
      <c r="M544" s="17">
        <f>IFERROR(__xludf.DUMMYFUNCTION("AVERAGE(QUERY(SORT(GOOGLEFINANCE(B544,""price"",TODAY()-365,TODAY()),1,0),""select Col2 limit 120""))"),1204.2875000000001)</f>
        <v>1204.2875</v>
      </c>
      <c r="N544" s="19">
        <f>IFERROR(__xludf.DUMMYFUNCTION("AVERAGE(QUERY(SORT(GOOGLEFINANCE(B544,""price"",TODAY()-365,TODAY()),1,0),""select Col2 limit 200""))"),1201.7199999999993)</f>
        <v>1201.72</v>
      </c>
      <c r="O544" s="20" t="str">
        <f t="shared" si="2"/>
        <v>Avoid</v>
      </c>
      <c r="P544" s="21" t="str">
        <f t="shared" si="3"/>
        <v/>
      </c>
      <c r="Q544" s="21" t="str">
        <f t="shared" si="4"/>
        <v/>
      </c>
      <c r="R544" s="22">
        <f>IFERROR(__xludf.DUMMYFUNCTION("GOOGLEFINANCE(B544, ""pe"")
"),37.72)</f>
        <v>37.72</v>
      </c>
    </row>
    <row r="545">
      <c r="A545" s="9" t="s">
        <v>557</v>
      </c>
      <c r="B545" s="11" t="str">
        <f t="shared" si="1"/>
        <v>NSE:ECLERX</v>
      </c>
      <c r="C545" s="12">
        <f>IFERROR(__xludf.DUMMYFUNCTION("GOOGLEFINANCE(B545,""marketcap"")/10000000"),17731.975856)</f>
        <v>17731.97586</v>
      </c>
      <c r="D545" s="13">
        <f>IFERROR(__xludf.DUMMYFUNCTION("GOOGLEFINANCE(B545,""price"")"),3770.0)</f>
        <v>3770</v>
      </c>
      <c r="E545" s="14">
        <f>IFERROR(__xludf.DUMMYFUNCTION("GOOGLEFINANCE(B545,""Volume"")"),141412.0)</f>
        <v>141412</v>
      </c>
      <c r="F545" s="14">
        <f t="array" ref="F545">F544</f>
        <v>14</v>
      </c>
      <c r="G545" s="15" t="str">
        <f>IFERROR(__xludf.DUMMYFUNCTION("IF(E545&gt;AVERAGE(INDEX(GOOGLEFINANCE(B545,""volume"",WORKDAY(TODAY(),-$F$1),TODAY()),,2)),""Breakout"","""")"),"Breakout")</f>
        <v>Breakout</v>
      </c>
      <c r="H545" s="16">
        <f>IFERROR(__xludf.DUMMYFUNCTION("GOOGLEFINANCE(B545,""price"")"),3770.0)</f>
        <v>3770</v>
      </c>
      <c r="I545" s="17">
        <f>IFERROR(__xludf.DUMMYFUNCTION("AVERAGE(QUERY(SORT(GOOGLEFINANCE(B545,""price"",TODAY()-365,TODAY()),1,0),""select Col2 limit 10""))"),3654.7799999999997)</f>
        <v>3654.78</v>
      </c>
      <c r="J545" s="17">
        <f>IFERROR(__xludf.DUMMYFUNCTION("AVERAGE(QUERY(SORT(GOOGLEFINANCE(B545,""price"",TODAY()-365,TODAY()),1,0),""select Col2 limit 30""))"),3535.48)</f>
        <v>3535.48</v>
      </c>
      <c r="K545" s="18">
        <f>IFERROR(__xludf.DUMMYFUNCTION("AVERAGE(QUERY(SORT(GOOGLEFINANCE(B545,""price"",TODAY()-365,TODAY()),1,0),""select Col2 limit 60""))"),3378.6050000000005)</f>
        <v>3378.605</v>
      </c>
      <c r="L545" s="17">
        <f>IFERROR(__xludf.DUMMYFUNCTION("AVERAGE(QUERY(SORT(GOOGLEFINANCE(B545,""price"",TODAY()-365,TODAY()),1,0),""select Col2 limit 90""))"),3122.089444444445)</f>
        <v>3122.089444</v>
      </c>
      <c r="M545" s="17">
        <f>IFERROR(__xludf.DUMMYFUNCTION("AVERAGE(QUERY(SORT(GOOGLEFINANCE(B545,""price"",TODAY()-365,TODAY()),1,0),""select Col2 limit 120""))"),3087.1012500000006)</f>
        <v>3087.10125</v>
      </c>
      <c r="N545" s="19">
        <f>IFERROR(__xludf.DUMMYFUNCTION("AVERAGE(QUERY(SORT(GOOGLEFINANCE(B545,""price"",TODAY()-365,TODAY()),1,0),""select Col2 limit 200""))"),3170.3637500000004)</f>
        <v>3170.36375</v>
      </c>
      <c r="O545" s="20" t="str">
        <f t="shared" si="2"/>
        <v>Avoid</v>
      </c>
      <c r="P545" s="21" t="str">
        <f t="shared" si="3"/>
        <v/>
      </c>
      <c r="Q545" s="21" t="str">
        <f t="shared" si="4"/>
        <v/>
      </c>
      <c r="R545" s="22">
        <f>IFERROR(__xludf.DUMMYFUNCTION("GOOGLEFINANCE(B545, ""pe"")
"),31.64)</f>
        <v>31.64</v>
      </c>
    </row>
    <row r="546">
      <c r="A546" s="9" t="s">
        <v>558</v>
      </c>
      <c r="B546" s="11" t="str">
        <f t="shared" si="1"/>
        <v>NSE:JUBLPHARMA</v>
      </c>
      <c r="C546" s="12">
        <f>IFERROR(__xludf.DUMMYFUNCTION("GOOGLEFINANCE(B546,""marketcap"")/10000000"),18876.61156)</f>
        <v>18876.61156</v>
      </c>
      <c r="D546" s="13">
        <f>IFERROR(__xludf.DUMMYFUNCTION("GOOGLEFINANCE(B546,""price"")"),1189.0)</f>
        <v>1189</v>
      </c>
      <c r="E546" s="14">
        <f>IFERROR(__xludf.DUMMYFUNCTION("GOOGLEFINANCE(B546,""Volume"")"),78825.0)</f>
        <v>78825</v>
      </c>
      <c r="F546" s="14">
        <f t="array" ref="F546">F545</f>
        <v>14</v>
      </c>
      <c r="G546" s="15" t="str">
        <f>IFERROR(__xludf.DUMMYFUNCTION("IF(E546&gt;AVERAGE(INDEX(GOOGLEFINANCE(B546,""volume"",WORKDAY(TODAY(),-$F$1),TODAY()),,2)),""Breakout"","""")"),"")</f>
        <v/>
      </c>
      <c r="H546" s="16">
        <f>IFERROR(__xludf.DUMMYFUNCTION("GOOGLEFINANCE(B546,""price"")"),1189.0)</f>
        <v>1189</v>
      </c>
      <c r="I546" s="17">
        <f>IFERROR(__xludf.DUMMYFUNCTION("AVERAGE(QUERY(SORT(GOOGLEFINANCE(B546,""price"",TODAY()-365,TODAY()),1,0),""select Col2 limit 10""))"),1200.6699999999998)</f>
        <v>1200.67</v>
      </c>
      <c r="J546" s="17">
        <f>IFERROR(__xludf.DUMMYFUNCTION("AVERAGE(QUERY(SORT(GOOGLEFINANCE(B546,""price"",TODAY()-365,TODAY()),1,0),""select Col2 limit 30""))"),1174.8800000000003)</f>
        <v>1174.88</v>
      </c>
      <c r="K546" s="18">
        <f>IFERROR(__xludf.DUMMYFUNCTION("AVERAGE(QUERY(SORT(GOOGLEFINANCE(B546,""price"",TODAY()-365,TODAY()),1,0),""select Col2 limit 60""))"),1107.396666666667)</f>
        <v>1107.396667</v>
      </c>
      <c r="L546" s="17">
        <f>IFERROR(__xludf.DUMMYFUNCTION("AVERAGE(QUERY(SORT(GOOGLEFINANCE(B546,""price"",TODAY()-365,TODAY()),1,0),""select Col2 limit 90""))"),1039.1755555555553)</f>
        <v>1039.175556</v>
      </c>
      <c r="M546" s="17">
        <f>IFERROR(__xludf.DUMMYFUNCTION("AVERAGE(QUERY(SORT(GOOGLEFINANCE(B546,""price"",TODAY()-365,TODAY()),1,0),""select Col2 limit 120""))"),1016.9649999999997)</f>
        <v>1016.965</v>
      </c>
      <c r="N546" s="19">
        <f>IFERROR(__xludf.DUMMYFUNCTION("AVERAGE(QUERY(SORT(GOOGLEFINANCE(B546,""price"",TODAY()-365,TODAY()),1,0),""select Col2 limit 200""))"),1052.41925)</f>
        <v>1052.41925</v>
      </c>
      <c r="O546" s="20" t="str">
        <f t="shared" si="2"/>
        <v>Avoid</v>
      </c>
      <c r="P546" s="21" t="str">
        <f t="shared" si="3"/>
        <v>10 DMA</v>
      </c>
      <c r="Q546" s="21" t="str">
        <f t="shared" si="4"/>
        <v/>
      </c>
      <c r="R546" s="22">
        <f>IFERROR(__xludf.DUMMYFUNCTION("GOOGLEFINANCE(B546, ""pe"")
"),22.46)</f>
        <v>22.46</v>
      </c>
    </row>
    <row r="547">
      <c r="A547" s="9" t="s">
        <v>559</v>
      </c>
      <c r="B547" s="11" t="str">
        <f t="shared" si="1"/>
        <v>NSE:VOLTAMP</v>
      </c>
      <c r="C547" s="12">
        <f>IFERROR(__xludf.DUMMYFUNCTION("GOOGLEFINANCE(B547,""marketcap"")/10000000"),8712.3492765)</f>
        <v>8712.349277</v>
      </c>
      <c r="D547" s="13">
        <f>IFERROR(__xludf.DUMMYFUNCTION("GOOGLEFINANCE(B547,""price"")"),8611.5)</f>
        <v>8611.5</v>
      </c>
      <c r="E547" s="14">
        <f>IFERROR(__xludf.DUMMYFUNCTION("GOOGLEFINANCE(B547,""Volume"")"),16472.0)</f>
        <v>16472</v>
      </c>
      <c r="F547" s="14">
        <f t="array" ref="F547">F546</f>
        <v>14</v>
      </c>
      <c r="G547" s="15" t="str">
        <f>IFERROR(__xludf.DUMMYFUNCTION("IF(E547&gt;AVERAGE(INDEX(GOOGLEFINANCE(B547,""volume"",WORKDAY(TODAY(),-$F$1),TODAY()),,2)),""Breakout"","""")"),"")</f>
        <v/>
      </c>
      <c r="H547" s="16">
        <f>IFERROR(__xludf.DUMMYFUNCTION("GOOGLEFINANCE(B547,""price"")"),8611.5)</f>
        <v>8611.5</v>
      </c>
      <c r="I547" s="17">
        <f>IFERROR(__xludf.DUMMYFUNCTION("AVERAGE(QUERY(SORT(GOOGLEFINANCE(B547,""price"",TODAY()-365,TODAY()),1,0),""select Col2 limit 10""))"),9445.45)</f>
        <v>9445.45</v>
      </c>
      <c r="J547" s="17">
        <f>IFERROR(__xludf.DUMMYFUNCTION("AVERAGE(QUERY(SORT(GOOGLEFINANCE(B547,""price"",TODAY()-365,TODAY()),1,0),""select Col2 limit 30""))"),9275.0)</f>
        <v>9275</v>
      </c>
      <c r="K547" s="18">
        <f>IFERROR(__xludf.DUMMYFUNCTION("AVERAGE(QUERY(SORT(GOOGLEFINANCE(B547,""price"",TODAY()-365,TODAY()),1,0),""select Col2 limit 60""))"),8867.783333333333)</f>
        <v>8867.783333</v>
      </c>
      <c r="L547" s="17">
        <f>IFERROR(__xludf.DUMMYFUNCTION("AVERAGE(QUERY(SORT(GOOGLEFINANCE(B547,""price"",TODAY()-365,TODAY()),1,0),""select Col2 limit 90""))"),8308.729999999998)</f>
        <v>8308.73</v>
      </c>
      <c r="M547" s="17">
        <f>IFERROR(__xludf.DUMMYFUNCTION("AVERAGE(QUERY(SORT(GOOGLEFINANCE(B547,""price"",TODAY()-365,TODAY()),1,0),""select Col2 limit 120""))"),7974.571666666664)</f>
        <v>7974.571667</v>
      </c>
      <c r="N547" s="19">
        <f>IFERROR(__xludf.DUMMYFUNCTION("AVERAGE(QUERY(SORT(GOOGLEFINANCE(B547,""price"",TODAY()-365,TODAY()),1,0),""select Col2 limit 200""))"),8998.087249999999)</f>
        <v>8998.08725</v>
      </c>
      <c r="O547" s="20" t="str">
        <f t="shared" si="2"/>
        <v>Avoid</v>
      </c>
      <c r="P547" s="21" t="str">
        <f t="shared" si="3"/>
        <v/>
      </c>
      <c r="Q547" s="21" t="str">
        <f t="shared" si="4"/>
        <v/>
      </c>
      <c r="R547" s="22">
        <f>IFERROR(__xludf.DUMMYFUNCTION("GOOGLEFINANCE(B547, ""pe"")
"),26.75)</f>
        <v>26.75</v>
      </c>
    </row>
    <row r="548">
      <c r="A548" s="9" t="s">
        <v>560</v>
      </c>
      <c r="B548" s="11" t="str">
        <f t="shared" si="1"/>
        <v>NSE:RAINBOW</v>
      </c>
      <c r="C548" s="12">
        <f>IFERROR(__xludf.DUMMYFUNCTION("GOOGLEFINANCE(B548,""marketcap"")/10000000"),15589.185868)</f>
        <v>15589.18587</v>
      </c>
      <c r="D548" s="13">
        <f>IFERROR(__xludf.DUMMYFUNCTION("GOOGLEFINANCE(B548,""price"")"),1535.2)</f>
        <v>1535.2</v>
      </c>
      <c r="E548" s="14">
        <f>IFERROR(__xludf.DUMMYFUNCTION("GOOGLEFINANCE(B548,""Volume"")"),61930.0)</f>
        <v>61930</v>
      </c>
      <c r="F548" s="14">
        <f t="array" ref="F548">F547</f>
        <v>14</v>
      </c>
      <c r="G548" s="15" t="str">
        <f>IFERROR(__xludf.DUMMYFUNCTION("IF(E548&gt;AVERAGE(INDEX(GOOGLEFINANCE(B548,""volume"",WORKDAY(TODAY(),-$F$1),TODAY()),,2)),""Breakout"","""")"),"")</f>
        <v/>
      </c>
      <c r="H548" s="16">
        <f>IFERROR(__xludf.DUMMYFUNCTION("GOOGLEFINANCE(B548,""price"")"),1535.2)</f>
        <v>1535.2</v>
      </c>
      <c r="I548" s="17">
        <f>IFERROR(__xludf.DUMMYFUNCTION("AVERAGE(QUERY(SORT(GOOGLEFINANCE(B548,""price"",TODAY()-365,TODAY()),1,0),""select Col2 limit 10""))"),1540.3500000000001)</f>
        <v>1540.35</v>
      </c>
      <c r="J548" s="17">
        <f>IFERROR(__xludf.DUMMYFUNCTION("AVERAGE(QUERY(SORT(GOOGLEFINANCE(B548,""price"",TODAY()-365,TODAY()),1,0),""select Col2 limit 30""))"),1518.86)</f>
        <v>1518.86</v>
      </c>
      <c r="K548" s="18">
        <f>IFERROR(__xludf.DUMMYFUNCTION("AVERAGE(QUERY(SORT(GOOGLEFINANCE(B548,""price"",TODAY()-365,TODAY()),1,0),""select Col2 limit 60""))"),1449.646666666666)</f>
        <v>1449.646667</v>
      </c>
      <c r="L548" s="17">
        <f>IFERROR(__xludf.DUMMYFUNCTION("AVERAGE(QUERY(SORT(GOOGLEFINANCE(B548,""price"",TODAY()-365,TODAY()),1,0),""select Col2 limit 90""))"),1432.752222222222)</f>
        <v>1432.752222</v>
      </c>
      <c r="M548" s="17">
        <f>IFERROR(__xludf.DUMMYFUNCTION("AVERAGE(QUERY(SORT(GOOGLEFINANCE(B548,""price"",TODAY()-365,TODAY()),1,0),""select Col2 limit 120""))"),1404.846666666666)</f>
        <v>1404.846667</v>
      </c>
      <c r="N548" s="19">
        <f>IFERROR(__xludf.DUMMYFUNCTION("AVERAGE(QUERY(SORT(GOOGLEFINANCE(B548,""price"",TODAY()-365,TODAY()),1,0),""select Col2 limit 200""))"),1453.3654999999999)</f>
        <v>1453.3655</v>
      </c>
      <c r="O548" s="20" t="str">
        <f t="shared" si="2"/>
        <v>Avoid</v>
      </c>
      <c r="P548" s="21" t="str">
        <f t="shared" si="3"/>
        <v>10 DMA</v>
      </c>
      <c r="Q548" s="21" t="str">
        <f t="shared" si="4"/>
        <v/>
      </c>
      <c r="R548" s="22">
        <f>IFERROR(__xludf.DUMMYFUNCTION("GOOGLEFINANCE(B548, ""pe"")
"),64.25)</f>
        <v>64.25</v>
      </c>
    </row>
    <row r="549">
      <c r="A549" s="9" t="s">
        <v>561</v>
      </c>
      <c r="B549" s="11" t="str">
        <f t="shared" si="1"/>
        <v>NSE:RCF</v>
      </c>
      <c r="C549" s="12">
        <f>IFERROR(__xludf.DUMMYFUNCTION("GOOGLEFINANCE(B549,""marketcap"")/10000000"),8382.8989916)</f>
        <v>8382.898992</v>
      </c>
      <c r="D549" s="13">
        <f>IFERROR(__xludf.DUMMYFUNCTION("GOOGLEFINANCE(B549,""price"")"),151.7)</f>
        <v>151.7</v>
      </c>
      <c r="E549" s="14">
        <f>IFERROR(__xludf.DUMMYFUNCTION("GOOGLEFINANCE(B549,""Volume"")"),636459.0)</f>
        <v>636459</v>
      </c>
      <c r="F549" s="14">
        <f t="array" ref="F549">F548</f>
        <v>14</v>
      </c>
      <c r="G549" s="15" t="str">
        <f>IFERROR(__xludf.DUMMYFUNCTION("IF(E549&gt;AVERAGE(INDEX(GOOGLEFINANCE(B549,""volume"",WORKDAY(TODAY(),-$F$1),TODAY()),,2)),""Breakout"","""")"),"")</f>
        <v/>
      </c>
      <c r="H549" s="16">
        <f>IFERROR(__xludf.DUMMYFUNCTION("GOOGLEFINANCE(B549,""price"")"),151.7)</f>
        <v>151.7</v>
      </c>
      <c r="I549" s="17">
        <f>IFERROR(__xludf.DUMMYFUNCTION("AVERAGE(QUERY(SORT(GOOGLEFINANCE(B549,""price"",TODAY()-365,TODAY()),1,0),""select Col2 limit 10""))"),154.863)</f>
        <v>154.863</v>
      </c>
      <c r="J549" s="17">
        <f>IFERROR(__xludf.DUMMYFUNCTION("AVERAGE(QUERY(SORT(GOOGLEFINANCE(B549,""price"",TODAY()-365,TODAY()),1,0),""select Col2 limit 30""))"),155.492)</f>
        <v>155.492</v>
      </c>
      <c r="K549" s="18">
        <f>IFERROR(__xludf.DUMMYFUNCTION("AVERAGE(QUERY(SORT(GOOGLEFINANCE(B549,""price"",TODAY()-365,TODAY()),1,0),""select Col2 limit 60""))"),153.32549999999992)</f>
        <v>153.3255</v>
      </c>
      <c r="L549" s="17">
        <f>IFERROR(__xludf.DUMMYFUNCTION("AVERAGE(QUERY(SORT(GOOGLEFINANCE(B549,""price"",TODAY()-365,TODAY()),1,0),""select Col2 limit 90""))"),145.57633333333325)</f>
        <v>145.5763333</v>
      </c>
      <c r="M549" s="17">
        <f>IFERROR(__xludf.DUMMYFUNCTION("AVERAGE(QUERY(SORT(GOOGLEFINANCE(B549,""price"",TODAY()-365,TODAY()),1,0),""select Col2 limit 120""))"),143.19191666666663)</f>
        <v>143.1919167</v>
      </c>
      <c r="N549" s="19">
        <f>IFERROR(__xludf.DUMMYFUNCTION("AVERAGE(QUERY(SORT(GOOGLEFINANCE(B549,""price"",TODAY()-365,TODAY()),1,0),""select Col2 limit 200""))"),153.37005000000002)</f>
        <v>153.37005</v>
      </c>
      <c r="O549" s="20" t="str">
        <f t="shared" si="2"/>
        <v>Avoid</v>
      </c>
      <c r="P549" s="21" t="str">
        <f t="shared" si="3"/>
        <v/>
      </c>
      <c r="Q549" s="21" t="str">
        <f t="shared" si="4"/>
        <v/>
      </c>
      <c r="R549" s="22">
        <f>IFERROR(__xludf.DUMMYFUNCTION("GOOGLEFINANCE(B549, ""pe"")
"),34.67)</f>
        <v>34.67</v>
      </c>
    </row>
    <row r="550">
      <c r="A550" s="9" t="s">
        <v>562</v>
      </c>
      <c r="B550" s="11" t="str">
        <f t="shared" si="1"/>
        <v>NSE:CERA</v>
      </c>
      <c r="C550" s="12">
        <f>IFERROR(__xludf.DUMMYFUNCTION("GOOGLEFINANCE(B550,""marketcap"")/10000000"),8379.8352455)</f>
        <v>8379.835246</v>
      </c>
      <c r="D550" s="13">
        <f>IFERROR(__xludf.DUMMYFUNCTION("GOOGLEFINANCE(B550,""price"")"),6486.0)</f>
        <v>6486</v>
      </c>
      <c r="E550" s="14">
        <f>IFERROR(__xludf.DUMMYFUNCTION("GOOGLEFINANCE(B550,""Volume"")"),7227.0)</f>
        <v>7227</v>
      </c>
      <c r="F550" s="14">
        <f t="array" ref="F550">F549</f>
        <v>14</v>
      </c>
      <c r="G550" s="15" t="str">
        <f>IFERROR(__xludf.DUMMYFUNCTION("IF(E550&gt;AVERAGE(INDEX(GOOGLEFINANCE(B550,""volume"",WORKDAY(TODAY(),-$F$1),TODAY()),,2)),""Breakout"","""")"),"")</f>
        <v/>
      </c>
      <c r="H550" s="16">
        <f>IFERROR(__xludf.DUMMYFUNCTION("GOOGLEFINANCE(B550,""price"")"),6486.0)</f>
        <v>6486</v>
      </c>
      <c r="I550" s="17">
        <f>IFERROR(__xludf.DUMMYFUNCTION("AVERAGE(QUERY(SORT(GOOGLEFINANCE(B550,""price"",TODAY()-365,TODAY()),1,0),""select Col2 limit 10""))"),6791.65)</f>
        <v>6791.65</v>
      </c>
      <c r="J550" s="17">
        <f>IFERROR(__xludf.DUMMYFUNCTION("AVERAGE(QUERY(SORT(GOOGLEFINANCE(B550,""price"",TODAY()-365,TODAY()),1,0),""select Col2 limit 30""))"),6792.633333333333)</f>
        <v>6792.633333</v>
      </c>
      <c r="K550" s="18">
        <f>IFERROR(__xludf.DUMMYFUNCTION("AVERAGE(QUERY(SORT(GOOGLEFINANCE(B550,""price"",TODAY()-365,TODAY()),1,0),""select Col2 limit 60""))"),6597.408333333334)</f>
        <v>6597.408333</v>
      </c>
      <c r="L550" s="17">
        <f>IFERROR(__xludf.DUMMYFUNCTION("AVERAGE(QUERY(SORT(GOOGLEFINANCE(B550,""price"",TODAY()-365,TODAY()),1,0),""select Col2 limit 90""))"),6244.648888888891)</f>
        <v>6244.648889</v>
      </c>
      <c r="M550" s="17">
        <f>IFERROR(__xludf.DUMMYFUNCTION("AVERAGE(QUERY(SORT(GOOGLEFINANCE(B550,""price"",TODAY()-365,TODAY()),1,0),""select Col2 limit 120""))"),6178.992083333333)</f>
        <v>6178.992083</v>
      </c>
      <c r="N550" s="19">
        <f>IFERROR(__xludf.DUMMYFUNCTION("AVERAGE(QUERY(SORT(GOOGLEFINANCE(B550,""price"",TODAY()-365,TODAY()),1,0),""select Col2 limit 200""))"),6631.517750000002)</f>
        <v>6631.51775</v>
      </c>
      <c r="O550" s="20" t="str">
        <f t="shared" si="2"/>
        <v>Avoid</v>
      </c>
      <c r="P550" s="21" t="str">
        <f t="shared" si="3"/>
        <v/>
      </c>
      <c r="Q550" s="21" t="str">
        <f t="shared" si="4"/>
        <v/>
      </c>
      <c r="R550" s="22">
        <f>IFERROR(__xludf.DUMMYFUNCTION("GOOGLEFINANCE(B550, ""pe"")
"),34.13)</f>
        <v>34.13</v>
      </c>
    </row>
    <row r="551">
      <c r="A551" s="9" t="s">
        <v>563</v>
      </c>
      <c r="B551" s="11" t="str">
        <f t="shared" si="1"/>
        <v>NSE:CANFINHOME</v>
      </c>
      <c r="C551" s="12">
        <f>IFERROR(__xludf.DUMMYFUNCTION("GOOGLEFINANCE(B551,""marketcap"")/10000000"),10099.072877)</f>
        <v>10099.07288</v>
      </c>
      <c r="D551" s="13">
        <f>IFERROR(__xludf.DUMMYFUNCTION("GOOGLEFINANCE(B551,""price"")"),758.0)</f>
        <v>758</v>
      </c>
      <c r="E551" s="14">
        <f>IFERROR(__xludf.DUMMYFUNCTION("GOOGLEFINANCE(B551,""Volume"")"),56203.0)</f>
        <v>56203</v>
      </c>
      <c r="F551" s="14">
        <f t="array" ref="F551">F550</f>
        <v>14</v>
      </c>
      <c r="G551" s="15" t="str">
        <f>IFERROR(__xludf.DUMMYFUNCTION("IF(E551&gt;AVERAGE(INDEX(GOOGLEFINANCE(B551,""volume"",WORKDAY(TODAY(),-$F$1),TODAY()),,2)),""Breakout"","""")"),"")</f>
        <v/>
      </c>
      <c r="H551" s="16">
        <f>IFERROR(__xludf.DUMMYFUNCTION("GOOGLEFINANCE(B551,""price"")"),758.0)</f>
        <v>758</v>
      </c>
      <c r="I551" s="17">
        <f>IFERROR(__xludf.DUMMYFUNCTION("AVERAGE(QUERY(SORT(GOOGLEFINANCE(B551,""price"",TODAY()-365,TODAY()),1,0),""select Col2 limit 10""))"),798.74)</f>
        <v>798.74</v>
      </c>
      <c r="J551" s="17">
        <f>IFERROR(__xludf.DUMMYFUNCTION("AVERAGE(QUERY(SORT(GOOGLEFINANCE(B551,""price"",TODAY()-365,TODAY()),1,0),""select Col2 limit 30""))"),796.2633333333331)</f>
        <v>796.2633333</v>
      </c>
      <c r="K551" s="18">
        <f>IFERROR(__xludf.DUMMYFUNCTION("AVERAGE(QUERY(SORT(GOOGLEFINANCE(B551,""price"",TODAY()-365,TODAY()),1,0),""select Col2 limit 60""))"),777.7058333333334)</f>
        <v>777.7058333</v>
      </c>
      <c r="L551" s="17">
        <f>IFERROR(__xludf.DUMMYFUNCTION("AVERAGE(QUERY(SORT(GOOGLEFINANCE(B551,""price"",TODAY()-365,TODAY()),1,0),""select Col2 limit 90""))"),746.772777777778)</f>
        <v>746.7727778</v>
      </c>
      <c r="M551" s="17">
        <f>IFERROR(__xludf.DUMMYFUNCTION("AVERAGE(QUERY(SORT(GOOGLEFINANCE(B551,""price"",TODAY()-365,TODAY()),1,0),""select Col2 limit 120""))"),714.6237500000003)</f>
        <v>714.62375</v>
      </c>
      <c r="N551" s="19">
        <f>IFERROR(__xludf.DUMMYFUNCTION("AVERAGE(QUERY(SORT(GOOGLEFINANCE(B551,""price"",TODAY()-365,TODAY()),1,0),""select Col2 limit 200""))"),745.2442500000004)</f>
        <v>745.24425</v>
      </c>
      <c r="O551" s="20" t="str">
        <f t="shared" si="2"/>
        <v>Avoid</v>
      </c>
      <c r="P551" s="21" t="str">
        <f t="shared" si="3"/>
        <v/>
      </c>
      <c r="Q551" s="21" t="str">
        <f t="shared" si="4"/>
        <v/>
      </c>
      <c r="R551" s="22">
        <f>IFERROR(__xludf.DUMMYFUNCTION("GOOGLEFINANCE(B551, ""pe"")
"),11.45)</f>
        <v>11.45</v>
      </c>
    </row>
    <row r="552">
      <c r="A552" s="9" t="s">
        <v>564</v>
      </c>
      <c r="B552" s="11" t="str">
        <f t="shared" si="1"/>
        <v>NSE:BAJAJELEC</v>
      </c>
      <c r="C552" s="12">
        <f>IFERROR(__xludf.DUMMYFUNCTION("GOOGLEFINANCE(B552,""marketcap"")/10000000"),7341.2663203)</f>
        <v>7341.26632</v>
      </c>
      <c r="D552" s="13">
        <f>IFERROR(__xludf.DUMMYFUNCTION("GOOGLEFINANCE(B552,""price"")"),636.45)</f>
        <v>636.45</v>
      </c>
      <c r="E552" s="14">
        <f>IFERROR(__xludf.DUMMYFUNCTION("GOOGLEFINANCE(B552,""Volume"")"),22760.0)</f>
        <v>22760</v>
      </c>
      <c r="F552" s="14">
        <f t="array" ref="F552">F551</f>
        <v>14</v>
      </c>
      <c r="G552" s="15" t="str">
        <f>IFERROR(__xludf.DUMMYFUNCTION("IF(E552&gt;AVERAGE(INDEX(GOOGLEFINANCE(B552,""volume"",WORKDAY(TODAY(),-$F$1),TODAY()),,2)),""Breakout"","""")"),"")</f>
        <v/>
      </c>
      <c r="H552" s="16">
        <f>IFERROR(__xludf.DUMMYFUNCTION("GOOGLEFINANCE(B552,""price"")"),636.45)</f>
        <v>636.45</v>
      </c>
      <c r="I552" s="17">
        <f>IFERROR(__xludf.DUMMYFUNCTION("AVERAGE(QUERY(SORT(GOOGLEFINANCE(B552,""price"",TODAY()-365,TODAY()),1,0),""select Col2 limit 10""))"),665.6600000000001)</f>
        <v>665.66</v>
      </c>
      <c r="J552" s="17">
        <f>IFERROR(__xludf.DUMMYFUNCTION("AVERAGE(QUERY(SORT(GOOGLEFINANCE(B552,""price"",TODAY()-365,TODAY()),1,0),""select Col2 limit 30""))"),672.6083333333335)</f>
        <v>672.6083333</v>
      </c>
      <c r="K552" s="18">
        <f>IFERROR(__xludf.DUMMYFUNCTION("AVERAGE(QUERY(SORT(GOOGLEFINANCE(B552,""price"",TODAY()-365,TODAY()),1,0),""select Col2 limit 60""))"),656.5850000000002)</f>
        <v>656.585</v>
      </c>
      <c r="L552" s="17">
        <f>IFERROR(__xludf.DUMMYFUNCTION("AVERAGE(QUERY(SORT(GOOGLEFINANCE(B552,""price"",TODAY()-365,TODAY()),1,0),""select Col2 limit 90""))"),622.8577777777778)</f>
        <v>622.8577778</v>
      </c>
      <c r="M552" s="17">
        <f>IFERROR(__xludf.DUMMYFUNCTION("AVERAGE(QUERY(SORT(GOOGLEFINANCE(B552,""price"",TODAY()-365,TODAY()),1,0),""select Col2 limit 120""))"),631.9837500000002)</f>
        <v>631.98375</v>
      </c>
      <c r="N552" s="19">
        <f>IFERROR(__xludf.DUMMYFUNCTION("AVERAGE(QUERY(SORT(GOOGLEFINANCE(B552,""price"",TODAY()-365,TODAY()),1,0),""select Col2 limit 200""))"),701.1514999999999)</f>
        <v>701.1515</v>
      </c>
      <c r="O552" s="20" t="str">
        <f t="shared" si="2"/>
        <v>Avoid</v>
      </c>
      <c r="P552" s="21" t="str">
        <f t="shared" si="3"/>
        <v/>
      </c>
      <c r="Q552" s="21" t="str">
        <f t="shared" si="4"/>
        <v/>
      </c>
      <c r="R552" s="22">
        <f>IFERROR(__xludf.DUMMYFUNCTION("GOOGLEFINANCE(B552, ""pe"")
"),55.07)</f>
        <v>55.07</v>
      </c>
    </row>
    <row r="553">
      <c r="A553" s="9" t="s">
        <v>565</v>
      </c>
      <c r="B553" s="11" t="str">
        <f t="shared" si="1"/>
        <v>NSE:HMT</v>
      </c>
      <c r="C553" s="12">
        <f>IFERROR(__xludf.DUMMYFUNCTION("GOOGLEFINANCE(B553,""marketcap"")/10000000"),6983.7278)</f>
        <v>6983.7278</v>
      </c>
      <c r="D553" s="13">
        <f>IFERROR(__xludf.DUMMYFUNCTION("GOOGLEFINANCE(B553,""price"")"),57.51)</f>
        <v>57.51</v>
      </c>
      <c r="E553" s="14">
        <f>IFERROR(__xludf.DUMMYFUNCTION("GOOGLEFINANCE(B553,""Volume"")"),6303.0)</f>
        <v>6303</v>
      </c>
      <c r="F553" s="14">
        <f t="array" ref="F553">F552</f>
        <v>14</v>
      </c>
      <c r="G553" s="15" t="str">
        <f>IFERROR(__xludf.DUMMYFUNCTION("IF(E553&gt;AVERAGE(INDEX(GOOGLEFINANCE(B553,""volume"",WORKDAY(TODAY(),-$F$1),TODAY()),,2)),""Breakout"","""")"),"")</f>
        <v/>
      </c>
      <c r="H553" s="16">
        <f>IFERROR(__xludf.DUMMYFUNCTION("GOOGLEFINANCE(B553,""price"")"),57.51)</f>
        <v>57.51</v>
      </c>
      <c r="I553" s="17">
        <f>IFERROR(__xludf.DUMMYFUNCTION("AVERAGE(QUERY(SORT(GOOGLEFINANCE(B553,""price"",TODAY()-365,TODAY()),1,0),""select Col2 limit 10""))"),62.86099999999999)</f>
        <v>62.861</v>
      </c>
      <c r="J553" s="17">
        <f>IFERROR(__xludf.DUMMYFUNCTION("AVERAGE(QUERY(SORT(GOOGLEFINANCE(B553,""price"",TODAY()-365,TODAY()),1,0),""select Col2 limit 30""))"),64.82466666666666)</f>
        <v>64.82466667</v>
      </c>
      <c r="K553" s="18">
        <f>IFERROR(__xludf.DUMMYFUNCTION("AVERAGE(QUERY(SORT(GOOGLEFINANCE(B553,""price"",TODAY()-365,TODAY()),1,0),""select Col2 limit 60""))"),60.84)</f>
        <v>60.84</v>
      </c>
      <c r="L553" s="17">
        <f>IFERROR(__xludf.DUMMYFUNCTION("AVERAGE(QUERY(SORT(GOOGLEFINANCE(B553,""price"",TODAY()-365,TODAY()),1,0),""select Col2 limit 90""))"),56.95622222222224)</f>
        <v>56.95622222</v>
      </c>
      <c r="M553" s="17">
        <f>IFERROR(__xludf.DUMMYFUNCTION("AVERAGE(QUERY(SORT(GOOGLEFINANCE(B553,""price"",TODAY()-365,TODAY()),1,0),""select Col2 limit 120""))"),56.702833333333345)</f>
        <v>56.70283333</v>
      </c>
      <c r="N553" s="19">
        <f>IFERROR(__xludf.DUMMYFUNCTION("AVERAGE(QUERY(SORT(GOOGLEFINANCE(B553,""price"",TODAY()-365,TODAY()),1,0),""select Col2 limit 200""))"),61.66945000000001)</f>
        <v>61.66945</v>
      </c>
      <c r="O553" s="20" t="str">
        <f t="shared" si="2"/>
        <v>Avoid</v>
      </c>
      <c r="P553" s="21" t="str">
        <f t="shared" si="3"/>
        <v/>
      </c>
      <c r="Q553" s="21" t="str">
        <f t="shared" si="4"/>
        <v/>
      </c>
      <c r="R553" s="22">
        <f>IFERROR(__xludf.DUMMYFUNCTION("GOOGLEFINANCE(B553, ""pe"")
"),0.81)</f>
        <v>0.81</v>
      </c>
    </row>
    <row r="554">
      <c r="A554" s="9" t="s">
        <v>566</v>
      </c>
      <c r="B554" s="11" t="str">
        <f t="shared" si="1"/>
        <v>NSE:AETHER</v>
      </c>
      <c r="C554" s="12">
        <f>IFERROR(__xludf.DUMMYFUNCTION("GOOGLEFINANCE(B554,""marketcap"")/10000000"),10165.6831288)</f>
        <v>10165.68313</v>
      </c>
      <c r="D554" s="13">
        <f>IFERROR(__xludf.DUMMYFUNCTION("GOOGLEFINANCE(B554,""price"")"),765.0)</f>
        <v>765</v>
      </c>
      <c r="E554" s="14">
        <f>IFERROR(__xludf.DUMMYFUNCTION("GOOGLEFINANCE(B554,""Volume"")"),146661.0)</f>
        <v>146661</v>
      </c>
      <c r="F554" s="14">
        <f t="array" ref="F554">F553</f>
        <v>14</v>
      </c>
      <c r="G554" s="15" t="str">
        <f>IFERROR(__xludf.DUMMYFUNCTION("IF(E554&gt;AVERAGE(INDEX(GOOGLEFINANCE(B554,""volume"",WORKDAY(TODAY(),-$F$1),TODAY()),,2)),""Breakout"","""")"),"")</f>
        <v/>
      </c>
      <c r="H554" s="16">
        <f>IFERROR(__xludf.DUMMYFUNCTION("GOOGLEFINANCE(B554,""price"")"),765.0)</f>
        <v>765</v>
      </c>
      <c r="I554" s="17">
        <f>IFERROR(__xludf.DUMMYFUNCTION("AVERAGE(QUERY(SORT(GOOGLEFINANCE(B554,""price"",TODAY()-365,TODAY()),1,0),""select Col2 limit 10""))"),808.89)</f>
        <v>808.89</v>
      </c>
      <c r="J554" s="17">
        <f>IFERROR(__xludf.DUMMYFUNCTION("AVERAGE(QUERY(SORT(GOOGLEFINANCE(B554,""price"",TODAY()-365,TODAY()),1,0),""select Col2 limit 30""))"),784.8483333333334)</f>
        <v>784.8483333</v>
      </c>
      <c r="K554" s="18">
        <f>IFERROR(__xludf.DUMMYFUNCTION("AVERAGE(QUERY(SORT(GOOGLEFINANCE(B554,""price"",TODAY()-365,TODAY()),1,0),""select Col2 limit 60""))"),777.5383333333333)</f>
        <v>777.5383333</v>
      </c>
      <c r="L554" s="17">
        <f>IFERROR(__xludf.DUMMYFUNCTION("AVERAGE(QUERY(SORT(GOOGLEFINANCE(B554,""price"",TODAY()-365,TODAY()),1,0),""select Col2 limit 90""))"),795.1600000000001)</f>
        <v>795.16</v>
      </c>
      <c r="M554" s="17">
        <f>IFERROR(__xludf.DUMMYFUNCTION("AVERAGE(QUERY(SORT(GOOGLEFINANCE(B554,""price"",TODAY()-365,TODAY()),1,0),""select Col2 limit 120""))"),805.3974999999996)</f>
        <v>805.3975</v>
      </c>
      <c r="N554" s="19">
        <f>IFERROR(__xludf.DUMMYFUNCTION("AVERAGE(QUERY(SORT(GOOGLEFINANCE(B554,""price"",TODAY()-365,TODAY()),1,0),""select Col2 limit 200""))"),828.6467500000002)</f>
        <v>828.64675</v>
      </c>
      <c r="O554" s="20" t="str">
        <f t="shared" si="2"/>
        <v>Avoid</v>
      </c>
      <c r="P554" s="21" t="str">
        <f t="shared" si="3"/>
        <v/>
      </c>
      <c r="Q554" s="21" t="str">
        <f t="shared" si="4"/>
        <v/>
      </c>
      <c r="R554" s="22">
        <f>IFERROR(__xludf.DUMMYFUNCTION("GOOGLEFINANCE(B554, ""pe"")
"),57.86)</f>
        <v>57.86</v>
      </c>
    </row>
    <row r="555">
      <c r="A555" s="9" t="s">
        <v>567</v>
      </c>
      <c r="B555" s="11" t="str">
        <f t="shared" si="1"/>
        <v>NSE:ZENTEC</v>
      </c>
      <c r="C555" s="12">
        <f>IFERROR(__xludf.DUMMYFUNCTION("GOOGLEFINANCE(B555,""marketcap"")/10000000"),15199.1693886)</f>
        <v>15199.16939</v>
      </c>
      <c r="D555" s="13">
        <f>IFERROR(__xludf.DUMMYFUNCTION("GOOGLEFINANCE(B555,""price"")"),1690.7)</f>
        <v>1690.7</v>
      </c>
      <c r="E555" s="14">
        <f>IFERROR(__xludf.DUMMYFUNCTION("GOOGLEFINANCE(B555,""Volume"")"),51540.0)</f>
        <v>51540</v>
      </c>
      <c r="F555" s="14">
        <f t="array" ref="F555">F554</f>
        <v>14</v>
      </c>
      <c r="G555" s="15" t="str">
        <f>IFERROR(__xludf.DUMMYFUNCTION("IF(E555&gt;AVERAGE(INDEX(GOOGLEFINANCE(B555,""volume"",WORKDAY(TODAY(),-$F$1),TODAY()),,2)),""Breakout"","""")"),"")</f>
        <v/>
      </c>
      <c r="H555" s="16">
        <f>IFERROR(__xludf.DUMMYFUNCTION("GOOGLEFINANCE(B555,""price"")"),1690.7)</f>
        <v>1690.7</v>
      </c>
      <c r="I555" s="17">
        <f>IFERROR(__xludf.DUMMYFUNCTION("AVERAGE(QUERY(SORT(GOOGLEFINANCE(B555,""price"",TODAY()-365,TODAY()),1,0),""select Col2 limit 10""))"),1858.8)</f>
        <v>1858.8</v>
      </c>
      <c r="J555" s="17">
        <f>IFERROR(__xludf.DUMMYFUNCTION("AVERAGE(QUERY(SORT(GOOGLEFINANCE(B555,""price"",TODAY()-365,TODAY()),1,0),""select Col2 limit 30""))"),1908.62)</f>
        <v>1908.62</v>
      </c>
      <c r="K555" s="18">
        <f>IFERROR(__xludf.DUMMYFUNCTION("AVERAGE(QUERY(SORT(GOOGLEFINANCE(B555,""price"",TODAY()-365,TODAY()),1,0),""select Col2 limit 60""))"),1874.1416666666664)</f>
        <v>1874.141667</v>
      </c>
      <c r="L555" s="17">
        <f>IFERROR(__xludf.DUMMYFUNCTION("AVERAGE(QUERY(SORT(GOOGLEFINANCE(B555,""price"",TODAY()-365,TODAY()),1,0),""select Col2 limit 90""))"),1724.8072222222224)</f>
        <v>1724.807222</v>
      </c>
      <c r="M555" s="17">
        <f>IFERROR(__xludf.DUMMYFUNCTION("AVERAGE(QUERY(SORT(GOOGLEFINANCE(B555,""price"",TODAY()-365,TODAY()),1,0),""select Col2 limit 120""))"),1620.2762500000003)</f>
        <v>1620.27625</v>
      </c>
      <c r="N555" s="19">
        <f>IFERROR(__xludf.DUMMYFUNCTION("AVERAGE(QUERY(SORT(GOOGLEFINANCE(B555,""price"",TODAY()-365,TODAY()),1,0),""select Col2 limit 200""))"),1780.7685000000013)</f>
        <v>1780.7685</v>
      </c>
      <c r="O555" s="20" t="str">
        <f t="shared" si="2"/>
        <v>Avoid</v>
      </c>
      <c r="P555" s="21" t="str">
        <f t="shared" si="3"/>
        <v/>
      </c>
      <c r="Q555" s="21" t="str">
        <f t="shared" si="4"/>
        <v/>
      </c>
      <c r="R555" s="22">
        <f>IFERROR(__xludf.DUMMYFUNCTION("GOOGLEFINANCE(B555, ""pe"")
"),52.72)</f>
        <v>52.72</v>
      </c>
    </row>
    <row r="556">
      <c r="A556" s="9" t="s">
        <v>568</v>
      </c>
      <c r="B556" s="11" t="str">
        <f t="shared" si="1"/>
        <v>NSE:CUB</v>
      </c>
      <c r="C556" s="12">
        <f>IFERROR(__xludf.DUMMYFUNCTION("GOOGLEFINANCE(B556,""marketcap"")/10000000"),15420.3810942)</f>
        <v>15420.38109</v>
      </c>
      <c r="D556" s="13">
        <f>IFERROR(__xludf.DUMMYFUNCTION("GOOGLEFINANCE(B556,""price"")"),208.05)</f>
        <v>208.05</v>
      </c>
      <c r="E556" s="14">
        <f>IFERROR(__xludf.DUMMYFUNCTION("GOOGLEFINANCE(B556,""Volume"")"),628068.0)</f>
        <v>628068</v>
      </c>
      <c r="F556" s="14">
        <f t="array" ref="F556">F555</f>
        <v>14</v>
      </c>
      <c r="G556" s="15" t="str">
        <f>IFERROR(__xludf.DUMMYFUNCTION("IF(E556&gt;AVERAGE(INDEX(GOOGLEFINANCE(B556,""volume"",WORKDAY(TODAY(),-$F$1),TODAY()),,2)),""Breakout"","""")"),"")</f>
        <v/>
      </c>
      <c r="H556" s="16">
        <f>IFERROR(__xludf.DUMMYFUNCTION("GOOGLEFINANCE(B556,""price"")"),208.05)</f>
        <v>208.05</v>
      </c>
      <c r="I556" s="17">
        <f>IFERROR(__xludf.DUMMYFUNCTION("AVERAGE(QUERY(SORT(GOOGLEFINANCE(B556,""price"",TODAY()-365,TODAY()),1,0),""select Col2 limit 10""))"),213.522)</f>
        <v>213.522</v>
      </c>
      <c r="J556" s="17">
        <f>IFERROR(__xludf.DUMMYFUNCTION("AVERAGE(QUERY(SORT(GOOGLEFINANCE(B556,""price"",TODAY()-365,TODAY()),1,0),""select Col2 limit 30""))"),209.16933333333336)</f>
        <v>209.1693333</v>
      </c>
      <c r="K556" s="18">
        <f>IFERROR(__xludf.DUMMYFUNCTION("AVERAGE(QUERY(SORT(GOOGLEFINANCE(B556,""price"",TODAY()-365,TODAY()),1,0),""select Col2 limit 60""))"),201.32666666666668)</f>
        <v>201.3266667</v>
      </c>
      <c r="L556" s="17">
        <f>IFERROR(__xludf.DUMMYFUNCTION("AVERAGE(QUERY(SORT(GOOGLEFINANCE(B556,""price"",TODAY()-365,TODAY()),1,0),""select Col2 limit 90""))"),189.63911111111108)</f>
        <v>189.6391111</v>
      </c>
      <c r="M556" s="17">
        <f>IFERROR(__xludf.DUMMYFUNCTION("AVERAGE(QUERY(SORT(GOOGLEFINANCE(B556,""price"",TODAY()-365,TODAY()),1,0),""select Col2 limit 120""))"),182.34058333333326)</f>
        <v>182.3405833</v>
      </c>
      <c r="N556" s="19">
        <f>IFERROR(__xludf.DUMMYFUNCTION("AVERAGE(QUERY(SORT(GOOGLEFINANCE(B556,""price"",TODAY()-365,TODAY()),1,0),""select Col2 limit 200""))"),178.0974)</f>
        <v>178.0974</v>
      </c>
      <c r="O556" s="20" t="str">
        <f t="shared" si="2"/>
        <v>Avoid</v>
      </c>
      <c r="P556" s="21" t="str">
        <f t="shared" si="3"/>
        <v>30 DMA</v>
      </c>
      <c r="Q556" s="21" t="str">
        <f t="shared" si="4"/>
        <v/>
      </c>
      <c r="R556" s="22">
        <f>IFERROR(__xludf.DUMMYFUNCTION("GOOGLEFINANCE(B556, ""pe"")
"),13.81)</f>
        <v>13.81</v>
      </c>
    </row>
    <row r="557">
      <c r="A557" s="9" t="s">
        <v>569</v>
      </c>
      <c r="B557" s="11" t="str">
        <f t="shared" si="1"/>
        <v>NSE:JKTYRE</v>
      </c>
      <c r="C557" s="12">
        <f>IFERROR(__xludf.DUMMYFUNCTION("GOOGLEFINANCE(B557,""marketcap"")/10000000"),9383.8152344)</f>
        <v>9383.815234</v>
      </c>
      <c r="D557" s="13">
        <f>IFERROR(__xludf.DUMMYFUNCTION("GOOGLEFINANCE(B557,""price"")"),342.15)</f>
        <v>342.15</v>
      </c>
      <c r="E557" s="14">
        <f>IFERROR(__xludf.DUMMYFUNCTION("GOOGLEFINANCE(B557,""Volume"")"),153914.0)</f>
        <v>153914</v>
      </c>
      <c r="F557" s="14">
        <f t="array" ref="F557">F556</f>
        <v>14</v>
      </c>
      <c r="G557" s="15" t="str">
        <f>IFERROR(__xludf.DUMMYFUNCTION("IF(E557&gt;AVERAGE(INDEX(GOOGLEFINANCE(B557,""volume"",WORKDAY(TODAY(),-$F$1),TODAY()),,2)),""Breakout"","""")"),"")</f>
        <v/>
      </c>
      <c r="H557" s="16">
        <f>IFERROR(__xludf.DUMMYFUNCTION("GOOGLEFINANCE(B557,""price"")"),342.15)</f>
        <v>342.15</v>
      </c>
      <c r="I557" s="17">
        <f>IFERROR(__xludf.DUMMYFUNCTION("AVERAGE(QUERY(SORT(GOOGLEFINANCE(B557,""price"",TODAY()-365,TODAY()),1,0),""select Col2 limit 10""))"),361.355)</f>
        <v>361.355</v>
      </c>
      <c r="J557" s="17">
        <f>IFERROR(__xludf.DUMMYFUNCTION("AVERAGE(QUERY(SORT(GOOGLEFINANCE(B557,""price"",TODAY()-365,TODAY()),1,0),""select Col2 limit 30""))"),361.0066666666666)</f>
        <v>361.0066667</v>
      </c>
      <c r="K557" s="18">
        <f>IFERROR(__xludf.DUMMYFUNCTION("AVERAGE(QUERY(SORT(GOOGLEFINANCE(B557,""price"",TODAY()-365,TODAY()),1,0),""select Col2 limit 60""))"),360.4716666666667)</f>
        <v>360.4716667</v>
      </c>
      <c r="L557" s="17">
        <f>IFERROR(__xludf.DUMMYFUNCTION("AVERAGE(QUERY(SORT(GOOGLEFINANCE(B557,""price"",TODAY()-365,TODAY()),1,0),""select Col2 limit 90""))"),337.75722222222237)</f>
        <v>337.7572222</v>
      </c>
      <c r="M557" s="17">
        <f>IFERROR(__xludf.DUMMYFUNCTION("AVERAGE(QUERY(SORT(GOOGLEFINANCE(B557,""price"",TODAY()-365,TODAY()),1,0),""select Col2 limit 120""))"),325.0904166666669)</f>
        <v>325.0904167</v>
      </c>
      <c r="N557" s="19">
        <f>IFERROR(__xludf.DUMMYFUNCTION("AVERAGE(QUERY(SORT(GOOGLEFINANCE(B557,""price"",TODAY()-365,TODAY()),1,0),""select Col2 limit 200""))"),347.6130000000002)</f>
        <v>347.613</v>
      </c>
      <c r="O557" s="20" t="str">
        <f t="shared" si="2"/>
        <v>Avoid</v>
      </c>
      <c r="P557" s="21" t="str">
        <f t="shared" si="3"/>
        <v/>
      </c>
      <c r="Q557" s="21" t="str">
        <f t="shared" si="4"/>
        <v/>
      </c>
      <c r="R557" s="22">
        <f>IFERROR(__xludf.DUMMYFUNCTION("GOOGLEFINANCE(B557, ""pe"")
"),18.96)</f>
        <v>18.96</v>
      </c>
    </row>
    <row r="558">
      <c r="A558" s="9" t="s">
        <v>570</v>
      </c>
      <c r="B558" s="11" t="str">
        <f t="shared" si="1"/>
        <v>NSE:TEGA</v>
      </c>
      <c r="C558" s="12">
        <f>IFERROR(__xludf.DUMMYFUNCTION("GOOGLEFINANCE(B558,""marketcap"")/10000000"),12581.857377)</f>
        <v>12581.85738</v>
      </c>
      <c r="D558" s="13">
        <f>IFERROR(__xludf.DUMMYFUNCTION("GOOGLEFINANCE(B558,""price"")"),1892.3)</f>
        <v>1892.3</v>
      </c>
      <c r="E558" s="14">
        <f>IFERROR(__xludf.DUMMYFUNCTION("GOOGLEFINANCE(B558,""Volume"")"),84831.0)</f>
        <v>84831</v>
      </c>
      <c r="F558" s="14">
        <f t="array" ref="F558">F557</f>
        <v>14</v>
      </c>
      <c r="G558" s="15" t="str">
        <f>IFERROR(__xludf.DUMMYFUNCTION("IF(E558&gt;AVERAGE(INDEX(GOOGLEFINANCE(B558,""volume"",WORKDAY(TODAY(),-$F$1),TODAY()),,2)),""Breakout"","""")"),"")</f>
        <v/>
      </c>
      <c r="H558" s="16">
        <f>IFERROR(__xludf.DUMMYFUNCTION("GOOGLEFINANCE(B558,""price"")"),1892.3)</f>
        <v>1892.3</v>
      </c>
      <c r="I558" s="17">
        <f>IFERROR(__xludf.DUMMYFUNCTION("AVERAGE(QUERY(SORT(GOOGLEFINANCE(B558,""price"",TODAY()-365,TODAY()),1,0),""select Col2 limit 10""))"),1909.7)</f>
        <v>1909.7</v>
      </c>
      <c r="J558" s="17">
        <f>IFERROR(__xludf.DUMMYFUNCTION("AVERAGE(QUERY(SORT(GOOGLEFINANCE(B558,""price"",TODAY()-365,TODAY()),1,0),""select Col2 limit 30""))"),1687.8499999999997)</f>
        <v>1687.85</v>
      </c>
      <c r="K558" s="18">
        <f>IFERROR(__xludf.DUMMYFUNCTION("AVERAGE(QUERY(SORT(GOOGLEFINANCE(B558,""price"",TODAY()-365,TODAY()),1,0),""select Col2 limit 60""))"),1587.586666666667)</f>
        <v>1587.586667</v>
      </c>
      <c r="L558" s="17">
        <f>IFERROR(__xludf.DUMMYFUNCTION("AVERAGE(QUERY(SORT(GOOGLEFINANCE(B558,""price"",TODAY()-365,TODAY()),1,0),""select Col2 limit 90""))"),1529.5383333333332)</f>
        <v>1529.538333</v>
      </c>
      <c r="M558" s="17">
        <f>IFERROR(__xludf.DUMMYFUNCTION("AVERAGE(QUERY(SORT(GOOGLEFINANCE(B558,""price"",TODAY()-365,TODAY()),1,0),""select Col2 limit 120""))"),1498.7766666666673)</f>
        <v>1498.776667</v>
      </c>
      <c r="N558" s="19">
        <f>IFERROR(__xludf.DUMMYFUNCTION("AVERAGE(QUERY(SORT(GOOGLEFINANCE(B558,""price"",TODAY()-365,TODAY()),1,0),""select Col2 limit 200""))"),1598.6747499999994)</f>
        <v>1598.67475</v>
      </c>
      <c r="O558" s="20" t="str">
        <f t="shared" si="2"/>
        <v>Avoid</v>
      </c>
      <c r="P558" s="21" t="str">
        <f t="shared" si="3"/>
        <v>10 DMA</v>
      </c>
      <c r="Q558" s="21" t="str">
        <f t="shared" si="4"/>
        <v/>
      </c>
      <c r="R558" s="22">
        <f>IFERROR(__xludf.DUMMYFUNCTION("GOOGLEFINANCE(B558, ""pe"")
"),62.94)</f>
        <v>62.94</v>
      </c>
    </row>
    <row r="559">
      <c r="A559" s="9" t="s">
        <v>571</v>
      </c>
      <c r="B559" s="11" t="str">
        <f t="shared" si="1"/>
        <v>NSE:INOXINDIA</v>
      </c>
      <c r="C559" s="12">
        <f>IFERROR(__xludf.DUMMYFUNCTION("GOOGLEFINANCE(B559,""marketcap"")/10000000"),10671.0654275)</f>
        <v>10671.06543</v>
      </c>
      <c r="D559" s="13">
        <f>IFERROR(__xludf.DUMMYFUNCTION("GOOGLEFINANCE(B559,""price"")"),1176.8)</f>
        <v>1176.8</v>
      </c>
      <c r="E559" s="14">
        <f>IFERROR(__xludf.DUMMYFUNCTION("GOOGLEFINANCE(B559,""Volume"")"),34396.0)</f>
        <v>34396</v>
      </c>
      <c r="F559" s="14">
        <f t="array" ref="F559">F558</f>
        <v>14</v>
      </c>
      <c r="G559" s="15" t="str">
        <f>IFERROR(__xludf.DUMMYFUNCTION("IF(E559&gt;AVERAGE(INDEX(GOOGLEFINANCE(B559,""volume"",WORKDAY(TODAY(),-$F$1),TODAY()),,2)),""Breakout"","""")"),"")</f>
        <v/>
      </c>
      <c r="H559" s="16">
        <f>IFERROR(__xludf.DUMMYFUNCTION("GOOGLEFINANCE(B559,""price"")"),1176.8)</f>
        <v>1176.8</v>
      </c>
      <c r="I559" s="17">
        <f>IFERROR(__xludf.DUMMYFUNCTION("AVERAGE(QUERY(SORT(GOOGLEFINANCE(B559,""price"",TODAY()-365,TODAY()),1,0),""select Col2 limit 10""))"),1233.13)</f>
        <v>1233.13</v>
      </c>
      <c r="J559" s="17">
        <f>IFERROR(__xludf.DUMMYFUNCTION("AVERAGE(QUERY(SORT(GOOGLEFINANCE(B559,""price"",TODAY()-365,TODAY()),1,0),""select Col2 limit 30""))"),1222.4433333333334)</f>
        <v>1222.443333</v>
      </c>
      <c r="K559" s="18">
        <f>IFERROR(__xludf.DUMMYFUNCTION("AVERAGE(QUERY(SORT(GOOGLEFINANCE(B559,""price"",TODAY()-365,TODAY()),1,0),""select Col2 limit 60""))"),1185.1949999999997)</f>
        <v>1185.195</v>
      </c>
      <c r="L559" s="17">
        <f>IFERROR(__xludf.DUMMYFUNCTION("AVERAGE(QUERY(SORT(GOOGLEFINANCE(B559,""price"",TODAY()-365,TODAY()),1,0),""select Col2 limit 90""))"),1126.6716666666664)</f>
        <v>1126.671667</v>
      </c>
      <c r="M559" s="17">
        <f>IFERROR(__xludf.DUMMYFUNCTION("AVERAGE(QUERY(SORT(GOOGLEFINANCE(B559,""price"",TODAY()-365,TODAY()),1,0),""select Col2 limit 120""))"),1081.1520833333334)</f>
        <v>1081.152083</v>
      </c>
      <c r="N559" s="19">
        <f>IFERROR(__xludf.DUMMYFUNCTION("AVERAGE(QUERY(SORT(GOOGLEFINANCE(B559,""price"",TODAY()-365,TODAY()),1,0),""select Col2 limit 200""))"),1093.74425)</f>
        <v>1093.74425</v>
      </c>
      <c r="O559" s="20" t="str">
        <f t="shared" si="2"/>
        <v>Avoid</v>
      </c>
      <c r="P559" s="21" t="str">
        <f t="shared" si="3"/>
        <v>60 DMA</v>
      </c>
      <c r="Q559" s="21" t="str">
        <f t="shared" si="4"/>
        <v/>
      </c>
      <c r="R559" s="22">
        <f>IFERROR(__xludf.DUMMYFUNCTION("GOOGLEFINANCE(B559, ""pe"")
"),47.34)</f>
        <v>47.34</v>
      </c>
    </row>
    <row r="560">
      <c r="A560" s="9" t="s">
        <v>572</v>
      </c>
      <c r="B560" s="11" t="str">
        <f t="shared" si="1"/>
        <v>NSE:CAPLIPOINT</v>
      </c>
      <c r="C560" s="12">
        <f>IFERROR(__xludf.DUMMYFUNCTION("GOOGLEFINANCE(B560,""marketcap"")/10000000"),15787.625936)</f>
        <v>15787.62594</v>
      </c>
      <c r="D560" s="13">
        <f>IFERROR(__xludf.DUMMYFUNCTION("GOOGLEFINANCE(B560,""price"")"),2076.0)</f>
        <v>2076</v>
      </c>
      <c r="E560" s="14">
        <f>IFERROR(__xludf.DUMMYFUNCTION("GOOGLEFINANCE(B560,""Volume"")"),23357.0)</f>
        <v>23357</v>
      </c>
      <c r="F560" s="14">
        <f t="array" ref="F560">F559</f>
        <v>14</v>
      </c>
      <c r="G560" s="15" t="str">
        <f>IFERROR(__xludf.DUMMYFUNCTION("IF(E560&gt;AVERAGE(INDEX(GOOGLEFINANCE(B560,""volume"",WORKDAY(TODAY(),-$F$1),TODAY()),,2)),""Breakout"","""")"),"")</f>
        <v/>
      </c>
      <c r="H560" s="16">
        <f>IFERROR(__xludf.DUMMYFUNCTION("GOOGLEFINANCE(B560,""price"")"),2076.0)</f>
        <v>2076</v>
      </c>
      <c r="I560" s="17">
        <f>IFERROR(__xludf.DUMMYFUNCTION("AVERAGE(QUERY(SORT(GOOGLEFINANCE(B560,""price"",TODAY()-365,TODAY()),1,0),""select Col2 limit 10""))"),2082.13)</f>
        <v>2082.13</v>
      </c>
      <c r="J560" s="17">
        <f>IFERROR(__xludf.DUMMYFUNCTION("AVERAGE(QUERY(SORT(GOOGLEFINANCE(B560,""price"",TODAY()-365,TODAY()),1,0),""select Col2 limit 30""))"),2060.76)</f>
        <v>2060.76</v>
      </c>
      <c r="K560" s="18">
        <f>IFERROR(__xludf.DUMMYFUNCTION("AVERAGE(QUERY(SORT(GOOGLEFINANCE(B560,""price"",TODAY()-365,TODAY()),1,0),""select Col2 limit 60""))"),2069.541666666667)</f>
        <v>2069.541667</v>
      </c>
      <c r="L560" s="17">
        <f>IFERROR(__xludf.DUMMYFUNCTION("AVERAGE(QUERY(SORT(GOOGLEFINANCE(B560,""price"",TODAY()-365,TODAY()),1,0),""select Col2 limit 90""))"),2021.607777777778)</f>
        <v>2021.607778</v>
      </c>
      <c r="M560" s="17">
        <f>IFERROR(__xludf.DUMMYFUNCTION("AVERAGE(QUERY(SORT(GOOGLEFINANCE(B560,""price"",TODAY()-365,TODAY()),1,0),""select Col2 limit 120""))"),2011.7950000000003)</f>
        <v>2011.795</v>
      </c>
      <c r="N560" s="19">
        <f>IFERROR(__xludf.DUMMYFUNCTION("AVERAGE(QUERY(SORT(GOOGLEFINANCE(B560,""price"",TODAY()-365,TODAY()),1,0),""select Col2 limit 200""))"),2072.975000000001)</f>
        <v>2072.975</v>
      </c>
      <c r="O560" s="20" t="str">
        <f t="shared" si="2"/>
        <v>Avoid</v>
      </c>
      <c r="P560" s="21" t="str">
        <f t="shared" si="3"/>
        <v>10 DMA</v>
      </c>
      <c r="Q560" s="21" t="str">
        <f t="shared" si="4"/>
        <v/>
      </c>
      <c r="R560" s="22">
        <f>IFERROR(__xludf.DUMMYFUNCTION("GOOGLEFINANCE(B560, ""pe"")
"),29.56)</f>
        <v>29.56</v>
      </c>
    </row>
    <row r="561">
      <c r="A561" s="9" t="s">
        <v>573</v>
      </c>
      <c r="B561" s="11" t="str">
        <f t="shared" si="1"/>
        <v>NSE:HAPPYFORGE</v>
      </c>
      <c r="C561" s="12">
        <f>IFERROR(__xludf.DUMMYFUNCTION("GOOGLEFINANCE(B561,""marketcap"")/10000000"),8827.1315929)</f>
        <v>8827.131593</v>
      </c>
      <c r="D561" s="13">
        <f>IFERROR(__xludf.DUMMYFUNCTION("GOOGLEFINANCE(B561,""price"")"),942.75)</f>
        <v>942.75</v>
      </c>
      <c r="E561" s="14">
        <f>IFERROR(__xludf.DUMMYFUNCTION("GOOGLEFINANCE(B561,""Volume"")"),5840.0)</f>
        <v>5840</v>
      </c>
      <c r="F561" s="14">
        <f t="array" ref="F561">F560</f>
        <v>14</v>
      </c>
      <c r="G561" s="15" t="str">
        <f>IFERROR(__xludf.DUMMYFUNCTION("IF(E561&gt;AVERAGE(INDEX(GOOGLEFINANCE(B561,""volume"",WORKDAY(TODAY(),-$F$1),TODAY()),,2)),""Breakout"","""")"),"")</f>
        <v/>
      </c>
      <c r="H561" s="16">
        <f>IFERROR(__xludf.DUMMYFUNCTION("GOOGLEFINANCE(B561,""price"")"),942.75)</f>
        <v>942.75</v>
      </c>
      <c r="I561" s="17">
        <f>IFERROR(__xludf.DUMMYFUNCTION("AVERAGE(QUERY(SORT(GOOGLEFINANCE(B561,""price"",TODAY()-365,TODAY()),1,0),""select Col2 limit 10""))"),949.71)</f>
        <v>949.71</v>
      </c>
      <c r="J561" s="17">
        <f>IFERROR(__xludf.DUMMYFUNCTION("AVERAGE(QUERY(SORT(GOOGLEFINANCE(B561,""price"",TODAY()-365,TODAY()),1,0),""select Col2 limit 30""))"),957.0099999999999)</f>
        <v>957.01</v>
      </c>
      <c r="K561" s="18">
        <f>IFERROR(__xludf.DUMMYFUNCTION("AVERAGE(QUERY(SORT(GOOGLEFINANCE(B561,""price"",TODAY()-365,TODAY()),1,0),""select Col2 limit 60""))"),920.3508333333335)</f>
        <v>920.3508333</v>
      </c>
      <c r="L561" s="17">
        <f>IFERROR(__xludf.DUMMYFUNCTION("AVERAGE(QUERY(SORT(GOOGLEFINANCE(B561,""price"",TODAY()-365,TODAY()),1,0),""select Col2 limit 90""))"),877.339444444445)</f>
        <v>877.3394444</v>
      </c>
      <c r="M561" s="17">
        <f>IFERROR(__xludf.DUMMYFUNCTION("AVERAGE(QUERY(SORT(GOOGLEFINANCE(B561,""price"",TODAY()-365,TODAY()),1,0),""select Col2 limit 120""))"),882.7875000000004)</f>
        <v>882.7875</v>
      </c>
      <c r="N561" s="19">
        <f>IFERROR(__xludf.DUMMYFUNCTION("AVERAGE(QUERY(SORT(GOOGLEFINANCE(B561,""price"",TODAY()-365,TODAY()),1,0),""select Col2 limit 200""))"),955.8305000000005)</f>
        <v>955.8305</v>
      </c>
      <c r="O561" s="20" t="str">
        <f t="shared" si="2"/>
        <v>Avoid</v>
      </c>
      <c r="P561" s="21" t="str">
        <f t="shared" si="3"/>
        <v>10 DMA</v>
      </c>
      <c r="Q561" s="21" t="str">
        <f t="shared" si="4"/>
        <v/>
      </c>
      <c r="R561" s="22">
        <f>IFERROR(__xludf.DUMMYFUNCTION("GOOGLEFINANCE(B561, ""pe"")
"),33.33)</f>
        <v>33.33</v>
      </c>
    </row>
    <row r="562">
      <c r="A562" s="9" t="s">
        <v>574</v>
      </c>
      <c r="B562" s="11" t="str">
        <f t="shared" si="1"/>
        <v>NSE:NAVA</v>
      </c>
      <c r="C562" s="12">
        <f>IFERROR(__xludf.DUMMYFUNCTION("GOOGLEFINANCE(B562,""marketcap"")/10000000"),17079.128455)</f>
        <v>17079.12846</v>
      </c>
      <c r="D562" s="13">
        <f>IFERROR(__xludf.DUMMYFUNCTION("GOOGLEFINANCE(B562,""price"")"),603.0)</f>
        <v>603</v>
      </c>
      <c r="E562" s="14">
        <f>IFERROR(__xludf.DUMMYFUNCTION("GOOGLEFINANCE(B562,""Volume"")"),328369.0)</f>
        <v>328369</v>
      </c>
      <c r="F562" s="14">
        <f t="array" ref="F562">F561</f>
        <v>14</v>
      </c>
      <c r="G562" s="15" t="str">
        <f>IFERROR(__xludf.DUMMYFUNCTION("IF(E562&gt;AVERAGE(INDEX(GOOGLEFINANCE(B562,""volume"",WORKDAY(TODAY(),-$F$1),TODAY()),,2)),""Breakout"","""")"),"")</f>
        <v/>
      </c>
      <c r="H562" s="16">
        <f>IFERROR(__xludf.DUMMYFUNCTION("GOOGLEFINANCE(B562,""price"")"),603.0)</f>
        <v>603</v>
      </c>
      <c r="I562" s="17">
        <f>IFERROR(__xludf.DUMMYFUNCTION("AVERAGE(QUERY(SORT(GOOGLEFINANCE(B562,""price"",TODAY()-365,TODAY()),1,0),""select Col2 limit 10""))"),613.845)</f>
        <v>613.845</v>
      </c>
      <c r="J562" s="17">
        <f>IFERROR(__xludf.DUMMYFUNCTION("AVERAGE(QUERY(SORT(GOOGLEFINANCE(B562,""price"",TODAY()-365,TODAY()),1,0),""select Col2 limit 30""))"),595.7)</f>
        <v>595.7</v>
      </c>
      <c r="K562" s="18">
        <f>IFERROR(__xludf.DUMMYFUNCTION("AVERAGE(QUERY(SORT(GOOGLEFINANCE(B562,""price"",TODAY()-365,TODAY()),1,0),""select Col2 limit 60""))"),538.14)</f>
        <v>538.14</v>
      </c>
      <c r="L562" s="17">
        <f>IFERROR(__xludf.DUMMYFUNCTION("AVERAGE(QUERY(SORT(GOOGLEFINANCE(B562,""price"",TODAY()-365,TODAY()),1,0),""select Col2 limit 90""))"),518.115)</f>
        <v>518.115</v>
      </c>
      <c r="M562" s="17">
        <f>IFERROR(__xludf.DUMMYFUNCTION("AVERAGE(QUERY(SORT(GOOGLEFINANCE(B562,""price"",TODAY()-365,TODAY()),1,0),""select Col2 limit 120""))"),491.43291666666664)</f>
        <v>491.4329167</v>
      </c>
      <c r="N562" s="19">
        <f>IFERROR(__xludf.DUMMYFUNCTION("AVERAGE(QUERY(SORT(GOOGLEFINANCE(B562,""price"",TODAY()-365,TODAY()),1,0),""select Col2 limit 200""))"),490.8040500000001)</f>
        <v>490.80405</v>
      </c>
      <c r="O562" s="20" t="str">
        <f t="shared" si="2"/>
        <v>Avoid</v>
      </c>
      <c r="P562" s="21" t="str">
        <f t="shared" si="3"/>
        <v/>
      </c>
      <c r="Q562" s="21" t="str">
        <f t="shared" si="4"/>
        <v/>
      </c>
      <c r="R562" s="22">
        <f>IFERROR(__xludf.DUMMYFUNCTION("GOOGLEFINANCE(B562, ""pe"")
"),15.99)</f>
        <v>15.99</v>
      </c>
    </row>
    <row r="563">
      <c r="A563" s="9" t="s">
        <v>575</v>
      </c>
      <c r="B563" s="11" t="str">
        <f t="shared" si="1"/>
        <v>NSE:LEMONTREE</v>
      </c>
      <c r="C563" s="12">
        <f>IFERROR(__xludf.DUMMYFUNCTION("GOOGLEFINANCE(B563,""marketcap"")/10000000"),12088.3472781)</f>
        <v>12088.34728</v>
      </c>
      <c r="D563" s="13">
        <f>IFERROR(__xludf.DUMMYFUNCTION("GOOGLEFINANCE(B563,""price"")"),153.09)</f>
        <v>153.09</v>
      </c>
      <c r="E563" s="14">
        <f>IFERROR(__xludf.DUMMYFUNCTION("GOOGLEFINANCE(B563,""Volume"")"),839035.0)</f>
        <v>839035</v>
      </c>
      <c r="F563" s="14">
        <f t="array" ref="F563">F562</f>
        <v>14</v>
      </c>
      <c r="G563" s="15" t="str">
        <f>IFERROR(__xludf.DUMMYFUNCTION("IF(E563&gt;AVERAGE(INDEX(GOOGLEFINANCE(B563,""volume"",WORKDAY(TODAY(),-$F$1),TODAY()),,2)),""Breakout"","""")"),"")</f>
        <v/>
      </c>
      <c r="H563" s="16">
        <f>IFERROR(__xludf.DUMMYFUNCTION("GOOGLEFINANCE(B563,""price"")"),153.09)</f>
        <v>153.09</v>
      </c>
      <c r="I563" s="17">
        <f>IFERROR(__xludf.DUMMYFUNCTION("AVERAGE(QUERY(SORT(GOOGLEFINANCE(B563,""price"",TODAY()-365,TODAY()),1,0),""select Col2 limit 10""))"),154.926)</f>
        <v>154.926</v>
      </c>
      <c r="J563" s="17">
        <f>IFERROR(__xludf.DUMMYFUNCTION("AVERAGE(QUERY(SORT(GOOGLEFINANCE(B563,""price"",TODAY()-365,TODAY()),1,0),""select Col2 limit 30""))"),145.10266666666666)</f>
        <v>145.1026667</v>
      </c>
      <c r="K563" s="18">
        <f>IFERROR(__xludf.DUMMYFUNCTION("AVERAGE(QUERY(SORT(GOOGLEFINANCE(B563,""price"",TODAY()-365,TODAY()),1,0),""select Col2 limit 60""))"),141.82216666666667)</f>
        <v>141.8221667</v>
      </c>
      <c r="L563" s="17">
        <f>IFERROR(__xludf.DUMMYFUNCTION("AVERAGE(QUERY(SORT(GOOGLEFINANCE(B563,""price"",TODAY()-365,TODAY()),1,0),""select Col2 limit 90""))"),140.70355555555554)</f>
        <v>140.7035556</v>
      </c>
      <c r="M563" s="17">
        <f>IFERROR(__xludf.DUMMYFUNCTION("AVERAGE(QUERY(SORT(GOOGLEFINANCE(B563,""price"",TODAY()-365,TODAY()),1,0),""select Col2 limit 120""))"),138.48899999999998)</f>
        <v>138.489</v>
      </c>
      <c r="N563" s="19">
        <f>IFERROR(__xludf.DUMMYFUNCTION("AVERAGE(QUERY(SORT(GOOGLEFINANCE(B563,""price"",TODAY()-365,TODAY()),1,0),""select Col2 limit 200""))"),136.47829999999988)</f>
        <v>136.4783</v>
      </c>
      <c r="O563" s="20" t="str">
        <f t="shared" si="2"/>
        <v>Avoid</v>
      </c>
      <c r="P563" s="21" t="str">
        <f t="shared" si="3"/>
        <v/>
      </c>
      <c r="Q563" s="21" t="str">
        <f t="shared" si="4"/>
        <v/>
      </c>
      <c r="R563" s="22">
        <f>IFERROR(__xludf.DUMMYFUNCTION("GOOGLEFINANCE(B563, ""pe"")
"),61.79)</f>
        <v>61.79</v>
      </c>
    </row>
    <row r="564">
      <c r="A564" s="9" t="s">
        <v>576</v>
      </c>
      <c r="B564" s="11" t="str">
        <f t="shared" si="1"/>
        <v>NSE:USHAMART</v>
      </c>
      <c r="C564" s="12">
        <f>IFERROR(__xludf.DUMMYFUNCTION("GOOGLEFINANCE(B564,""marketcap"")/10000000"),11026.2866857)</f>
        <v>11026.28669</v>
      </c>
      <c r="D564" s="13">
        <f>IFERROR(__xludf.DUMMYFUNCTION("GOOGLEFINANCE(B564,""price"")"),362.05)</f>
        <v>362.05</v>
      </c>
      <c r="E564" s="14">
        <f>IFERROR(__xludf.DUMMYFUNCTION("GOOGLEFINANCE(B564,""Volume"")"),76904.0)</f>
        <v>76904</v>
      </c>
      <c r="F564" s="14">
        <f t="array" ref="F564">F563</f>
        <v>14</v>
      </c>
      <c r="G564" s="15" t="str">
        <f>IFERROR(__xludf.DUMMYFUNCTION("IF(E564&gt;AVERAGE(INDEX(GOOGLEFINANCE(B564,""volume"",WORKDAY(TODAY(),-$F$1),TODAY()),,2)),""Breakout"","""")"),"")</f>
        <v/>
      </c>
      <c r="H564" s="16">
        <f>IFERROR(__xludf.DUMMYFUNCTION("GOOGLEFINANCE(B564,""price"")"),362.05)</f>
        <v>362.05</v>
      </c>
      <c r="I564" s="17">
        <f>IFERROR(__xludf.DUMMYFUNCTION("AVERAGE(QUERY(SORT(GOOGLEFINANCE(B564,""price"",TODAY()-365,TODAY()),1,0),""select Col2 limit 10""))"),381.77)</f>
        <v>381.77</v>
      </c>
      <c r="J564" s="17">
        <f>IFERROR(__xludf.DUMMYFUNCTION("AVERAGE(QUERY(SORT(GOOGLEFINANCE(B564,""price"",TODAY()-365,TODAY()),1,0),""select Col2 limit 30""))"),358.1866666666666)</f>
        <v>358.1866667</v>
      </c>
      <c r="K564" s="18">
        <f>IFERROR(__xludf.DUMMYFUNCTION("AVERAGE(QUERY(SORT(GOOGLEFINANCE(B564,""price"",TODAY()-365,TODAY()),1,0),""select Col2 limit 60""))"),335.16749999999985)</f>
        <v>335.1675</v>
      </c>
      <c r="L564" s="17">
        <f>IFERROR(__xludf.DUMMYFUNCTION("AVERAGE(QUERY(SORT(GOOGLEFINANCE(B564,""price"",TODAY()-365,TODAY()),1,0),""select Col2 limit 90""))"),329.0411111111111)</f>
        <v>329.0411111</v>
      </c>
      <c r="M564" s="17">
        <f>IFERROR(__xludf.DUMMYFUNCTION("AVERAGE(QUERY(SORT(GOOGLEFINANCE(B564,""price"",TODAY()-365,TODAY()),1,0),""select Col2 limit 120""))"),325.22208333333344)</f>
        <v>325.2220833</v>
      </c>
      <c r="N564" s="19">
        <f>IFERROR(__xludf.DUMMYFUNCTION("AVERAGE(QUERY(SORT(GOOGLEFINANCE(B564,""price"",TODAY()-365,TODAY()),1,0),""select Col2 limit 200""))"),348.4182500000003)</f>
        <v>348.41825</v>
      </c>
      <c r="O564" s="20" t="str">
        <f t="shared" si="2"/>
        <v>Avoid</v>
      </c>
      <c r="P564" s="21" t="str">
        <f t="shared" si="3"/>
        <v/>
      </c>
      <c r="Q564" s="21" t="str">
        <f t="shared" si="4"/>
        <v/>
      </c>
      <c r="R564" s="22">
        <f>IFERROR(__xludf.DUMMYFUNCTION("GOOGLEFINANCE(B564, ""pe"")
"),27.08)</f>
        <v>27.08</v>
      </c>
    </row>
    <row r="565">
      <c r="A565" s="9" t="s">
        <v>577</v>
      </c>
      <c r="B565" s="11" t="str">
        <f t="shared" si="1"/>
        <v>NSE:THOMASCOOK</v>
      </c>
      <c r="C565" s="12">
        <f>IFERROR(__xludf.DUMMYFUNCTION("GOOGLEFINANCE(B565,""marketcap"")/10000000"),8109.3978803)</f>
        <v>8109.39788</v>
      </c>
      <c r="D565" s="13">
        <f>IFERROR(__xludf.DUMMYFUNCTION("GOOGLEFINANCE(B565,""price"")"),175.39)</f>
        <v>175.39</v>
      </c>
      <c r="E565" s="14">
        <f>IFERROR(__xludf.DUMMYFUNCTION("GOOGLEFINANCE(B565,""Volume"")"),2576521.0)</f>
        <v>2576521</v>
      </c>
      <c r="F565" s="14">
        <f t="array" ref="F565">F564</f>
        <v>14</v>
      </c>
      <c r="G565" s="15" t="str">
        <f>IFERROR(__xludf.DUMMYFUNCTION("IF(E565&gt;AVERAGE(INDEX(GOOGLEFINANCE(B565,""volume"",WORKDAY(TODAY(),-$F$1),TODAY()),,2)),""Breakout"","""")"),"")</f>
        <v/>
      </c>
      <c r="H565" s="16">
        <f>IFERROR(__xludf.DUMMYFUNCTION("GOOGLEFINANCE(B565,""price"")"),175.39)</f>
        <v>175.39</v>
      </c>
      <c r="I565" s="17">
        <f>IFERROR(__xludf.DUMMYFUNCTION("AVERAGE(QUERY(SORT(GOOGLEFINANCE(B565,""price"",TODAY()-365,TODAY()),1,0),""select Col2 limit 10""))"),174.681)</f>
        <v>174.681</v>
      </c>
      <c r="J565" s="17">
        <f>IFERROR(__xludf.DUMMYFUNCTION("AVERAGE(QUERY(SORT(GOOGLEFINANCE(B565,""price"",TODAY()-365,TODAY()),1,0),""select Col2 limit 30""))"),166.25600000000003)</f>
        <v>166.256</v>
      </c>
      <c r="K565" s="18">
        <f>IFERROR(__xludf.DUMMYFUNCTION("AVERAGE(QUERY(SORT(GOOGLEFINANCE(B565,""price"",TODAY()-365,TODAY()),1,0),""select Col2 limit 60""))"),161.47683333333342)</f>
        <v>161.4768333</v>
      </c>
      <c r="L565" s="17">
        <f>IFERROR(__xludf.DUMMYFUNCTION("AVERAGE(QUERY(SORT(GOOGLEFINANCE(B565,""price"",TODAY()-365,TODAY()),1,0),""select Col2 limit 90""))"),153.39422222222228)</f>
        <v>153.3942222</v>
      </c>
      <c r="M565" s="17">
        <f>IFERROR(__xludf.DUMMYFUNCTION("AVERAGE(QUERY(SORT(GOOGLEFINANCE(B565,""price"",TODAY()-365,TODAY()),1,0),""select Col2 limit 120""))"),149.04775)</f>
        <v>149.04775</v>
      </c>
      <c r="N565" s="19">
        <f>IFERROR(__xludf.DUMMYFUNCTION("AVERAGE(QUERY(SORT(GOOGLEFINANCE(B565,""price"",TODAY()-365,TODAY()),1,0),""select Col2 limit 200""))"),166.47445)</f>
        <v>166.47445</v>
      </c>
      <c r="O565" s="20" t="str">
        <f t="shared" si="2"/>
        <v>Avoid</v>
      </c>
      <c r="P565" s="21" t="str">
        <f t="shared" si="3"/>
        <v/>
      </c>
      <c r="Q565" s="21" t="str">
        <f t="shared" si="4"/>
        <v/>
      </c>
      <c r="R565" s="22">
        <f>IFERROR(__xludf.DUMMYFUNCTION("GOOGLEFINANCE(B565, ""pe"")
"),31.89)</f>
        <v>31.89</v>
      </c>
    </row>
    <row r="566">
      <c r="A566" s="9" t="s">
        <v>578</v>
      </c>
      <c r="B566" s="11" t="str">
        <f t="shared" si="1"/>
        <v>NSE:MINDACORP</v>
      </c>
      <c r="C566" s="12">
        <f>IFERROR(__xludf.DUMMYFUNCTION("GOOGLEFINANCE(B566,""marketcap"")/10000000"),12119.0212)</f>
        <v>12119.0212</v>
      </c>
      <c r="D566" s="13">
        <f>IFERROR(__xludf.DUMMYFUNCTION("GOOGLEFINANCE(B566,""price"")"),515.4)</f>
        <v>515.4</v>
      </c>
      <c r="E566" s="14">
        <f>IFERROR(__xludf.DUMMYFUNCTION("GOOGLEFINANCE(B566,""Volume"")"),94178.0)</f>
        <v>94178</v>
      </c>
      <c r="F566" s="14">
        <f t="array" ref="F566">F565</f>
        <v>14</v>
      </c>
      <c r="G566" s="15" t="str">
        <f>IFERROR(__xludf.DUMMYFUNCTION("IF(E566&gt;AVERAGE(INDEX(GOOGLEFINANCE(B566,""volume"",WORKDAY(TODAY(),-$F$1),TODAY()),,2)),""Breakout"","""")"),"")</f>
        <v/>
      </c>
      <c r="H566" s="16">
        <f>IFERROR(__xludf.DUMMYFUNCTION("GOOGLEFINANCE(B566,""price"")"),515.4)</f>
        <v>515.4</v>
      </c>
      <c r="I566" s="17">
        <f>IFERROR(__xludf.DUMMYFUNCTION("AVERAGE(QUERY(SORT(GOOGLEFINANCE(B566,""price"",TODAY()-365,TODAY()),1,0),""select Col2 limit 10""))"),520.36)</f>
        <v>520.36</v>
      </c>
      <c r="J566" s="17">
        <f>IFERROR(__xludf.DUMMYFUNCTION("AVERAGE(QUERY(SORT(GOOGLEFINANCE(B566,""price"",TODAY()-365,TODAY()),1,0),""select Col2 limit 30""))"),518.5416666666667)</f>
        <v>518.5416667</v>
      </c>
      <c r="K566" s="18">
        <f>IFERROR(__xludf.DUMMYFUNCTION("AVERAGE(QUERY(SORT(GOOGLEFINANCE(B566,""price"",TODAY()-365,TODAY()),1,0),""select Col2 limit 60""))"),518.5724999999999)</f>
        <v>518.5725</v>
      </c>
      <c r="L566" s="17">
        <f>IFERROR(__xludf.DUMMYFUNCTION("AVERAGE(QUERY(SORT(GOOGLEFINANCE(B566,""price"",TODAY()-365,TODAY()),1,0),""select Col2 limit 90""))"),517.881111111111)</f>
        <v>517.8811111</v>
      </c>
      <c r="M566" s="17">
        <f>IFERROR(__xludf.DUMMYFUNCTION("AVERAGE(QUERY(SORT(GOOGLEFINANCE(B566,""price"",TODAY()-365,TODAY()),1,0),""select Col2 limit 120""))"),521.1933333333334)</f>
        <v>521.1933333</v>
      </c>
      <c r="N566" s="19">
        <f>IFERROR(__xludf.DUMMYFUNCTION("AVERAGE(QUERY(SORT(GOOGLEFINANCE(B566,""price"",TODAY()-365,TODAY()),1,0),""select Col2 limit 200""))"),522.7242500000001)</f>
        <v>522.72425</v>
      </c>
      <c r="O566" s="20" t="str">
        <f t="shared" si="2"/>
        <v>Avoid</v>
      </c>
      <c r="P566" s="21" t="str">
        <f t="shared" si="3"/>
        <v>10 DMA</v>
      </c>
      <c r="Q566" s="21" t="str">
        <f t="shared" si="4"/>
        <v>10 DMA cross best</v>
      </c>
      <c r="R566" s="22">
        <f>IFERROR(__xludf.DUMMYFUNCTION("GOOGLEFINANCE(B566, ""pe"")
"),48.26)</f>
        <v>48.26</v>
      </c>
    </row>
    <row r="567">
      <c r="A567" s="9" t="s">
        <v>579</v>
      </c>
      <c r="B567" s="11" t="str">
        <f t="shared" si="1"/>
        <v>NSE:SFL</v>
      </c>
      <c r="C567" s="12">
        <f>IFERROR(__xludf.DUMMYFUNCTION("GOOGLEFINANCE(B567,""marketcap"")/10000000"),7212.954945)</f>
        <v>7212.954945</v>
      </c>
      <c r="D567" s="13">
        <f>IFERROR(__xludf.DUMMYFUNCTION("GOOGLEFINANCE(B567,""price"")"),662.55)</f>
        <v>662.55</v>
      </c>
      <c r="E567" s="14">
        <f>IFERROR(__xludf.DUMMYFUNCTION("GOOGLEFINANCE(B567,""Volume"")"),42692.0)</f>
        <v>42692</v>
      </c>
      <c r="F567" s="14">
        <f t="array" ref="F567">F566</f>
        <v>14</v>
      </c>
      <c r="G567" s="15" t="str">
        <f>IFERROR(__xludf.DUMMYFUNCTION("IF(E567&gt;AVERAGE(INDEX(GOOGLEFINANCE(B567,""volume"",WORKDAY(TODAY(),-$F$1),TODAY()),,2)),""Breakout"","""")"),"")</f>
        <v/>
      </c>
      <c r="H567" s="16">
        <f>IFERROR(__xludf.DUMMYFUNCTION("GOOGLEFINANCE(B567,""price"")"),662.55)</f>
        <v>662.55</v>
      </c>
      <c r="I567" s="17">
        <f>IFERROR(__xludf.DUMMYFUNCTION("AVERAGE(QUERY(SORT(GOOGLEFINANCE(B567,""price"",TODAY()-365,TODAY()),1,0),""select Col2 limit 10""))"),674.08)</f>
        <v>674.08</v>
      </c>
      <c r="J567" s="17">
        <f>IFERROR(__xludf.DUMMYFUNCTION("AVERAGE(QUERY(SORT(GOOGLEFINANCE(B567,""price"",TODAY()-365,TODAY()),1,0),""select Col2 limit 30""))"),702.9766666666668)</f>
        <v>702.9766667</v>
      </c>
      <c r="K567" s="18">
        <f>IFERROR(__xludf.DUMMYFUNCTION("AVERAGE(QUERY(SORT(GOOGLEFINANCE(B567,""price"",TODAY()-365,TODAY()),1,0),""select Col2 limit 60""))"),676.7283333333331)</f>
        <v>676.7283333</v>
      </c>
      <c r="L567" s="17">
        <f>IFERROR(__xludf.DUMMYFUNCTION("AVERAGE(QUERY(SORT(GOOGLEFINANCE(B567,""price"",TODAY()-365,TODAY()),1,0),""select Col2 limit 90""))"),681.3833333333332)</f>
        <v>681.3833333</v>
      </c>
      <c r="M567" s="17">
        <f>IFERROR(__xludf.DUMMYFUNCTION("AVERAGE(QUERY(SORT(GOOGLEFINANCE(B567,""price"",TODAY()-365,TODAY()),1,0),""select Col2 limit 120""))"),705.0195833333332)</f>
        <v>705.0195833</v>
      </c>
      <c r="N567" s="19">
        <f>IFERROR(__xludf.DUMMYFUNCTION("AVERAGE(QUERY(SORT(GOOGLEFINANCE(B567,""price"",TODAY()-365,TODAY()),1,0),""select Col2 limit 200""))"),783.4047499999995)</f>
        <v>783.40475</v>
      </c>
      <c r="O567" s="20" t="str">
        <f t="shared" si="2"/>
        <v>Avoid</v>
      </c>
      <c r="P567" s="21" t="str">
        <f t="shared" si="3"/>
        <v/>
      </c>
      <c r="Q567" s="21" t="str">
        <f t="shared" si="4"/>
        <v/>
      </c>
      <c r="R567" s="22">
        <f>IFERROR(__xludf.DUMMYFUNCTION("GOOGLEFINANCE(B567, ""pe"")
"),75.14)</f>
        <v>75.14</v>
      </c>
    </row>
    <row r="568">
      <c r="A568" s="9" t="s">
        <v>580</v>
      </c>
      <c r="B568" s="11" t="str">
        <f t="shared" si="1"/>
        <v>NSE:HGINFRA</v>
      </c>
      <c r="C568" s="12">
        <f>IFERROR(__xludf.DUMMYFUNCTION("GOOGLEFINANCE(B568,""marketcap"")/10000000"),6861.214779)</f>
        <v>6861.214779</v>
      </c>
      <c r="D568" s="13">
        <f>IFERROR(__xludf.DUMMYFUNCTION("GOOGLEFINANCE(B568,""price"")"),1051.4)</f>
        <v>1051.4</v>
      </c>
      <c r="E568" s="14">
        <f>IFERROR(__xludf.DUMMYFUNCTION("GOOGLEFINANCE(B568,""Volume"")"),22479.0)</f>
        <v>22479</v>
      </c>
      <c r="F568" s="14">
        <f t="array" ref="F568">F567</f>
        <v>14</v>
      </c>
      <c r="G568" s="15" t="str">
        <f>IFERROR(__xludf.DUMMYFUNCTION("IF(E568&gt;AVERAGE(INDEX(GOOGLEFINANCE(B568,""volume"",WORKDAY(TODAY(),-$F$1),TODAY()),,2)),""Breakout"","""")"),"")</f>
        <v/>
      </c>
      <c r="H568" s="16">
        <f>IFERROR(__xludf.DUMMYFUNCTION("GOOGLEFINANCE(B568,""price"")"),1051.4)</f>
        <v>1051.4</v>
      </c>
      <c r="I568" s="17">
        <f>IFERROR(__xludf.DUMMYFUNCTION("AVERAGE(QUERY(SORT(GOOGLEFINANCE(B568,""price"",TODAY()-365,TODAY()),1,0),""select Col2 limit 10""))"),1086.66)</f>
        <v>1086.66</v>
      </c>
      <c r="J568" s="17">
        <f>IFERROR(__xludf.DUMMYFUNCTION("AVERAGE(QUERY(SORT(GOOGLEFINANCE(B568,""price"",TODAY()-365,TODAY()),1,0),""select Col2 limit 30""))"),1062.99)</f>
        <v>1062.99</v>
      </c>
      <c r="K568" s="18">
        <f>IFERROR(__xludf.DUMMYFUNCTION("AVERAGE(QUERY(SORT(GOOGLEFINANCE(B568,""price"",TODAY()-365,TODAY()),1,0),""select Col2 limit 60""))"),1094.5233333333335)</f>
        <v>1094.523333</v>
      </c>
      <c r="L568" s="17">
        <f>IFERROR(__xludf.DUMMYFUNCTION("AVERAGE(QUERY(SORT(GOOGLEFINANCE(B568,""price"",TODAY()-365,TODAY()),1,0),""select Col2 limit 90""))"),1090.4888888888893)</f>
        <v>1090.488889</v>
      </c>
      <c r="M568" s="17">
        <f>IFERROR(__xludf.DUMMYFUNCTION("AVERAGE(QUERY(SORT(GOOGLEFINANCE(B568,""price"",TODAY()-365,TODAY()),1,0),""select Col2 limit 120""))"),1097.2370833333334)</f>
        <v>1097.237083</v>
      </c>
      <c r="N568" s="19">
        <f>IFERROR(__xludf.DUMMYFUNCTION("AVERAGE(QUERY(SORT(GOOGLEFINANCE(B568,""price"",TODAY()-365,TODAY()),1,0),""select Col2 limit 200""))"),1214.281)</f>
        <v>1214.281</v>
      </c>
      <c r="O568" s="20" t="str">
        <f t="shared" si="2"/>
        <v>Avoid</v>
      </c>
      <c r="P568" s="21" t="str">
        <f t="shared" si="3"/>
        <v/>
      </c>
      <c r="Q568" s="21" t="str">
        <f t="shared" si="4"/>
        <v/>
      </c>
      <c r="R568" s="22">
        <f>IFERROR(__xludf.DUMMYFUNCTION("GOOGLEFINANCE(B568, ""pe"")
"),13.58)</f>
        <v>13.58</v>
      </c>
    </row>
    <row r="569">
      <c r="A569" s="9" t="s">
        <v>581</v>
      </c>
      <c r="B569" s="11" t="str">
        <f t="shared" si="1"/>
        <v>NSE:ROUTE</v>
      </c>
      <c r="C569" s="12">
        <f>IFERROR(__xludf.DUMMYFUNCTION("GOOGLEFINANCE(B569,""marketcap"")/10000000"),5775.6180574)</f>
        <v>5775.618057</v>
      </c>
      <c r="D569" s="13">
        <f>IFERROR(__xludf.DUMMYFUNCTION("GOOGLEFINANCE(B569,""price"")"),915.6)</f>
        <v>915.6</v>
      </c>
      <c r="E569" s="14">
        <f>IFERROR(__xludf.DUMMYFUNCTION("GOOGLEFINANCE(B569,""Volume"")"),33213.0)</f>
        <v>33213</v>
      </c>
      <c r="F569" s="14">
        <f t="array" ref="F569">F568</f>
        <v>14</v>
      </c>
      <c r="G569" s="15" t="str">
        <f>IFERROR(__xludf.DUMMYFUNCTION("IF(E569&gt;AVERAGE(INDEX(GOOGLEFINANCE(B569,""volume"",WORKDAY(TODAY(),-$F$1),TODAY()),,2)),""Breakout"","""")"),"")</f>
        <v/>
      </c>
      <c r="H569" s="16">
        <f>IFERROR(__xludf.DUMMYFUNCTION("GOOGLEFINANCE(B569,""price"")"),915.6)</f>
        <v>915.6</v>
      </c>
      <c r="I569" s="17">
        <f>IFERROR(__xludf.DUMMYFUNCTION("AVERAGE(QUERY(SORT(GOOGLEFINANCE(B569,""price"",TODAY()-365,TODAY()),1,0),""select Col2 limit 10""))"),968.5899999999999)</f>
        <v>968.59</v>
      </c>
      <c r="J569" s="17">
        <f>IFERROR(__xludf.DUMMYFUNCTION("AVERAGE(QUERY(SORT(GOOGLEFINANCE(B569,""price"",TODAY()-365,TODAY()),1,0),""select Col2 limit 30""))"),1000.7866666666667)</f>
        <v>1000.786667</v>
      </c>
      <c r="K569" s="18">
        <f>IFERROR(__xludf.DUMMYFUNCTION("AVERAGE(QUERY(SORT(GOOGLEFINANCE(B569,""price"",TODAY()-365,TODAY()),1,0),""select Col2 limit 60""))"),983.4208333333335)</f>
        <v>983.4208333</v>
      </c>
      <c r="L569" s="17">
        <f>IFERROR(__xludf.DUMMYFUNCTION("AVERAGE(QUERY(SORT(GOOGLEFINANCE(B569,""price"",TODAY()-365,TODAY()),1,0),""select Col2 limit 90""))"),979.8277777777777)</f>
        <v>979.8277778</v>
      </c>
      <c r="M569" s="17">
        <f>IFERROR(__xludf.DUMMYFUNCTION("AVERAGE(QUERY(SORT(GOOGLEFINANCE(B569,""price"",TODAY()-365,TODAY()),1,0),""select Col2 limit 120""))"),1005.6974999999996)</f>
        <v>1005.6975</v>
      </c>
      <c r="N569" s="19">
        <f>IFERROR(__xludf.DUMMYFUNCTION("AVERAGE(QUERY(SORT(GOOGLEFINANCE(B569,""price"",TODAY()-365,TODAY()),1,0),""select Col2 limit 200""))"),1177.961)</f>
        <v>1177.961</v>
      </c>
      <c r="O569" s="20" t="str">
        <f t="shared" si="2"/>
        <v>Avoid</v>
      </c>
      <c r="P569" s="21" t="str">
        <f t="shared" si="3"/>
        <v/>
      </c>
      <c r="Q569" s="21" t="str">
        <f t="shared" si="4"/>
        <v/>
      </c>
      <c r="R569" s="22">
        <f>IFERROR(__xludf.DUMMYFUNCTION("GOOGLEFINANCE(B569, ""pe"")
"),19.61)</f>
        <v>19.61</v>
      </c>
    </row>
    <row r="570">
      <c r="A570" s="9" t="s">
        <v>582</v>
      </c>
      <c r="B570" s="11" t="str">
        <f t="shared" si="1"/>
        <v>NSE:RPOWER</v>
      </c>
      <c r="C570" s="12">
        <f>IFERROR(__xludf.DUMMYFUNCTION("GOOGLEFINANCE(B570,""marketcap"")/10000000"),22746.7405)</f>
        <v>22746.7405</v>
      </c>
      <c r="D570" s="13">
        <f>IFERROR(__xludf.DUMMYFUNCTION("GOOGLEFINANCE(B570,""price"")"),55.24)</f>
        <v>55.24</v>
      </c>
      <c r="E570" s="14">
        <f>IFERROR(__xludf.DUMMYFUNCTION("GOOGLEFINANCE(B570,""Volume"")"),3.1798985E7)</f>
        <v>31798985</v>
      </c>
      <c r="F570" s="14">
        <f t="array" ref="F570">F569</f>
        <v>14</v>
      </c>
      <c r="G570" s="15" t="str">
        <f>IFERROR(__xludf.DUMMYFUNCTION("IF(E570&gt;AVERAGE(INDEX(GOOGLEFINANCE(B570,""volume"",WORKDAY(TODAY(),-$F$1),TODAY()),,2)),""Breakout"","""")"),"#N/A")</f>
        <v>#N/A</v>
      </c>
      <c r="H570" s="16">
        <f>IFERROR(__xludf.DUMMYFUNCTION("GOOGLEFINANCE(B570,""price"")"),55.24)</f>
        <v>55.24</v>
      </c>
      <c r="I570" s="17">
        <f>IFERROR(__xludf.DUMMYFUNCTION("AVERAGE(QUERY(SORT(GOOGLEFINANCE(B570,""price"",TODAY()-365,TODAY()),1,0),""select Col2 limit 10""))"),62.935)</f>
        <v>62.935</v>
      </c>
      <c r="J570" s="17">
        <f>IFERROR(__xludf.DUMMYFUNCTION("AVERAGE(QUERY(SORT(GOOGLEFINANCE(B570,""price"",TODAY()-365,TODAY()),1,0),""select Col2 limit 30""))"),64.86866666666666)</f>
        <v>64.86866667</v>
      </c>
      <c r="K570" s="18">
        <f>IFERROR(__xludf.DUMMYFUNCTION("AVERAGE(QUERY(SORT(GOOGLEFINANCE(B570,""price"",TODAY()-365,TODAY()),1,0),""select Col2 limit 60""))"),58.409666666666645)</f>
        <v>58.40966667</v>
      </c>
      <c r="L570" s="17">
        <f>IFERROR(__xludf.DUMMYFUNCTION("AVERAGE(QUERY(SORT(GOOGLEFINANCE(B570,""price"",TODAY()-365,TODAY()),1,0),""select Col2 limit 90""))"),52.41622222222223)</f>
        <v>52.41622222</v>
      </c>
      <c r="M570" s="17">
        <f>IFERROR(__xludf.DUMMYFUNCTION("AVERAGE(QUERY(SORT(GOOGLEFINANCE(B570,""price"",TODAY()-365,TODAY()),1,0),""select Col2 limit 120""))"),48.63416666666668)</f>
        <v>48.63416667</v>
      </c>
      <c r="N570" s="19">
        <f>IFERROR(__xludf.DUMMYFUNCTION("AVERAGE(QUERY(SORT(GOOGLEFINANCE(B570,""price"",TODAY()-365,TODAY()),1,0),""select Col2 limit 200""))"),45.95930000000002)</f>
        <v>45.9593</v>
      </c>
      <c r="O570" s="20" t="str">
        <f t="shared" si="2"/>
        <v>Avoid</v>
      </c>
      <c r="P570" s="21" t="str">
        <f t="shared" si="3"/>
        <v/>
      </c>
      <c r="Q570" s="21" t="str">
        <f t="shared" si="4"/>
        <v/>
      </c>
      <c r="R570" s="22">
        <f>IFERROR(__xludf.DUMMYFUNCTION("GOOGLEFINANCE(B570, ""pe"")
"),7.16)</f>
        <v>7.16</v>
      </c>
    </row>
    <row r="571">
      <c r="A571" s="9" t="s">
        <v>583</v>
      </c>
      <c r="B571" s="11" t="str">
        <f t="shared" si="1"/>
        <v>NSE:NEULANDLAB</v>
      </c>
      <c r="C571" s="12">
        <f>IFERROR(__xludf.DUMMYFUNCTION("GOOGLEFINANCE(B571,""marketcap"")/10000000"),17938.752198)</f>
        <v>17938.7522</v>
      </c>
      <c r="D571" s="13">
        <f>IFERROR(__xludf.DUMMYFUNCTION("GOOGLEFINANCE(B571,""price"")"),13982.0)</f>
        <v>13982</v>
      </c>
      <c r="E571" s="14">
        <f>IFERROR(__xludf.DUMMYFUNCTION("GOOGLEFINANCE(B571,""Volume"")"),36597.0)</f>
        <v>36597</v>
      </c>
      <c r="F571" s="14">
        <f t="array" ref="F571">F570</f>
        <v>14</v>
      </c>
      <c r="G571" s="15" t="str">
        <f>IFERROR(__xludf.DUMMYFUNCTION("IF(E571&gt;AVERAGE(INDEX(GOOGLEFINANCE(B571,""volume"",WORKDAY(TODAY(),-$F$1),TODAY()),,2)),""Breakout"","""")"),"")</f>
        <v/>
      </c>
      <c r="H571" s="16">
        <f>IFERROR(__xludf.DUMMYFUNCTION("GOOGLEFINANCE(B571,""price"")"),13982.0)</f>
        <v>13982</v>
      </c>
      <c r="I571" s="17">
        <f>IFERROR(__xludf.DUMMYFUNCTION("AVERAGE(QUERY(SORT(GOOGLEFINANCE(B571,""price"",TODAY()-365,TODAY()),1,0),""select Col2 limit 10""))"),14238.1)</f>
        <v>14238.1</v>
      </c>
      <c r="J571" s="17">
        <f>IFERROR(__xludf.DUMMYFUNCTION("AVERAGE(QUERY(SORT(GOOGLEFINANCE(B571,""price"",TODAY()-365,TODAY()),1,0),""select Col2 limit 30""))"),12809.9)</f>
        <v>12809.9</v>
      </c>
      <c r="K571" s="18">
        <f>IFERROR(__xludf.DUMMYFUNCTION("AVERAGE(QUERY(SORT(GOOGLEFINANCE(B571,""price"",TODAY()-365,TODAY()),1,0),""select Col2 limit 60""))"),12397.883333333333)</f>
        <v>12397.88333</v>
      </c>
      <c r="L571" s="17">
        <f>IFERROR(__xludf.DUMMYFUNCTION("AVERAGE(QUERY(SORT(GOOGLEFINANCE(B571,""price"",TODAY()-365,TODAY()),1,0),""select Col2 limit 90""))"),12258.626666666669)</f>
        <v>12258.62667</v>
      </c>
      <c r="M571" s="17">
        <f>IFERROR(__xludf.DUMMYFUNCTION("AVERAGE(QUERY(SORT(GOOGLEFINANCE(B571,""price"",TODAY()-365,TODAY()),1,0),""select Col2 limit 120""))"),12299.164583333331)</f>
        <v>12299.16458</v>
      </c>
      <c r="N571" s="19">
        <f>IFERROR(__xludf.DUMMYFUNCTION("AVERAGE(QUERY(SORT(GOOGLEFINANCE(B571,""price"",TODAY()-365,TODAY()),1,0),""select Col2 limit 200""))"),13163.56375)</f>
        <v>13163.56375</v>
      </c>
      <c r="O571" s="20" t="str">
        <f t="shared" si="2"/>
        <v>Avoid</v>
      </c>
      <c r="P571" s="21" t="str">
        <f t="shared" si="3"/>
        <v/>
      </c>
      <c r="Q571" s="21" t="str">
        <f t="shared" si="4"/>
        <v/>
      </c>
      <c r="R571" s="22">
        <f>IFERROR(__xludf.DUMMYFUNCTION("GOOGLEFINANCE(B571, ""pe"")
"),68.97)</f>
        <v>68.97</v>
      </c>
    </row>
    <row r="572">
      <c r="A572" s="9" t="s">
        <v>584</v>
      </c>
      <c r="B572" s="11" t="str">
        <f t="shared" si="1"/>
        <v>NSE:FORCEMOT</v>
      </c>
      <c r="C572" s="12">
        <f>IFERROR(__xludf.DUMMYFUNCTION("GOOGLEFINANCE(B572,""marketcap"")/10000000"),24047.992126)</f>
        <v>24047.99213</v>
      </c>
      <c r="D572" s="13">
        <f>IFERROR(__xludf.DUMMYFUNCTION("GOOGLEFINANCE(B572,""price"")"),18256.0)</f>
        <v>18256</v>
      </c>
      <c r="E572" s="14">
        <f>IFERROR(__xludf.DUMMYFUNCTION("GOOGLEFINANCE(B572,""Volume"")"),138140.0)</f>
        <v>138140</v>
      </c>
      <c r="F572" s="14">
        <f t="array" ref="F572">F571</f>
        <v>14</v>
      </c>
      <c r="G572" s="15" t="str">
        <f>IFERROR(__xludf.DUMMYFUNCTION("IF(E572&gt;AVERAGE(INDEX(GOOGLEFINANCE(B572,""volume"",WORKDAY(TODAY(),-$F$1),TODAY()),,2)),""Breakout"","""")"),"")</f>
        <v/>
      </c>
      <c r="H572" s="16">
        <f>IFERROR(__xludf.DUMMYFUNCTION("GOOGLEFINANCE(B572,""price"")"),18256.0)</f>
        <v>18256</v>
      </c>
      <c r="I572" s="17">
        <f>IFERROR(__xludf.DUMMYFUNCTION("AVERAGE(QUERY(SORT(GOOGLEFINANCE(B572,""price"",TODAY()-365,TODAY()),1,0),""select Col2 limit 10""))"),17262.1)</f>
        <v>17262.1</v>
      </c>
      <c r="J572" s="17">
        <f>IFERROR(__xludf.DUMMYFUNCTION("AVERAGE(QUERY(SORT(GOOGLEFINANCE(B572,""price"",TODAY()-365,TODAY()),1,0),""select Col2 limit 30""))"),15567.8)</f>
        <v>15567.8</v>
      </c>
      <c r="K572" s="18">
        <f>IFERROR(__xludf.DUMMYFUNCTION("AVERAGE(QUERY(SORT(GOOGLEFINANCE(B572,""price"",TODAY()-365,TODAY()),1,0),""select Col2 limit 60""))"),13424.15)</f>
        <v>13424.15</v>
      </c>
      <c r="L572" s="17">
        <f>IFERROR(__xludf.DUMMYFUNCTION("AVERAGE(QUERY(SORT(GOOGLEFINANCE(B572,""price"",TODAY()-365,TODAY()),1,0),""select Col2 limit 90""))"),11864.572222222223)</f>
        <v>11864.57222</v>
      </c>
      <c r="M572" s="17">
        <f>IFERROR(__xludf.DUMMYFUNCTION("AVERAGE(QUERY(SORT(GOOGLEFINANCE(B572,""price"",TODAY()-365,TODAY()),1,0),""select Col2 limit 120""))"),10600.271250000002)</f>
        <v>10600.27125</v>
      </c>
      <c r="N572" s="19">
        <f>IFERROR(__xludf.DUMMYFUNCTION("AVERAGE(QUERY(SORT(GOOGLEFINANCE(B572,""price"",TODAY()-365,TODAY()),1,0),""select Col2 limit 200""))"),9083.048749999996)</f>
        <v>9083.04875</v>
      </c>
      <c r="O572" s="20" t="str">
        <f t="shared" si="2"/>
        <v>Avoid</v>
      </c>
      <c r="P572" s="21" t="str">
        <f t="shared" si="3"/>
        <v/>
      </c>
      <c r="Q572" s="21" t="str">
        <f t="shared" si="4"/>
        <v/>
      </c>
      <c r="R572" s="22">
        <f>IFERROR(__xludf.DUMMYFUNCTION("GOOGLEFINANCE(B572, ""pe"")
"),27.9)</f>
        <v>27.9</v>
      </c>
    </row>
    <row r="573">
      <c r="A573" s="9" t="s">
        <v>585</v>
      </c>
      <c r="B573" s="11" t="str">
        <f t="shared" si="1"/>
        <v>NSE:CEATLTD</v>
      </c>
      <c r="C573" s="12">
        <f>IFERROR(__xludf.DUMMYFUNCTION("GOOGLEFINANCE(B573,""marketcap"")/10000000"),13361.0696229)</f>
        <v>13361.06962</v>
      </c>
      <c r="D573" s="13">
        <f>IFERROR(__xludf.DUMMYFUNCTION("GOOGLEFINANCE(B573,""price"")"),3310.7)</f>
        <v>3310.7</v>
      </c>
      <c r="E573" s="14">
        <f>IFERROR(__xludf.DUMMYFUNCTION("GOOGLEFINANCE(B573,""Volume"")"),95274.0)</f>
        <v>95274</v>
      </c>
      <c r="F573" s="14">
        <f t="array" ref="F573">F572</f>
        <v>14</v>
      </c>
      <c r="G573" s="15" t="str">
        <f>IFERROR(__xludf.DUMMYFUNCTION("IF(E573&gt;AVERAGE(INDEX(GOOGLEFINANCE(B573,""volume"",WORKDAY(TODAY(),-$F$1),TODAY()),,2)),""Breakout"","""")"),"")</f>
        <v/>
      </c>
      <c r="H573" s="16">
        <f>IFERROR(__xludf.DUMMYFUNCTION("GOOGLEFINANCE(B573,""price"")"),3310.7)</f>
        <v>3310.7</v>
      </c>
      <c r="I573" s="17">
        <f>IFERROR(__xludf.DUMMYFUNCTION("AVERAGE(QUERY(SORT(GOOGLEFINANCE(B573,""price"",TODAY()-365,TODAY()),1,0),""select Col2 limit 10""))"),3666.1099999999997)</f>
        <v>3666.11</v>
      </c>
      <c r="J573" s="17">
        <f>IFERROR(__xludf.DUMMYFUNCTION("AVERAGE(QUERY(SORT(GOOGLEFINANCE(B573,""price"",TODAY()-365,TODAY()),1,0),""select Col2 limit 30""))"),3656.0299999999997)</f>
        <v>3656.03</v>
      </c>
      <c r="K573" s="18">
        <f>IFERROR(__xludf.DUMMYFUNCTION("AVERAGE(QUERY(SORT(GOOGLEFINANCE(B573,""price"",TODAY()-365,TODAY()),1,0),""select Col2 limit 60""))"),3704.5866666666666)</f>
        <v>3704.586667</v>
      </c>
      <c r="L573" s="17">
        <f>IFERROR(__xludf.DUMMYFUNCTION("AVERAGE(QUERY(SORT(GOOGLEFINANCE(B573,""price"",TODAY()-365,TODAY()),1,0),""select Col2 limit 90""))"),3440.875)</f>
        <v>3440.875</v>
      </c>
      <c r="M573" s="17">
        <f>IFERROR(__xludf.DUMMYFUNCTION("AVERAGE(QUERY(SORT(GOOGLEFINANCE(B573,""price"",TODAY()-365,TODAY()),1,0),""select Col2 limit 120""))"),3257.875833333333)</f>
        <v>3257.875833</v>
      </c>
      <c r="N573" s="19">
        <f>IFERROR(__xludf.DUMMYFUNCTION("AVERAGE(QUERY(SORT(GOOGLEFINANCE(B573,""price"",TODAY()-365,TODAY()),1,0),""select Col2 limit 200""))"),3151.947499999999)</f>
        <v>3151.9475</v>
      </c>
      <c r="O573" s="20" t="str">
        <f t="shared" si="2"/>
        <v>Avoid</v>
      </c>
      <c r="P573" s="21" t="str">
        <f t="shared" si="3"/>
        <v/>
      </c>
      <c r="Q573" s="21" t="str">
        <f t="shared" si="4"/>
        <v/>
      </c>
      <c r="R573" s="22">
        <f>IFERROR(__xludf.DUMMYFUNCTION("GOOGLEFINANCE(B573, ""pe"")
"),31.07)</f>
        <v>31.07</v>
      </c>
    </row>
    <row r="574">
      <c r="A574" s="9" t="s">
        <v>586</v>
      </c>
      <c r="B574" s="11" t="str">
        <f t="shared" si="1"/>
        <v>NSE:MAHSCOOTER</v>
      </c>
      <c r="C574" s="12">
        <f>IFERROR(__xludf.DUMMYFUNCTION("GOOGLEFINANCE(B574,""marketcap"")/10000000"),17222.85499)</f>
        <v>17222.85499</v>
      </c>
      <c r="D574" s="13">
        <f>IFERROR(__xludf.DUMMYFUNCTION("GOOGLEFINANCE(B574,""price"")"),15125.0)</f>
        <v>15125</v>
      </c>
      <c r="E574" s="14">
        <f>IFERROR(__xludf.DUMMYFUNCTION("GOOGLEFINANCE(B574,""Volume"")"),7833.0)</f>
        <v>7833</v>
      </c>
      <c r="F574" s="14">
        <f t="array" ref="F574">F573</f>
        <v>14</v>
      </c>
      <c r="G574" s="15" t="str">
        <f>IFERROR(__xludf.DUMMYFUNCTION("IF(E574&gt;AVERAGE(INDEX(GOOGLEFINANCE(B574,""volume"",WORKDAY(TODAY(),-$F$1),TODAY()),,2)),""Breakout"","""")"),"#N/A")</f>
        <v>#N/A</v>
      </c>
      <c r="H574" s="16">
        <f>IFERROR(__xludf.DUMMYFUNCTION("GOOGLEFINANCE(B574,""price"")"),15125.0)</f>
        <v>15125</v>
      </c>
      <c r="I574" s="17">
        <f>IFERROR(__xludf.DUMMYFUNCTION("AVERAGE(QUERY(SORT(GOOGLEFINANCE(B574,""price"",TODAY()-365,TODAY()),1,0),""select Col2 limit 10""))"),14642.1)</f>
        <v>14642.1</v>
      </c>
      <c r="J574" s="17">
        <f>IFERROR(__xludf.DUMMYFUNCTION("AVERAGE(QUERY(SORT(GOOGLEFINANCE(B574,""price"",TODAY()-365,TODAY()),1,0),""select Col2 limit 30""))"),14467.733333333334)</f>
        <v>14467.73333</v>
      </c>
      <c r="K574" s="18">
        <f>IFERROR(__xludf.DUMMYFUNCTION("AVERAGE(QUERY(SORT(GOOGLEFINANCE(B574,""price"",TODAY()-365,TODAY()),1,0),""select Col2 limit 60""))"),13746.266666666666)</f>
        <v>13746.26667</v>
      </c>
      <c r="L574" s="17">
        <f>IFERROR(__xludf.DUMMYFUNCTION("AVERAGE(QUERY(SORT(GOOGLEFINANCE(B574,""price"",TODAY()-365,TODAY()),1,0),""select Col2 limit 90""))"),12762.902777777776)</f>
        <v>12762.90278</v>
      </c>
      <c r="M574" s="17">
        <f>IFERROR(__xludf.DUMMYFUNCTION("AVERAGE(QUERY(SORT(GOOGLEFINANCE(B574,""price"",TODAY()-365,TODAY()),1,0),""select Col2 limit 120""))"),11915.792500000005)</f>
        <v>11915.7925</v>
      </c>
      <c r="N574" s="19">
        <f>IFERROR(__xludf.DUMMYFUNCTION("AVERAGE(QUERY(SORT(GOOGLEFINANCE(B574,""price"",TODAY()-365,TODAY()),1,0),""select Col2 limit 200""))"),11157.289500000004)</f>
        <v>11157.2895</v>
      </c>
      <c r="O574" s="20" t="str">
        <f t="shared" si="2"/>
        <v>Avoid</v>
      </c>
      <c r="P574" s="21" t="str">
        <f t="shared" si="3"/>
        <v/>
      </c>
      <c r="Q574" s="21" t="str">
        <f t="shared" si="4"/>
        <v/>
      </c>
      <c r="R574" s="22">
        <f>IFERROR(__xludf.DUMMYFUNCTION("GOOGLEFINANCE(B574, ""pe"")
"),71.56)</f>
        <v>71.56</v>
      </c>
    </row>
    <row r="575">
      <c r="A575" s="9" t="s">
        <v>587</v>
      </c>
      <c r="B575" s="11" t="str">
        <f t="shared" si="1"/>
        <v>NSE:INDIACEM</v>
      </c>
      <c r="C575" s="12">
        <f>IFERROR(__xludf.DUMMYFUNCTION("GOOGLEFINANCE(B575,""marketcap"")/10000000"),11142.0729987)</f>
        <v>11142.073</v>
      </c>
      <c r="D575" s="13">
        <f>IFERROR(__xludf.DUMMYFUNCTION("GOOGLEFINANCE(B575,""price"")"),360.2)</f>
        <v>360.2</v>
      </c>
      <c r="E575" s="14">
        <f>IFERROR(__xludf.DUMMYFUNCTION("GOOGLEFINANCE(B575,""Volume"")"),337366.0)</f>
        <v>337366</v>
      </c>
      <c r="F575" s="14">
        <f t="array" ref="F575">F574</f>
        <v>14</v>
      </c>
      <c r="G575" s="15" t="str">
        <f>IFERROR(__xludf.DUMMYFUNCTION("IF(E575&gt;AVERAGE(INDEX(GOOGLEFINANCE(B575,""volume"",WORKDAY(TODAY(),-$F$1),TODAY()),,2)),""Breakout"","""")"),"")</f>
        <v/>
      </c>
      <c r="H575" s="16">
        <f>IFERROR(__xludf.DUMMYFUNCTION("GOOGLEFINANCE(B575,""price"")"),360.2)</f>
        <v>360.2</v>
      </c>
      <c r="I575" s="17">
        <f>IFERROR(__xludf.DUMMYFUNCTION("AVERAGE(QUERY(SORT(GOOGLEFINANCE(B575,""price"",TODAY()-365,TODAY()),1,0),""select Col2 limit 10""))"),353.8450000000001)</f>
        <v>353.845</v>
      </c>
      <c r="J575" s="17">
        <f>IFERROR(__xludf.DUMMYFUNCTION("AVERAGE(QUERY(SORT(GOOGLEFINANCE(B575,""price"",TODAY()-365,TODAY()),1,0),""select Col2 limit 30""))"),341.74)</f>
        <v>341.74</v>
      </c>
      <c r="K575" s="18">
        <f>IFERROR(__xludf.DUMMYFUNCTION("AVERAGE(QUERY(SORT(GOOGLEFINANCE(B575,""price"",TODAY()-365,TODAY()),1,0),""select Col2 limit 60""))"),334.66666666666663)</f>
        <v>334.6666667</v>
      </c>
      <c r="L575" s="17">
        <f>IFERROR(__xludf.DUMMYFUNCTION("AVERAGE(QUERY(SORT(GOOGLEFINANCE(B575,""price"",TODAY()-365,TODAY()),1,0),""select Col2 limit 90""))"),317.5305555555556)</f>
        <v>317.5305556</v>
      </c>
      <c r="M575" s="17">
        <f>IFERROR(__xludf.DUMMYFUNCTION("AVERAGE(QUERY(SORT(GOOGLEFINANCE(B575,""price"",TODAY()-365,TODAY()),1,0),""select Col2 limit 120""))"),306.6529166666668)</f>
        <v>306.6529167</v>
      </c>
      <c r="N575" s="19">
        <f>IFERROR(__xludf.DUMMYFUNCTION("AVERAGE(QUERY(SORT(GOOGLEFINANCE(B575,""price"",TODAY()-365,TODAY()),1,0),""select Col2 limit 200""))"),326.76900000000006)</f>
        <v>326.769</v>
      </c>
      <c r="O575" s="20" t="str">
        <f t="shared" si="2"/>
        <v>Avoid</v>
      </c>
      <c r="P575" s="21" t="str">
        <f t="shared" si="3"/>
        <v/>
      </c>
      <c r="Q575" s="21" t="str">
        <f t="shared" si="4"/>
        <v/>
      </c>
      <c r="R575" s="22" t="str">
        <f>IFERROR(__xludf.DUMMYFUNCTION("GOOGLEFINANCE(B575, ""pe"")
"),"#N/A")</f>
        <v>#N/A</v>
      </c>
    </row>
    <row r="576">
      <c r="A576" s="9" t="s">
        <v>588</v>
      </c>
      <c r="B576" s="11" t="str">
        <f t="shared" si="1"/>
        <v>NSE:TRIL</v>
      </c>
      <c r="C576" s="12" t="str">
        <f>IFERROR(__xludf.DUMMYFUNCTION("GOOGLEFINANCE(B576,""marketcap"")/10000000"),"#N/A")</f>
        <v>#N/A</v>
      </c>
      <c r="D576" s="13" t="str">
        <f>IFERROR(__xludf.DUMMYFUNCTION("GOOGLEFINANCE(B576,""price"")"),"#N/A")</f>
        <v>#N/A</v>
      </c>
      <c r="E576" s="14" t="str">
        <f>IFERROR(__xludf.DUMMYFUNCTION("GOOGLEFINANCE(B576,""Volume"")"),"#N/A")</f>
        <v>#N/A</v>
      </c>
      <c r="F576" s="14">
        <f t="array" ref="F576">F575</f>
        <v>14</v>
      </c>
      <c r="G576" s="15" t="str">
        <f>IFERROR(__xludf.DUMMYFUNCTION("IF(E576&gt;AVERAGE(INDEX(GOOGLEFINANCE(B576,""volume"",WORKDAY(TODAY(),-$F$1),TODAY()),,2)),""Breakout"","""")"),"#N/A")</f>
        <v>#N/A</v>
      </c>
      <c r="H576" s="16" t="str">
        <f>IFERROR(__xludf.DUMMYFUNCTION("GOOGLEFINANCE(B576,""price"")"),"#N/A")</f>
        <v>#N/A</v>
      </c>
      <c r="I576" s="17" t="str">
        <f>IFERROR(__xludf.DUMMYFUNCTION("AVERAGE(QUERY(SORT(GOOGLEFINANCE(B576,""price"",TODAY()-365,TODAY()),1,0),""select Col2 limit 10""))"),"#N/A")</f>
        <v>#N/A</v>
      </c>
      <c r="J576" s="17" t="str">
        <f>IFERROR(__xludf.DUMMYFUNCTION("AVERAGE(QUERY(SORT(GOOGLEFINANCE(B576,""price"",TODAY()-365,TODAY()),1,0),""select Col2 limit 30""))"),"#N/A")</f>
        <v>#N/A</v>
      </c>
      <c r="K576" s="18" t="str">
        <f>IFERROR(__xludf.DUMMYFUNCTION("AVERAGE(QUERY(SORT(GOOGLEFINANCE(B576,""price"",TODAY()-365,TODAY()),1,0),""select Col2 limit 60""))"),"#N/A")</f>
        <v>#N/A</v>
      </c>
      <c r="L576" s="17" t="str">
        <f>IFERROR(__xludf.DUMMYFUNCTION("AVERAGE(QUERY(SORT(GOOGLEFINANCE(B576,""price"",TODAY()-365,TODAY()),1,0),""select Col2 limit 90""))"),"#N/A")</f>
        <v>#N/A</v>
      </c>
      <c r="M576" s="17" t="str">
        <f>IFERROR(__xludf.DUMMYFUNCTION("AVERAGE(QUERY(SORT(GOOGLEFINANCE(B576,""price"",TODAY()-365,TODAY()),1,0),""select Col2 limit 120""))"),"#N/A")</f>
        <v>#N/A</v>
      </c>
      <c r="N576" s="19" t="str">
        <f>IFERROR(__xludf.DUMMYFUNCTION("AVERAGE(QUERY(SORT(GOOGLEFINANCE(B576,""price"",TODAY()-365,TODAY()),1,0),""select Col2 limit 200""))"),"#N/A")</f>
        <v>#N/A</v>
      </c>
      <c r="O576" s="20" t="str">
        <f t="shared" si="2"/>
        <v>#N/A</v>
      </c>
      <c r="P576" s="21" t="str">
        <f t="shared" si="3"/>
        <v>#N/A</v>
      </c>
      <c r="Q576" s="21" t="str">
        <f t="shared" si="4"/>
        <v>#N/A</v>
      </c>
      <c r="R576" s="22" t="str">
        <f>IFERROR(__xludf.DUMMYFUNCTION("GOOGLEFINANCE(B576, ""pe"")
"),"#N/A")</f>
        <v>#N/A</v>
      </c>
    </row>
    <row r="577">
      <c r="A577" s="9" t="s">
        <v>589</v>
      </c>
      <c r="B577" s="11" t="str">
        <f t="shared" si="1"/>
        <v>NSE:LATENTVIEW</v>
      </c>
      <c r="C577" s="12">
        <f>IFERROR(__xludf.DUMMYFUNCTION("GOOGLEFINANCE(B577,""marketcap"")/10000000"),8526.45536)</f>
        <v>8526.45536</v>
      </c>
      <c r="D577" s="13">
        <f>IFERROR(__xludf.DUMMYFUNCTION("GOOGLEFINANCE(B577,""price"")"),411.75)</f>
        <v>411.75</v>
      </c>
      <c r="E577" s="14">
        <f>IFERROR(__xludf.DUMMYFUNCTION("GOOGLEFINANCE(B577,""Volume"")"),136890.0)</f>
        <v>136890</v>
      </c>
      <c r="F577" s="14">
        <f t="array" ref="F577">F576</f>
        <v>14</v>
      </c>
      <c r="G577" s="15" t="str">
        <f>IFERROR(__xludf.DUMMYFUNCTION("IF(E577&gt;AVERAGE(INDEX(GOOGLEFINANCE(B577,""volume"",WORKDAY(TODAY(),-$F$1),TODAY()),,2)),""Breakout"","""")"),"")</f>
        <v/>
      </c>
      <c r="H577" s="16">
        <f>IFERROR(__xludf.DUMMYFUNCTION("GOOGLEFINANCE(B577,""price"")"),411.75)</f>
        <v>411.75</v>
      </c>
      <c r="I577" s="17">
        <f>IFERROR(__xludf.DUMMYFUNCTION("AVERAGE(QUERY(SORT(GOOGLEFINANCE(B577,""price"",TODAY()-365,TODAY()),1,0),""select Col2 limit 10""))"),433.43499999999995)</f>
        <v>433.435</v>
      </c>
      <c r="J577" s="17">
        <f>IFERROR(__xludf.DUMMYFUNCTION("AVERAGE(QUERY(SORT(GOOGLEFINANCE(B577,""price"",TODAY()-365,TODAY()),1,0),""select Col2 limit 30""))"),424.475)</f>
        <v>424.475</v>
      </c>
      <c r="K577" s="18">
        <f>IFERROR(__xludf.DUMMYFUNCTION("AVERAGE(QUERY(SORT(GOOGLEFINANCE(B577,""price"",TODAY()-365,TODAY()),1,0),""select Col2 limit 60""))"),418.5625)</f>
        <v>418.5625</v>
      </c>
      <c r="L577" s="17">
        <f>IFERROR(__xludf.DUMMYFUNCTION("AVERAGE(QUERY(SORT(GOOGLEFINANCE(B577,""price"",TODAY()-365,TODAY()),1,0),""select Col2 limit 90""))"),405.7033333333332)</f>
        <v>405.7033333</v>
      </c>
      <c r="M577" s="17">
        <f>IFERROR(__xludf.DUMMYFUNCTION("AVERAGE(QUERY(SORT(GOOGLEFINANCE(B577,""price"",TODAY()-365,TODAY()),1,0),""select Col2 limit 120""))"),405.0083333333332)</f>
        <v>405.0083333</v>
      </c>
      <c r="N577" s="19">
        <f>IFERROR(__xludf.DUMMYFUNCTION("AVERAGE(QUERY(SORT(GOOGLEFINANCE(B577,""price"",TODAY()-365,TODAY()),1,0),""select Col2 limit 200""))"),429.1630000000001)</f>
        <v>429.163</v>
      </c>
      <c r="O577" s="20" t="str">
        <f t="shared" si="2"/>
        <v>Avoid</v>
      </c>
      <c r="P577" s="21" t="str">
        <f t="shared" si="3"/>
        <v/>
      </c>
      <c r="Q577" s="21" t="str">
        <f t="shared" si="4"/>
        <v/>
      </c>
      <c r="R577" s="22">
        <f>IFERROR(__xludf.DUMMYFUNCTION("GOOGLEFINANCE(B577, ""pe"")
"),46.06)</f>
        <v>46.06</v>
      </c>
    </row>
    <row r="578">
      <c r="A578" s="9" t="s">
        <v>590</v>
      </c>
      <c r="B578" s="11" t="str">
        <f t="shared" si="1"/>
        <v>NSE:VESUVIUS</v>
      </c>
      <c r="C578" s="12">
        <f>IFERROR(__xludf.DUMMYFUNCTION("GOOGLEFINANCE(B578,""marketcap"")/10000000"),10529.6008682)</f>
        <v>10529.60087</v>
      </c>
      <c r="D578" s="13">
        <f>IFERROR(__xludf.DUMMYFUNCTION("GOOGLEFINANCE(B578,""price"")"),519.0)</f>
        <v>519</v>
      </c>
      <c r="E578" s="14">
        <f>IFERROR(__xludf.DUMMYFUNCTION("GOOGLEFINANCE(B578,""Volume"")"),46939.0)</f>
        <v>46939</v>
      </c>
      <c r="F578" s="14">
        <f t="array" ref="F578">F577</f>
        <v>14</v>
      </c>
      <c r="G578" s="15" t="str">
        <f>IFERROR(__xludf.DUMMYFUNCTION("IF(E578&gt;AVERAGE(INDEX(GOOGLEFINANCE(B578,""volume"",WORKDAY(TODAY(),-$F$1),TODAY()),,2)),""Breakout"","""")"),"")</f>
        <v/>
      </c>
      <c r="H578" s="16">
        <f>IFERROR(__xludf.DUMMYFUNCTION("GOOGLEFINANCE(B578,""price"")"),519.0)</f>
        <v>519</v>
      </c>
      <c r="I578" s="17">
        <f>IFERROR(__xludf.DUMMYFUNCTION("AVERAGE(QUERY(SORT(GOOGLEFINANCE(B578,""price"",TODAY()-365,TODAY()),1,0),""select Col2 limit 10""))"),529.825)</f>
        <v>529.825</v>
      </c>
      <c r="J578" s="17">
        <f>IFERROR(__xludf.DUMMYFUNCTION("AVERAGE(QUERY(SORT(GOOGLEFINANCE(B578,""price"",TODAY()-365,TODAY()),1,0),""select Col2 limit 30""))"),545.6766666666666)</f>
        <v>545.6766667</v>
      </c>
      <c r="K578" s="18">
        <f>IFERROR(__xludf.DUMMYFUNCTION("AVERAGE(QUERY(SORT(GOOGLEFINANCE(B578,""price"",TODAY()-365,TODAY()),1,0),""select Col2 limit 60""))"),544.9024999999998)</f>
        <v>544.9025</v>
      </c>
      <c r="L578" s="17">
        <f>IFERROR(__xludf.DUMMYFUNCTION("AVERAGE(QUERY(SORT(GOOGLEFINANCE(B578,""price"",TODAY()-365,TODAY()),1,0),""select Col2 limit 90""))"),512.4468888888888)</f>
        <v>512.4468889</v>
      </c>
      <c r="M578" s="17">
        <f>IFERROR(__xludf.DUMMYFUNCTION("AVERAGE(QUERY(SORT(GOOGLEFINANCE(B578,""price"",TODAY()-365,TODAY()),1,0),""select Col2 limit 120""))"),486.2989999999999)</f>
        <v>486.299</v>
      </c>
      <c r="N578" s="19">
        <f>IFERROR(__xludf.DUMMYFUNCTION("AVERAGE(QUERY(SORT(GOOGLEFINANCE(B578,""price"",TODAY()-365,TODAY()),1,0),""select Col2 limit 200""))"),492.1174999999997)</f>
        <v>492.1175</v>
      </c>
      <c r="O578" s="20" t="str">
        <f t="shared" si="2"/>
        <v>Avoid</v>
      </c>
      <c r="P578" s="21" t="str">
        <f t="shared" si="3"/>
        <v/>
      </c>
      <c r="Q578" s="21" t="str">
        <f t="shared" si="4"/>
        <v/>
      </c>
      <c r="R578" s="22">
        <f>IFERROR(__xludf.DUMMYFUNCTION("GOOGLEFINANCE(B578, ""pe"")
"),41.44)</f>
        <v>41.44</v>
      </c>
    </row>
    <row r="579">
      <c r="A579" s="9" t="s">
        <v>591</v>
      </c>
      <c r="B579" s="11" t="str">
        <f t="shared" si="1"/>
        <v>NSE:JUSTDIAL</v>
      </c>
      <c r="C579" s="12">
        <f>IFERROR(__xludf.DUMMYFUNCTION("GOOGLEFINANCE(B579,""marketcap"")/10000000"),7322.1613335)</f>
        <v>7322.161334</v>
      </c>
      <c r="D579" s="13">
        <f>IFERROR(__xludf.DUMMYFUNCTION("GOOGLEFINANCE(B579,""price"")"),858.0)</f>
        <v>858</v>
      </c>
      <c r="E579" s="14">
        <f>IFERROR(__xludf.DUMMYFUNCTION("GOOGLEFINANCE(B579,""Volume"")"),60889.0)</f>
        <v>60889</v>
      </c>
      <c r="F579" s="14">
        <f t="array" ref="F579">F578</f>
        <v>14</v>
      </c>
      <c r="G579" s="15" t="str">
        <f>IFERROR(__xludf.DUMMYFUNCTION("IF(E579&gt;AVERAGE(INDEX(GOOGLEFINANCE(B579,""volume"",WORKDAY(TODAY(),-$F$1),TODAY()),,2)),""Breakout"","""")"),"")</f>
        <v/>
      </c>
      <c r="H579" s="16">
        <f>IFERROR(__xludf.DUMMYFUNCTION("GOOGLEFINANCE(B579,""price"")"),858.0)</f>
        <v>858</v>
      </c>
      <c r="I579" s="17">
        <f>IFERROR(__xludf.DUMMYFUNCTION("AVERAGE(QUERY(SORT(GOOGLEFINANCE(B579,""price"",TODAY()-365,TODAY()),1,0),""select Col2 limit 10""))"),886.905)</f>
        <v>886.905</v>
      </c>
      <c r="J579" s="17">
        <f>IFERROR(__xludf.DUMMYFUNCTION("AVERAGE(QUERY(SORT(GOOGLEFINANCE(B579,""price"",TODAY()-365,TODAY()),1,0),""select Col2 limit 30""))"),900.4449999999999)</f>
        <v>900.445</v>
      </c>
      <c r="K579" s="18">
        <f>IFERROR(__xludf.DUMMYFUNCTION("AVERAGE(QUERY(SORT(GOOGLEFINANCE(B579,""price"",TODAY()-365,TODAY()),1,0),""select Col2 limit 60""))"),905.1508333333336)</f>
        <v>905.1508333</v>
      </c>
      <c r="L579" s="17">
        <f>IFERROR(__xludf.DUMMYFUNCTION("AVERAGE(QUERY(SORT(GOOGLEFINANCE(B579,""price"",TODAY()-365,TODAY()),1,0),""select Col2 limit 90""))"),896.1477777777782)</f>
        <v>896.1477778</v>
      </c>
      <c r="M579" s="17">
        <f>IFERROR(__xludf.DUMMYFUNCTION("AVERAGE(QUERY(SORT(GOOGLEFINANCE(B579,""price"",TODAY()-365,TODAY()),1,0),""select Col2 limit 120""))"),882.9925000000004)</f>
        <v>882.9925</v>
      </c>
      <c r="N579" s="19">
        <f>IFERROR(__xludf.DUMMYFUNCTION("AVERAGE(QUERY(SORT(GOOGLEFINANCE(B579,""price"",TODAY()-365,TODAY()),1,0),""select Col2 limit 200""))"),957.5130000000005)</f>
        <v>957.513</v>
      </c>
      <c r="O579" s="20" t="str">
        <f t="shared" si="2"/>
        <v>Avoid</v>
      </c>
      <c r="P579" s="21" t="str">
        <f t="shared" si="3"/>
        <v/>
      </c>
      <c r="Q579" s="21" t="str">
        <f t="shared" si="4"/>
        <v/>
      </c>
      <c r="R579" s="22">
        <f>IFERROR(__xludf.DUMMYFUNCTION("GOOGLEFINANCE(B579, ""pe"")
"),12.11)</f>
        <v>12.11</v>
      </c>
    </row>
    <row r="580">
      <c r="A580" s="9" t="s">
        <v>592</v>
      </c>
      <c r="B580" s="11" t="str">
        <f t="shared" si="1"/>
        <v>NSE:DBREALTY</v>
      </c>
      <c r="C580" s="12">
        <f>IFERROR(__xludf.DUMMYFUNCTION("GOOGLEFINANCE(B580,""marketcap"")/10000000"),9883.6168165)</f>
        <v>9883.616817</v>
      </c>
      <c r="D580" s="13">
        <f>IFERROR(__xludf.DUMMYFUNCTION("GOOGLEFINANCE(B580,""price"")"),183.05)</f>
        <v>183.05</v>
      </c>
      <c r="E580" s="14">
        <f>IFERROR(__xludf.DUMMYFUNCTION("GOOGLEFINANCE(B580,""Volume"")"),189893.0)</f>
        <v>189893</v>
      </c>
      <c r="F580" s="14">
        <f t="array" ref="F580">F579</f>
        <v>14</v>
      </c>
      <c r="G580" s="15" t="str">
        <f>IFERROR(__xludf.DUMMYFUNCTION("IF(E580&gt;AVERAGE(INDEX(GOOGLEFINANCE(B580,""volume"",WORKDAY(TODAY(),-$F$1),TODAY()),,2)),""Breakout"","""")"),"")</f>
        <v/>
      </c>
      <c r="H580" s="16">
        <f>IFERROR(__xludf.DUMMYFUNCTION("GOOGLEFINANCE(B580,""price"")"),183.05)</f>
        <v>183.05</v>
      </c>
      <c r="I580" s="17">
        <f>IFERROR(__xludf.DUMMYFUNCTION("AVERAGE(QUERY(SORT(GOOGLEFINANCE(B580,""price"",TODAY()-365,TODAY()),1,0),""select Col2 limit 10""))"),212.099)</f>
        <v>212.099</v>
      </c>
      <c r="J580" s="17">
        <f>IFERROR(__xludf.DUMMYFUNCTION("AVERAGE(QUERY(SORT(GOOGLEFINANCE(B580,""price"",TODAY()-365,TODAY()),1,0),""select Col2 limit 30""))"),223.00199999999998)</f>
        <v>223.002</v>
      </c>
      <c r="K580" s="18">
        <f>IFERROR(__xludf.DUMMYFUNCTION("AVERAGE(QUERY(SORT(GOOGLEFINANCE(B580,""price"",TODAY()-365,TODAY()),1,0),""select Col2 limit 60""))"),208.9875)</f>
        <v>208.9875</v>
      </c>
      <c r="L580" s="17">
        <f>IFERROR(__xludf.DUMMYFUNCTION("AVERAGE(QUERY(SORT(GOOGLEFINANCE(B580,""price"",TODAY()-365,TODAY()),1,0),""select Col2 limit 90""))"),194.17811111111118)</f>
        <v>194.1781111</v>
      </c>
      <c r="M580" s="17">
        <f>IFERROR(__xludf.DUMMYFUNCTION("AVERAGE(QUERY(SORT(GOOGLEFINANCE(B580,""price"",TODAY()-365,TODAY()),1,0),""select Col2 limit 120""))"),179.82391666666675)</f>
        <v>179.8239167</v>
      </c>
      <c r="N580" s="19">
        <f>IFERROR(__xludf.DUMMYFUNCTION("AVERAGE(QUERY(SORT(GOOGLEFINANCE(B580,""price"",TODAY()-365,TODAY()),1,0),""select Col2 limit 200""))"),176.35650000000012)</f>
        <v>176.3565</v>
      </c>
      <c r="O580" s="20" t="str">
        <f t="shared" si="2"/>
        <v>Avoid</v>
      </c>
      <c r="P580" s="21" t="str">
        <f t="shared" si="3"/>
        <v/>
      </c>
      <c r="Q580" s="21" t="str">
        <f t="shared" si="4"/>
        <v/>
      </c>
      <c r="R580" s="22" t="str">
        <f>IFERROR(__xludf.DUMMYFUNCTION("GOOGLEFINANCE(B580, ""pe"")
"),"#N/A")</f>
        <v>#N/A</v>
      </c>
    </row>
    <row r="581">
      <c r="A581" s="9" t="s">
        <v>593</v>
      </c>
      <c r="B581" s="11" t="str">
        <f t="shared" si="1"/>
        <v>NSE:GENUSPOWER</v>
      </c>
      <c r="C581" s="12">
        <f>IFERROR(__xludf.DUMMYFUNCTION("GOOGLEFINANCE(B581,""marketcap"")/10000000"),10822.8798265)</f>
        <v>10822.87983</v>
      </c>
      <c r="D581" s="13">
        <f>IFERROR(__xludf.DUMMYFUNCTION("GOOGLEFINANCE(B581,""price"")"),357.0)</f>
        <v>357</v>
      </c>
      <c r="E581" s="14">
        <f>IFERROR(__xludf.DUMMYFUNCTION("GOOGLEFINANCE(B581,""Volume"")"),192580.0)</f>
        <v>192580</v>
      </c>
      <c r="F581" s="14">
        <f t="array" ref="F581">F580</f>
        <v>14</v>
      </c>
      <c r="G581" s="15" t="str">
        <f>IFERROR(__xludf.DUMMYFUNCTION("IF(E581&gt;AVERAGE(INDEX(GOOGLEFINANCE(B581,""volume"",WORKDAY(TODAY(),-$F$1),TODAY()),,2)),""Breakout"","""")"),"")</f>
        <v/>
      </c>
      <c r="H581" s="16">
        <f>IFERROR(__xludf.DUMMYFUNCTION("GOOGLEFINANCE(B581,""price"")"),357.0)</f>
        <v>357</v>
      </c>
      <c r="I581" s="17">
        <f>IFERROR(__xludf.DUMMYFUNCTION("AVERAGE(QUERY(SORT(GOOGLEFINANCE(B581,""price"",TODAY()-365,TODAY()),1,0),""select Col2 limit 10""))"),371.43999999999994)</f>
        <v>371.44</v>
      </c>
      <c r="J581" s="17">
        <f>IFERROR(__xludf.DUMMYFUNCTION("AVERAGE(QUERY(SORT(GOOGLEFINANCE(B581,""price"",TODAY()-365,TODAY()),1,0),""select Col2 limit 30""))"),366.235)</f>
        <v>366.235</v>
      </c>
      <c r="K581" s="18">
        <f>IFERROR(__xludf.DUMMYFUNCTION("AVERAGE(QUERY(SORT(GOOGLEFINANCE(B581,""price"",TODAY()-365,TODAY()),1,0),""select Col2 limit 60""))"),359.2041666666667)</f>
        <v>359.2041667</v>
      </c>
      <c r="L581" s="17">
        <f>IFERROR(__xludf.DUMMYFUNCTION("AVERAGE(QUERY(SORT(GOOGLEFINANCE(B581,""price"",TODAY()-365,TODAY()),1,0),""select Col2 limit 90""))"),333.6911111111112)</f>
        <v>333.6911111</v>
      </c>
      <c r="M581" s="17">
        <f>IFERROR(__xludf.DUMMYFUNCTION("AVERAGE(QUERY(SORT(GOOGLEFINANCE(B581,""price"",TODAY()-365,TODAY()),1,0),""select Col2 limit 120""))"),320.79833333333346)</f>
        <v>320.7983333</v>
      </c>
      <c r="N581" s="19">
        <f>IFERROR(__xludf.DUMMYFUNCTION("AVERAGE(QUERY(SORT(GOOGLEFINANCE(B581,""price"",TODAY()-365,TODAY()),1,0),""select Col2 limit 200""))"),352.4012500000001)</f>
        <v>352.40125</v>
      </c>
      <c r="O581" s="20" t="str">
        <f t="shared" si="2"/>
        <v>Avoid</v>
      </c>
      <c r="P581" s="21" t="str">
        <f t="shared" si="3"/>
        <v>60 DMA</v>
      </c>
      <c r="Q581" s="21" t="str">
        <f t="shared" si="4"/>
        <v/>
      </c>
      <c r="R581" s="22">
        <f>IFERROR(__xludf.DUMMYFUNCTION("GOOGLEFINANCE(B581, ""pe"")
"),32.47)</f>
        <v>32.47</v>
      </c>
    </row>
    <row r="582">
      <c r="A582" s="9" t="s">
        <v>594</v>
      </c>
      <c r="B582" s="11" t="str">
        <f t="shared" si="1"/>
        <v>NSE:ICICIBANK</v>
      </c>
      <c r="C582" s="12">
        <f>IFERROR(__xludf.DUMMYFUNCTION("GOOGLEFINANCE(B582,""marketcap"")/10000000"),1062602.00145)</f>
        <v>1062602.001</v>
      </c>
      <c r="D582" s="13">
        <f>IFERROR(__xludf.DUMMYFUNCTION("GOOGLEFINANCE(B582,""price"")"),1490.3)</f>
        <v>1490.3</v>
      </c>
      <c r="E582" s="14">
        <f>IFERROR(__xludf.DUMMYFUNCTION("GOOGLEFINANCE(B582,""Volume"")"),3897122.0)</f>
        <v>3897122</v>
      </c>
      <c r="F582" s="14">
        <f t="array" ref="F582">F581</f>
        <v>14</v>
      </c>
      <c r="G582" s="15" t="str">
        <f>IFERROR(__xludf.DUMMYFUNCTION("IF(E582&gt;AVERAGE(INDEX(GOOGLEFINANCE(B582,""volume"",WORKDAY(TODAY(),-$F$1),TODAY()),,2)),""Breakout"","""")"),"")</f>
        <v/>
      </c>
      <c r="H582" s="16">
        <f>IFERROR(__xludf.DUMMYFUNCTION("GOOGLEFINANCE(B582,""price"")"),1490.3)</f>
        <v>1490.3</v>
      </c>
      <c r="I582" s="17">
        <f>IFERROR(__xludf.DUMMYFUNCTION("AVERAGE(QUERY(SORT(GOOGLEFINANCE(B582,""price"",TODAY()-365,TODAY()),1,0),""select Col2 limit 10""))"),1451.3200000000002)</f>
        <v>1451.32</v>
      </c>
      <c r="J582" s="17">
        <f>IFERROR(__xludf.DUMMYFUNCTION("AVERAGE(QUERY(SORT(GOOGLEFINANCE(B582,""price"",TODAY()-365,TODAY()),1,0),""select Col2 limit 30""))"),1437.1833333333334)</f>
        <v>1437.183333</v>
      </c>
      <c r="K582" s="18">
        <f>IFERROR(__xludf.DUMMYFUNCTION("AVERAGE(QUERY(SORT(GOOGLEFINANCE(B582,""price"",TODAY()-365,TODAY()),1,0),""select Col2 limit 60""))"),1438.2866666666666)</f>
        <v>1438.286667</v>
      </c>
      <c r="L582" s="17">
        <f>IFERROR(__xludf.DUMMYFUNCTION("AVERAGE(QUERY(SORT(GOOGLEFINANCE(B582,""price"",TODAY()-365,TODAY()),1,0),""select Col2 limit 90""))"),1410.896111111111)</f>
        <v>1410.896111</v>
      </c>
      <c r="M582" s="17">
        <f>IFERROR(__xludf.DUMMYFUNCTION("AVERAGE(QUERY(SORT(GOOGLEFINANCE(B582,""price"",TODAY()-365,TODAY()),1,0),""select Col2 limit 120""))"),1368.419583333333)</f>
        <v>1368.419583</v>
      </c>
      <c r="N582" s="19">
        <f>IFERROR(__xludf.DUMMYFUNCTION("AVERAGE(QUERY(SORT(GOOGLEFINANCE(B582,""price"",TODAY()-365,TODAY()),1,0),""select Col2 limit 200""))"),1330.3160000000003)</f>
        <v>1330.316</v>
      </c>
      <c r="O582" s="20" t="str">
        <f t="shared" si="2"/>
        <v>Avoid</v>
      </c>
      <c r="P582" s="21" t="str">
        <f t="shared" si="3"/>
        <v/>
      </c>
      <c r="Q582" s="21" t="str">
        <f t="shared" si="4"/>
        <v/>
      </c>
      <c r="R582" s="22">
        <f>IFERROR(__xludf.DUMMYFUNCTION("GOOGLEFINANCE(B582, ""pe"")
"),20.25)</f>
        <v>20.25</v>
      </c>
    </row>
    <row r="583">
      <c r="A583" s="9" t="s">
        <v>595</v>
      </c>
      <c r="B583" s="11" t="str">
        <f t="shared" si="1"/>
        <v>NSE:ALKYLAMINE</v>
      </c>
      <c r="C583" s="12">
        <f>IFERROR(__xludf.DUMMYFUNCTION("GOOGLEFINANCE(B583,""marketcap"")/10000000"),11064.7460978)</f>
        <v>11064.7461</v>
      </c>
      <c r="D583" s="13">
        <f>IFERROR(__xludf.DUMMYFUNCTION("GOOGLEFINANCE(B583,""price"")"),2156.9)</f>
        <v>2156.9</v>
      </c>
      <c r="E583" s="14">
        <f>IFERROR(__xludf.DUMMYFUNCTION("GOOGLEFINANCE(B583,""Volume"")"),21462.0)</f>
        <v>21462</v>
      </c>
      <c r="F583" s="14">
        <f t="array" ref="F583">F582</f>
        <v>14</v>
      </c>
      <c r="G583" s="15" t="str">
        <f>IFERROR(__xludf.DUMMYFUNCTION("IF(E583&gt;AVERAGE(INDEX(GOOGLEFINANCE(B583,""volume"",WORKDAY(TODAY(),-$F$1),TODAY()),,2)),""Breakout"","""")"),"")</f>
        <v/>
      </c>
      <c r="H583" s="16">
        <f>IFERROR(__xludf.DUMMYFUNCTION("GOOGLEFINANCE(B583,""price"")"),2156.9)</f>
        <v>2156.9</v>
      </c>
      <c r="I583" s="17">
        <f>IFERROR(__xludf.DUMMYFUNCTION("AVERAGE(QUERY(SORT(GOOGLEFINANCE(B583,""price"",TODAY()-365,TODAY()),1,0),""select Col2 limit 10""))"),2258.1099999999997)</f>
        <v>2258.11</v>
      </c>
      <c r="J583" s="17">
        <f>IFERROR(__xludf.DUMMYFUNCTION("AVERAGE(QUERY(SORT(GOOGLEFINANCE(B583,""price"",TODAY()-365,TODAY()),1,0),""select Col2 limit 30""))"),2232.8166666666666)</f>
        <v>2232.816667</v>
      </c>
      <c r="K583" s="18">
        <f>IFERROR(__xludf.DUMMYFUNCTION("AVERAGE(QUERY(SORT(GOOGLEFINANCE(B583,""price"",TODAY()-365,TODAY()),1,0),""select Col2 limit 60""))"),2040.218333333333)</f>
        <v>2040.218333</v>
      </c>
      <c r="L583" s="17">
        <f>IFERROR(__xludf.DUMMYFUNCTION("AVERAGE(QUERY(SORT(GOOGLEFINANCE(B583,""price"",TODAY()-365,TODAY()),1,0),""select Col2 limit 90""))"),1935.4549999999997)</f>
        <v>1935.455</v>
      </c>
      <c r="M583" s="17">
        <f>IFERROR(__xludf.DUMMYFUNCTION("AVERAGE(QUERY(SORT(GOOGLEFINANCE(B583,""price"",TODAY()-365,TODAY()),1,0),""select Col2 limit 120""))"),1872.8283333333331)</f>
        <v>1872.828333</v>
      </c>
      <c r="N583" s="19">
        <f>IFERROR(__xludf.DUMMYFUNCTION("AVERAGE(QUERY(SORT(GOOGLEFINANCE(B583,""price"",TODAY()-365,TODAY()),1,0),""select Col2 limit 200""))"),1909.39225)</f>
        <v>1909.39225</v>
      </c>
      <c r="O583" s="20" t="str">
        <f t="shared" si="2"/>
        <v>Avoid</v>
      </c>
      <c r="P583" s="21" t="str">
        <f t="shared" si="3"/>
        <v/>
      </c>
      <c r="Q583" s="21" t="str">
        <f t="shared" si="4"/>
        <v/>
      </c>
      <c r="R583" s="22">
        <f>IFERROR(__xludf.DUMMYFUNCTION("GOOGLEFINANCE(B583, ""pe"")
"),59.41)</f>
        <v>59.41</v>
      </c>
    </row>
    <row r="584">
      <c r="A584" s="9" t="s">
        <v>596</v>
      </c>
      <c r="B584" s="11" t="str">
        <f t="shared" si="1"/>
        <v>NSE:PCBL</v>
      </c>
      <c r="C584" s="12">
        <f>IFERROR(__xludf.DUMMYFUNCTION("GOOGLEFINANCE(B584,""marketcap"")/10000000"),14468.1371642)</f>
        <v>14468.13716</v>
      </c>
      <c r="D584" s="13">
        <f>IFERROR(__xludf.DUMMYFUNCTION("GOOGLEFINANCE(B584,""price"")"),383.9)</f>
        <v>383.9</v>
      </c>
      <c r="E584" s="14">
        <f>IFERROR(__xludf.DUMMYFUNCTION("GOOGLEFINANCE(B584,""Volume"")"),483317.0)</f>
        <v>483317</v>
      </c>
      <c r="F584" s="14">
        <f t="array" ref="F584">F583</f>
        <v>14</v>
      </c>
      <c r="G584" s="15" t="str">
        <f>IFERROR(__xludf.DUMMYFUNCTION("IF(E584&gt;AVERAGE(INDEX(GOOGLEFINANCE(B584,""volume"",WORKDAY(TODAY(),-$F$1),TODAY()),,2)),""Breakout"","""")"),"")</f>
        <v/>
      </c>
      <c r="H584" s="16">
        <f>IFERROR(__xludf.DUMMYFUNCTION("GOOGLEFINANCE(B584,""price"")"),383.9)</f>
        <v>383.9</v>
      </c>
      <c r="I584" s="17">
        <f>IFERROR(__xludf.DUMMYFUNCTION("AVERAGE(QUERY(SORT(GOOGLEFINANCE(B584,""price"",TODAY()-365,TODAY()),1,0),""select Col2 limit 10""))"),413.46000000000004)</f>
        <v>413.46</v>
      </c>
      <c r="J584" s="17">
        <f>IFERROR(__xludf.DUMMYFUNCTION("AVERAGE(QUERY(SORT(GOOGLEFINANCE(B584,""price"",TODAY()-365,TODAY()),1,0),""select Col2 limit 30""))"),409.42499999999995)</f>
        <v>409.425</v>
      </c>
      <c r="K584" s="18">
        <f>IFERROR(__xludf.DUMMYFUNCTION("AVERAGE(QUERY(SORT(GOOGLEFINANCE(B584,""price"",TODAY()-365,TODAY()),1,0),""select Col2 limit 60""))"),401.9458333333333)</f>
        <v>401.9458333</v>
      </c>
      <c r="L584" s="17">
        <f>IFERROR(__xludf.DUMMYFUNCTION("AVERAGE(QUERY(SORT(GOOGLEFINANCE(B584,""price"",TODAY()-365,TODAY()),1,0),""select Col2 limit 90""))"),403.65722222222234)</f>
        <v>403.6572222</v>
      </c>
      <c r="M584" s="17">
        <f>IFERROR(__xludf.DUMMYFUNCTION("AVERAGE(QUERY(SORT(GOOGLEFINANCE(B584,""price"",TODAY()-365,TODAY()),1,0),""select Col2 limit 120""))"),398.62916666666666)</f>
        <v>398.6291667</v>
      </c>
      <c r="N584" s="19">
        <f>IFERROR(__xludf.DUMMYFUNCTION("AVERAGE(QUERY(SORT(GOOGLEFINANCE(B584,""price"",TODAY()-365,TODAY()),1,0),""select Col2 limit 200""))"),413.42699999999985)</f>
        <v>413.427</v>
      </c>
      <c r="O584" s="20" t="str">
        <f t="shared" si="2"/>
        <v>Avoid</v>
      </c>
      <c r="P584" s="21" t="str">
        <f t="shared" si="3"/>
        <v/>
      </c>
      <c r="Q584" s="21" t="str">
        <f t="shared" si="4"/>
        <v/>
      </c>
      <c r="R584" s="22">
        <f>IFERROR(__xludf.DUMMYFUNCTION("GOOGLEFINANCE(B584, ""pe"")
"),35.47)</f>
        <v>35.47</v>
      </c>
    </row>
    <row r="585">
      <c r="A585" s="9" t="s">
        <v>597</v>
      </c>
      <c r="B585" s="11" t="str">
        <f t="shared" si="1"/>
        <v>NSE:METROPOLIS</v>
      </c>
      <c r="C585" s="12">
        <f>IFERROR(__xludf.DUMMYFUNCTION("GOOGLEFINANCE(B585,""marketcap"")/10000000"),10190.0055)</f>
        <v>10190.0055</v>
      </c>
      <c r="D585" s="13">
        <f>IFERROR(__xludf.DUMMYFUNCTION("GOOGLEFINANCE(B585,""price"")"),1965.0)</f>
        <v>1965</v>
      </c>
      <c r="E585" s="14">
        <f>IFERROR(__xludf.DUMMYFUNCTION("GOOGLEFINANCE(B585,""Volume"")"),19452.0)</f>
        <v>19452</v>
      </c>
      <c r="F585" s="14">
        <f t="array" ref="F585">F584</f>
        <v>14</v>
      </c>
      <c r="G585" s="15" t="str">
        <f>IFERROR(__xludf.DUMMYFUNCTION("IF(E585&gt;AVERAGE(INDEX(GOOGLEFINANCE(B585,""volume"",WORKDAY(TODAY(),-$F$1),TODAY()),,2)),""Breakout"","""")"),"")</f>
        <v/>
      </c>
      <c r="H585" s="16">
        <f>IFERROR(__xludf.DUMMYFUNCTION("GOOGLEFINANCE(B585,""price"")"),1965.0)</f>
        <v>1965</v>
      </c>
      <c r="I585" s="17">
        <f>IFERROR(__xludf.DUMMYFUNCTION("AVERAGE(QUERY(SORT(GOOGLEFINANCE(B585,""price"",TODAY()-365,TODAY()),1,0),""select Col2 limit 10""))"),1955.06)</f>
        <v>1955.06</v>
      </c>
      <c r="J585" s="17">
        <f>IFERROR(__xludf.DUMMYFUNCTION("AVERAGE(QUERY(SORT(GOOGLEFINANCE(B585,""price"",TODAY()-365,TODAY()),1,0),""select Col2 limit 30""))"),1828.4)</f>
        <v>1828.4</v>
      </c>
      <c r="K585" s="18">
        <f>IFERROR(__xludf.DUMMYFUNCTION("AVERAGE(QUERY(SORT(GOOGLEFINANCE(B585,""price"",TODAY()-365,TODAY()),1,0),""select Col2 limit 60""))"),1751.5666666666666)</f>
        <v>1751.566667</v>
      </c>
      <c r="L585" s="17">
        <f>IFERROR(__xludf.DUMMYFUNCTION("AVERAGE(QUERY(SORT(GOOGLEFINANCE(B585,""price"",TODAY()-365,TODAY()),1,0),""select Col2 limit 90""))"),1711.9366666666665)</f>
        <v>1711.936667</v>
      </c>
      <c r="M585" s="17">
        <f>IFERROR(__xludf.DUMMYFUNCTION("AVERAGE(QUERY(SORT(GOOGLEFINANCE(B585,""price"",TODAY()-365,TODAY()),1,0),""select Col2 limit 120""))"),1708.792083333333)</f>
        <v>1708.792083</v>
      </c>
      <c r="N585" s="19">
        <f>IFERROR(__xludf.DUMMYFUNCTION("AVERAGE(QUERY(SORT(GOOGLEFINANCE(B585,""price"",TODAY()-365,TODAY()),1,0),""select Col2 limit 200""))"),1860.173499999999)</f>
        <v>1860.1735</v>
      </c>
      <c r="O585" s="20" t="str">
        <f t="shared" si="2"/>
        <v>Avoid</v>
      </c>
      <c r="P585" s="21" t="str">
        <f t="shared" si="3"/>
        <v/>
      </c>
      <c r="Q585" s="21" t="str">
        <f t="shared" si="4"/>
        <v/>
      </c>
      <c r="R585" s="22">
        <f>IFERROR(__xludf.DUMMYFUNCTION("GOOGLEFINANCE(B585, ""pe"")
"),69.76)</f>
        <v>69.76</v>
      </c>
    </row>
    <row r="586">
      <c r="A586" s="9" t="s">
        <v>598</v>
      </c>
      <c r="B586" s="11" t="str">
        <f t="shared" si="1"/>
        <v>NSE:GRAPHITE</v>
      </c>
      <c r="C586" s="12">
        <f>IFERROR(__xludf.DUMMYFUNCTION("GOOGLEFINANCE(B586,""marketcap"")/10000000"),10699.7452109)</f>
        <v>10699.74521</v>
      </c>
      <c r="D586" s="13">
        <f>IFERROR(__xludf.DUMMYFUNCTION("GOOGLEFINANCE(B586,""price"")"),548.4)</f>
        <v>548.4</v>
      </c>
      <c r="E586" s="14">
        <f>IFERROR(__xludf.DUMMYFUNCTION("GOOGLEFINANCE(B586,""Volume"")"),237127.0)</f>
        <v>237127</v>
      </c>
      <c r="F586" s="14">
        <f t="array" ref="F586">F585</f>
        <v>14</v>
      </c>
      <c r="G586" s="15" t="str">
        <f>IFERROR(__xludf.DUMMYFUNCTION("IF(E586&gt;AVERAGE(INDEX(GOOGLEFINANCE(B586,""volume"",WORKDAY(TODAY(),-$F$1),TODAY()),,2)),""Breakout"","""")"),"")</f>
        <v/>
      </c>
      <c r="H586" s="16">
        <f>IFERROR(__xludf.DUMMYFUNCTION("GOOGLEFINANCE(B586,""price"")"),548.4)</f>
        <v>548.4</v>
      </c>
      <c r="I586" s="17">
        <f>IFERROR(__xludf.DUMMYFUNCTION("AVERAGE(QUERY(SORT(GOOGLEFINANCE(B586,""price"",TODAY()-365,TODAY()),1,0),""select Col2 limit 10""))"),573.645)</f>
        <v>573.645</v>
      </c>
      <c r="J586" s="17">
        <f>IFERROR(__xludf.DUMMYFUNCTION("AVERAGE(QUERY(SORT(GOOGLEFINANCE(B586,""price"",TODAY()-365,TODAY()),1,0),""select Col2 limit 30""))"),562.6533333333333)</f>
        <v>562.6533333</v>
      </c>
      <c r="K586" s="18">
        <f>IFERROR(__xludf.DUMMYFUNCTION("AVERAGE(QUERY(SORT(GOOGLEFINANCE(B586,""price"",TODAY()-365,TODAY()),1,0),""select Col2 limit 60""))"),540.7158333333334)</f>
        <v>540.7158333</v>
      </c>
      <c r="L586" s="17">
        <f>IFERROR(__xludf.DUMMYFUNCTION("AVERAGE(QUERY(SORT(GOOGLEFINANCE(B586,""price"",TODAY()-365,TODAY()),1,0),""select Col2 limit 90""))"),517.5255555555556)</f>
        <v>517.5255556</v>
      </c>
      <c r="M586" s="17">
        <f>IFERROR(__xludf.DUMMYFUNCTION("AVERAGE(QUERY(SORT(GOOGLEFINANCE(B586,""price"",TODAY()-365,TODAY()),1,0),""select Col2 limit 120""))"),496.27875)</f>
        <v>496.27875</v>
      </c>
      <c r="N586" s="19">
        <f>IFERROR(__xludf.DUMMYFUNCTION("AVERAGE(QUERY(SORT(GOOGLEFINANCE(B586,""price"",TODAY()-365,TODAY()),1,0),""select Col2 limit 200""))"),511.49500000000006)</f>
        <v>511.495</v>
      </c>
      <c r="O586" s="20" t="str">
        <f t="shared" si="2"/>
        <v>Avoid</v>
      </c>
      <c r="P586" s="21" t="str">
        <f t="shared" si="3"/>
        <v/>
      </c>
      <c r="Q586" s="21" t="str">
        <f t="shared" si="4"/>
        <v/>
      </c>
      <c r="R586" s="22">
        <f>IFERROR(__xludf.DUMMYFUNCTION("GOOGLEFINANCE(B586, ""pe"")
"),23.18)</f>
        <v>23.18</v>
      </c>
    </row>
    <row r="587">
      <c r="A587" s="9" t="s">
        <v>599</v>
      </c>
      <c r="B587" s="11" t="str">
        <f t="shared" si="1"/>
        <v>NSE:GLS</v>
      </c>
      <c r="C587" s="12" t="str">
        <f>IFERROR(__xludf.DUMMYFUNCTION("GOOGLEFINANCE(B587,""marketcap"")/10000000"),"#N/A")</f>
        <v>#N/A</v>
      </c>
      <c r="D587" s="13" t="str">
        <f>IFERROR(__xludf.DUMMYFUNCTION("GOOGLEFINANCE(B587,""price"")"),"#N/A")</f>
        <v>#N/A</v>
      </c>
      <c r="E587" s="14" t="str">
        <f>IFERROR(__xludf.DUMMYFUNCTION("GOOGLEFINANCE(B587,""Volume"")"),"#N/A")</f>
        <v>#N/A</v>
      </c>
      <c r="F587" s="14">
        <f t="array" ref="F587">F586</f>
        <v>14</v>
      </c>
      <c r="G587" s="15" t="str">
        <f>IFERROR(__xludf.DUMMYFUNCTION("IF(E587&gt;AVERAGE(INDEX(GOOGLEFINANCE(B587,""volume"",WORKDAY(TODAY(),-$F$1),TODAY()),,2)),""Breakout"","""")"),"#N/A")</f>
        <v>#N/A</v>
      </c>
      <c r="H587" s="16" t="str">
        <f>IFERROR(__xludf.DUMMYFUNCTION("GOOGLEFINANCE(B587,""price"")"),"#N/A")</f>
        <v>#N/A</v>
      </c>
      <c r="I587" s="17" t="str">
        <f>IFERROR(__xludf.DUMMYFUNCTION("AVERAGE(QUERY(SORT(GOOGLEFINANCE(B587,""price"",TODAY()-365,TODAY()),1,0),""select Col2 limit 10""))"),"#N/A")</f>
        <v>#N/A</v>
      </c>
      <c r="J587" s="17" t="str">
        <f>IFERROR(__xludf.DUMMYFUNCTION("AVERAGE(QUERY(SORT(GOOGLEFINANCE(B587,""price"",TODAY()-365,TODAY()),1,0),""select Col2 limit 30""))"),"#N/A")</f>
        <v>#N/A</v>
      </c>
      <c r="K587" s="18" t="str">
        <f>IFERROR(__xludf.DUMMYFUNCTION("AVERAGE(QUERY(SORT(GOOGLEFINANCE(B587,""price"",TODAY()-365,TODAY()),1,0),""select Col2 limit 60""))"),"#N/A")</f>
        <v>#N/A</v>
      </c>
      <c r="L587" s="17" t="str">
        <f>IFERROR(__xludf.DUMMYFUNCTION("AVERAGE(QUERY(SORT(GOOGLEFINANCE(B587,""price"",TODAY()-365,TODAY()),1,0),""select Col2 limit 90""))"),"#N/A")</f>
        <v>#N/A</v>
      </c>
      <c r="M587" s="17" t="str">
        <f>IFERROR(__xludf.DUMMYFUNCTION("AVERAGE(QUERY(SORT(GOOGLEFINANCE(B587,""price"",TODAY()-365,TODAY()),1,0),""select Col2 limit 120""))"),"#N/A")</f>
        <v>#N/A</v>
      </c>
      <c r="N587" s="19" t="str">
        <f>IFERROR(__xludf.DUMMYFUNCTION("AVERAGE(QUERY(SORT(GOOGLEFINANCE(B587,""price"",TODAY()-365,TODAY()),1,0),""select Col2 limit 200""))"),"#N/A")</f>
        <v>#N/A</v>
      </c>
      <c r="O587" s="20" t="str">
        <f t="shared" si="2"/>
        <v>#N/A</v>
      </c>
      <c r="P587" s="21" t="str">
        <f t="shared" si="3"/>
        <v>#N/A</v>
      </c>
      <c r="Q587" s="21" t="str">
        <f t="shared" si="4"/>
        <v>#N/A</v>
      </c>
      <c r="R587" s="22" t="str">
        <f>IFERROR(__xludf.DUMMYFUNCTION("GOOGLEFINANCE(B587, ""pe"")
"),"#N/A")</f>
        <v>#N/A</v>
      </c>
    </row>
    <row r="588">
      <c r="A588" s="9" t="s">
        <v>600</v>
      </c>
      <c r="B588" s="11" t="str">
        <f t="shared" si="1"/>
        <v>NSE:RTNINDIA</v>
      </c>
      <c r="C588" s="12">
        <f>IFERROR(__xludf.DUMMYFUNCTION("GOOGLEFINANCE(B588,""marketcap"")/10000000"),7771.6318674)</f>
        <v>7771.631867</v>
      </c>
      <c r="D588" s="13">
        <f>IFERROR(__xludf.DUMMYFUNCTION("GOOGLEFINANCE(B588,""price"")"),56.31)</f>
        <v>56.31</v>
      </c>
      <c r="E588" s="14">
        <f>IFERROR(__xludf.DUMMYFUNCTION("GOOGLEFINANCE(B588,""Volume"")"),1939934.0)</f>
        <v>1939934</v>
      </c>
      <c r="F588" s="14">
        <f t="array" ref="F588">F587</f>
        <v>14</v>
      </c>
      <c r="G588" s="15" t="str">
        <f>IFERROR(__xludf.DUMMYFUNCTION("IF(E588&gt;AVERAGE(INDEX(GOOGLEFINANCE(B588,""volume"",WORKDAY(TODAY(),-$F$1),TODAY()),,2)),""Breakout"","""")"),"")</f>
        <v/>
      </c>
      <c r="H588" s="16">
        <f>IFERROR(__xludf.DUMMYFUNCTION("GOOGLEFINANCE(B588,""price"")"),56.31)</f>
        <v>56.31</v>
      </c>
      <c r="I588" s="17">
        <f>IFERROR(__xludf.DUMMYFUNCTION("AVERAGE(QUERY(SORT(GOOGLEFINANCE(B588,""price"",TODAY()-365,TODAY()),1,0),""select Col2 limit 10""))"),60.370000000000005)</f>
        <v>60.37</v>
      </c>
      <c r="J588" s="17">
        <f>IFERROR(__xludf.DUMMYFUNCTION("AVERAGE(QUERY(SORT(GOOGLEFINANCE(B588,""price"",TODAY()-365,TODAY()),1,0),""select Col2 limit 30""))"),60.95033333333333)</f>
        <v>60.95033333</v>
      </c>
      <c r="K588" s="18">
        <f>IFERROR(__xludf.DUMMYFUNCTION("AVERAGE(QUERY(SORT(GOOGLEFINANCE(B588,""price"",TODAY()-365,TODAY()),1,0),""select Col2 limit 60""))"),54.610499999999995)</f>
        <v>54.6105</v>
      </c>
      <c r="L588" s="17">
        <f>IFERROR(__xludf.DUMMYFUNCTION("AVERAGE(QUERY(SORT(GOOGLEFINANCE(B588,""price"",TODAY()-365,TODAY()),1,0),""select Col2 limit 90""))"),50.58833333333331)</f>
        <v>50.58833333</v>
      </c>
      <c r="M588" s="17">
        <f>IFERROR(__xludf.DUMMYFUNCTION("AVERAGE(QUERY(SORT(GOOGLEFINANCE(B588,""price"",TODAY()-365,TODAY()),1,0),""select Col2 limit 120""))"),49.65624999999998)</f>
        <v>49.65625</v>
      </c>
      <c r="N588" s="19">
        <f>IFERROR(__xludf.DUMMYFUNCTION("AVERAGE(QUERY(SORT(GOOGLEFINANCE(B588,""price"",TODAY()-365,TODAY()),1,0),""select Col2 limit 200""))"),56.11824999999998)</f>
        <v>56.11825</v>
      </c>
      <c r="O588" s="20" t="str">
        <f t="shared" si="2"/>
        <v>Avoid</v>
      </c>
      <c r="P588" s="21" t="str">
        <f t="shared" si="3"/>
        <v/>
      </c>
      <c r="Q588" s="21" t="str">
        <f t="shared" si="4"/>
        <v/>
      </c>
      <c r="R588" s="22">
        <f>IFERROR(__xludf.DUMMYFUNCTION("GOOGLEFINANCE(B588, ""pe"")
"),92.3)</f>
        <v>92.3</v>
      </c>
    </row>
    <row r="589">
      <c r="A589" s="9" t="s">
        <v>601</v>
      </c>
      <c r="B589" s="11" t="str">
        <f t="shared" si="1"/>
        <v>NSE:ISGEC</v>
      </c>
      <c r="C589" s="12">
        <f>IFERROR(__xludf.DUMMYFUNCTION("GOOGLEFINANCE(B589,""marketcap"")/10000000"),8266.9231683)</f>
        <v>8266.923168</v>
      </c>
      <c r="D589" s="13">
        <f>IFERROR(__xludf.DUMMYFUNCTION("GOOGLEFINANCE(B589,""price"")"),1121.3)</f>
        <v>1121.3</v>
      </c>
      <c r="E589" s="14">
        <f>IFERROR(__xludf.DUMMYFUNCTION("GOOGLEFINANCE(B589,""Volume"")"),20120.0)</f>
        <v>20120</v>
      </c>
      <c r="F589" s="14">
        <f t="array" ref="F589">F588</f>
        <v>14</v>
      </c>
      <c r="G589" s="15" t="str">
        <f>IFERROR(__xludf.DUMMYFUNCTION("IF(E589&gt;AVERAGE(INDEX(GOOGLEFINANCE(B589,""volume"",WORKDAY(TODAY(),-$F$1),TODAY()),,2)),""Breakout"","""")"),"#N/A")</f>
        <v>#N/A</v>
      </c>
      <c r="H589" s="16">
        <f>IFERROR(__xludf.DUMMYFUNCTION("GOOGLEFINANCE(B589,""price"")"),1121.3)</f>
        <v>1121.3</v>
      </c>
      <c r="I589" s="17">
        <f>IFERROR(__xludf.DUMMYFUNCTION("AVERAGE(QUERY(SORT(GOOGLEFINANCE(B589,""price"",TODAY()-365,TODAY()),1,0),""select Col2 limit 10""))"),1159.1999999999998)</f>
        <v>1159.2</v>
      </c>
      <c r="J589" s="17">
        <f>IFERROR(__xludf.DUMMYFUNCTION("AVERAGE(QUERY(SORT(GOOGLEFINANCE(B589,""price"",TODAY()-365,TODAY()),1,0),""select Col2 limit 30""))"),1189.743333333333)</f>
        <v>1189.743333</v>
      </c>
      <c r="K589" s="18">
        <f>IFERROR(__xludf.DUMMYFUNCTION("AVERAGE(QUERY(SORT(GOOGLEFINANCE(B589,""price"",TODAY()-365,TODAY()),1,0),""select Col2 limit 60""))"),1187.7550000000003)</f>
        <v>1187.755</v>
      </c>
      <c r="L589" s="17">
        <f>IFERROR(__xludf.DUMMYFUNCTION("AVERAGE(QUERY(SORT(GOOGLEFINANCE(B589,""price"",TODAY()-365,TODAY()),1,0),""select Col2 limit 90""))"),1151.8266666666668)</f>
        <v>1151.826667</v>
      </c>
      <c r="M589" s="17">
        <f>IFERROR(__xludf.DUMMYFUNCTION("AVERAGE(QUERY(SORT(GOOGLEFINANCE(B589,""price"",TODAY()-365,TODAY()),1,0),""select Col2 limit 120""))"),1116.6137500000004)</f>
        <v>1116.61375</v>
      </c>
      <c r="N589" s="19">
        <f>IFERROR(__xludf.DUMMYFUNCTION("AVERAGE(QUERY(SORT(GOOGLEFINANCE(B589,""price"",TODAY()-365,TODAY()),1,0),""select Col2 limit 200""))"),1216.2492500000008)</f>
        <v>1216.24925</v>
      </c>
      <c r="O589" s="20" t="str">
        <f t="shared" si="2"/>
        <v>Avoid</v>
      </c>
      <c r="P589" s="21" t="str">
        <f t="shared" si="3"/>
        <v/>
      </c>
      <c r="Q589" s="21" t="str">
        <f t="shared" si="4"/>
        <v/>
      </c>
      <c r="R589" s="22">
        <f>IFERROR(__xludf.DUMMYFUNCTION("GOOGLEFINANCE(B589, ""pe"")
"),24.25)</f>
        <v>24.25</v>
      </c>
    </row>
    <row r="590">
      <c r="A590" s="9" t="s">
        <v>602</v>
      </c>
      <c r="B590" s="11" t="str">
        <f t="shared" si="1"/>
        <v>NSE:ESABINDIA</v>
      </c>
      <c r="C590" s="12">
        <f>IFERROR(__xludf.DUMMYFUNCTION("GOOGLEFINANCE(B590,""marketcap"")/10000000"),8366.876021)</f>
        <v>8366.876021</v>
      </c>
      <c r="D590" s="13">
        <f>IFERROR(__xludf.DUMMYFUNCTION("GOOGLEFINANCE(B590,""price"")"),5445.0)</f>
        <v>5445</v>
      </c>
      <c r="E590" s="14">
        <f>IFERROR(__xludf.DUMMYFUNCTION("GOOGLEFINANCE(B590,""Volume"")"),2056.0)</f>
        <v>2056</v>
      </c>
      <c r="F590" s="14">
        <f t="array" ref="F590">F589</f>
        <v>14</v>
      </c>
      <c r="G590" s="15" t="str">
        <f>IFERROR(__xludf.DUMMYFUNCTION("IF(E590&gt;AVERAGE(INDEX(GOOGLEFINANCE(B590,""volume"",WORKDAY(TODAY(),-$F$1),TODAY()),,2)),""Breakout"","""")"),"")</f>
        <v/>
      </c>
      <c r="H590" s="16">
        <f>IFERROR(__xludf.DUMMYFUNCTION("GOOGLEFINANCE(B590,""price"")"),5445.0)</f>
        <v>5445</v>
      </c>
      <c r="I590" s="17">
        <f>IFERROR(__xludf.DUMMYFUNCTION("AVERAGE(QUERY(SORT(GOOGLEFINANCE(B590,""price"",TODAY()-365,TODAY()),1,0),""select Col2 limit 10""))"),5524.6)</f>
        <v>5524.6</v>
      </c>
      <c r="J590" s="17">
        <f>IFERROR(__xludf.DUMMYFUNCTION("AVERAGE(QUERY(SORT(GOOGLEFINANCE(B590,""price"",TODAY()-365,TODAY()),1,0),""select Col2 limit 30""))"),5291.116666666667)</f>
        <v>5291.116667</v>
      </c>
      <c r="K590" s="18">
        <f>IFERROR(__xludf.DUMMYFUNCTION("AVERAGE(QUERY(SORT(GOOGLEFINANCE(B590,""price"",TODAY()-365,TODAY()),1,0),""select Col2 limit 60""))"),5165.028333333334)</f>
        <v>5165.028333</v>
      </c>
      <c r="L590" s="17">
        <f>IFERROR(__xludf.DUMMYFUNCTION("AVERAGE(QUERY(SORT(GOOGLEFINANCE(B590,""price"",TODAY()-365,TODAY()),1,0),""select Col2 limit 90""))"),4975.784444444443)</f>
        <v>4975.784444</v>
      </c>
      <c r="M590" s="17">
        <f>IFERROR(__xludf.DUMMYFUNCTION("AVERAGE(QUERY(SORT(GOOGLEFINANCE(B590,""price"",TODAY()-365,TODAY()),1,0),""select Col2 limit 120""))"),4916.822916666666)</f>
        <v>4916.822917</v>
      </c>
      <c r="N590" s="19">
        <f>IFERROR(__xludf.DUMMYFUNCTION("AVERAGE(QUERY(SORT(GOOGLEFINANCE(B590,""price"",TODAY()-365,TODAY()),1,0),""select Col2 limit 200""))"),5325.556750000002)</f>
        <v>5325.55675</v>
      </c>
      <c r="O590" s="20" t="str">
        <f t="shared" si="2"/>
        <v>Avoid</v>
      </c>
      <c r="P590" s="21" t="str">
        <f t="shared" si="3"/>
        <v/>
      </c>
      <c r="Q590" s="21" t="str">
        <f t="shared" si="4"/>
        <v/>
      </c>
      <c r="R590" s="22">
        <f>IFERROR(__xludf.DUMMYFUNCTION("GOOGLEFINANCE(B590, ""pe"")
"),47.7)</f>
        <v>47.7</v>
      </c>
    </row>
    <row r="591">
      <c r="A591" s="9" t="s">
        <v>603</v>
      </c>
      <c r="B591" s="11" t="str">
        <f t="shared" si="1"/>
        <v>NSE:EQUITASBNK</v>
      </c>
      <c r="C591" s="12">
        <f>IFERROR(__xludf.DUMMYFUNCTION("GOOGLEFINANCE(B591,""marketcap"")/10000000"),6886.8685739)</f>
        <v>6886.868574</v>
      </c>
      <c r="D591" s="13">
        <f>IFERROR(__xludf.DUMMYFUNCTION("GOOGLEFINANCE(B591,""price"")"),60.45)</f>
        <v>60.45</v>
      </c>
      <c r="E591" s="14">
        <f>IFERROR(__xludf.DUMMYFUNCTION("GOOGLEFINANCE(B591,""Volume"")"),1163976.0)</f>
        <v>1163976</v>
      </c>
      <c r="F591" s="14">
        <f t="array" ref="F591">F590</f>
        <v>14</v>
      </c>
      <c r="G591" s="15" t="str">
        <f>IFERROR(__xludf.DUMMYFUNCTION("IF(E591&gt;AVERAGE(INDEX(GOOGLEFINANCE(B591,""volume"",WORKDAY(TODAY(),-$F$1),TODAY()),,2)),""Breakout"","""")"),"")</f>
        <v/>
      </c>
      <c r="H591" s="16">
        <f>IFERROR(__xludf.DUMMYFUNCTION("GOOGLEFINANCE(B591,""price"")"),60.45)</f>
        <v>60.45</v>
      </c>
      <c r="I591" s="17">
        <f>IFERROR(__xludf.DUMMYFUNCTION("AVERAGE(QUERY(SORT(GOOGLEFINANCE(B591,""price"",TODAY()-365,TODAY()),1,0),""select Col2 limit 10""))"),62.83799999999999)</f>
        <v>62.838</v>
      </c>
      <c r="J591" s="17">
        <f>IFERROR(__xludf.DUMMYFUNCTION("AVERAGE(QUERY(SORT(GOOGLEFINANCE(B591,""price"",TODAY()-365,TODAY()),1,0),""select Col2 limit 30""))"),65.106)</f>
        <v>65.106</v>
      </c>
      <c r="K591" s="18">
        <f>IFERROR(__xludf.DUMMYFUNCTION("AVERAGE(QUERY(SORT(GOOGLEFINANCE(B591,""price"",TODAY()-365,TODAY()),1,0),""select Col2 limit 60""))"),64.93916666666665)</f>
        <v>64.93916667</v>
      </c>
      <c r="L591" s="17">
        <f>IFERROR(__xludf.DUMMYFUNCTION("AVERAGE(QUERY(SORT(GOOGLEFINANCE(B591,""price"",TODAY()-365,TODAY()),1,0),""select Col2 limit 90""))"),63.48344444444441)</f>
        <v>63.48344444</v>
      </c>
      <c r="M591" s="17">
        <f>IFERROR(__xludf.DUMMYFUNCTION("AVERAGE(QUERY(SORT(GOOGLEFINANCE(B591,""price"",TODAY()-365,TODAY()),1,0),""select Col2 limit 120""))"),63.143416666666646)</f>
        <v>63.14341667</v>
      </c>
      <c r="N591" s="19">
        <f>IFERROR(__xludf.DUMMYFUNCTION("AVERAGE(QUERY(SORT(GOOGLEFINANCE(B591,""price"",TODAY()-365,TODAY()),1,0),""select Col2 limit 200""))"),64.89469999999997)</f>
        <v>64.8947</v>
      </c>
      <c r="O591" s="20" t="str">
        <f t="shared" si="2"/>
        <v>Avoid</v>
      </c>
      <c r="P591" s="21" t="str">
        <f t="shared" si="3"/>
        <v/>
      </c>
      <c r="Q591" s="21" t="str">
        <f t="shared" si="4"/>
        <v/>
      </c>
      <c r="R591" s="22">
        <f>IFERROR(__xludf.DUMMYFUNCTION("GOOGLEFINANCE(B591, ""pe"")
"),46.85)</f>
        <v>46.85</v>
      </c>
    </row>
    <row r="592">
      <c r="A592" s="9" t="s">
        <v>604</v>
      </c>
      <c r="B592" s="11" t="str">
        <f t="shared" si="1"/>
        <v>NSE:GPPL</v>
      </c>
      <c r="C592" s="12">
        <f>IFERROR(__xludf.DUMMYFUNCTION("GOOGLEFINANCE(B592,""marketcap"")/10000000"),7672.1910654)</f>
        <v>7672.191065</v>
      </c>
      <c r="D592" s="13">
        <f>IFERROR(__xludf.DUMMYFUNCTION("GOOGLEFINANCE(B592,""price"")"),158.79)</f>
        <v>158.79</v>
      </c>
      <c r="E592" s="14">
        <f>IFERROR(__xludf.DUMMYFUNCTION("GOOGLEFINANCE(B592,""Volume"")"),502382.0)</f>
        <v>502382</v>
      </c>
      <c r="F592" s="14">
        <f t="array" ref="F592">F591</f>
        <v>14</v>
      </c>
      <c r="G592" s="15" t="str">
        <f>IFERROR(__xludf.DUMMYFUNCTION("IF(E592&gt;AVERAGE(INDEX(GOOGLEFINANCE(B592,""volume"",WORKDAY(TODAY(),-$F$1),TODAY()),,2)),""Breakout"","""")"),"")</f>
        <v/>
      </c>
      <c r="H592" s="16">
        <f>IFERROR(__xludf.DUMMYFUNCTION("GOOGLEFINANCE(B592,""price"")"),158.79)</f>
        <v>158.79</v>
      </c>
      <c r="I592" s="17">
        <f>IFERROR(__xludf.DUMMYFUNCTION("AVERAGE(QUERY(SORT(GOOGLEFINANCE(B592,""price"",TODAY()-365,TODAY()),1,0),""select Col2 limit 10""))"),161.416)</f>
        <v>161.416</v>
      </c>
      <c r="J592" s="17">
        <f>IFERROR(__xludf.DUMMYFUNCTION("AVERAGE(QUERY(SORT(GOOGLEFINANCE(B592,""price"",TODAY()-365,TODAY()),1,0),""select Col2 limit 30""))"),159.67366666666663)</f>
        <v>159.6736667</v>
      </c>
      <c r="K592" s="18">
        <f>IFERROR(__xludf.DUMMYFUNCTION("AVERAGE(QUERY(SORT(GOOGLEFINANCE(B592,""price"",TODAY()-365,TODAY()),1,0),""select Col2 limit 60""))"),153.8826666666667)</f>
        <v>153.8826667</v>
      </c>
      <c r="L592" s="17">
        <f>IFERROR(__xludf.DUMMYFUNCTION("AVERAGE(QUERY(SORT(GOOGLEFINANCE(B592,""price"",TODAY()-365,TODAY()),1,0),""select Col2 limit 90""))"),149.05455555555554)</f>
        <v>149.0545556</v>
      </c>
      <c r="M592" s="17">
        <f>IFERROR(__xludf.DUMMYFUNCTION("AVERAGE(QUERY(SORT(GOOGLEFINANCE(B592,""price"",TODAY()-365,TODAY()),1,0),""select Col2 limit 120""))"),146.33933333333331)</f>
        <v>146.3393333</v>
      </c>
      <c r="N592" s="19">
        <f>IFERROR(__xludf.DUMMYFUNCTION("AVERAGE(QUERY(SORT(GOOGLEFINANCE(B592,""price"",TODAY()-365,TODAY()),1,0),""select Col2 limit 200""))"),161.88489999999996)</f>
        <v>161.8849</v>
      </c>
      <c r="O592" s="20" t="str">
        <f t="shared" si="2"/>
        <v>Avoid</v>
      </c>
      <c r="P592" s="21" t="str">
        <f t="shared" si="3"/>
        <v>30 DMA</v>
      </c>
      <c r="Q592" s="21" t="str">
        <f t="shared" si="4"/>
        <v/>
      </c>
      <c r="R592" s="22">
        <f>IFERROR(__xludf.DUMMYFUNCTION("GOOGLEFINANCE(B592, ""pe"")
"),19.33)</f>
        <v>19.33</v>
      </c>
    </row>
    <row r="593">
      <c r="A593" s="9" t="s">
        <v>605</v>
      </c>
      <c r="B593" s="11" t="str">
        <f t="shared" si="1"/>
        <v>NSE:SAREGAMA</v>
      </c>
      <c r="C593" s="12">
        <f>IFERROR(__xludf.DUMMYFUNCTION("GOOGLEFINANCE(B593,""marketcap"")/10000000"),9196.9069392)</f>
        <v>9196.906939</v>
      </c>
      <c r="D593" s="13">
        <f>IFERROR(__xludf.DUMMYFUNCTION("GOOGLEFINANCE(B593,""price"")"),478.5)</f>
        <v>478.5</v>
      </c>
      <c r="E593" s="14">
        <f>IFERROR(__xludf.DUMMYFUNCTION("GOOGLEFINANCE(B593,""Volume"")"),61658.0)</f>
        <v>61658</v>
      </c>
      <c r="F593" s="14">
        <f t="array" ref="F593">F592</f>
        <v>14</v>
      </c>
      <c r="G593" s="15" t="str">
        <f>IFERROR(__xludf.DUMMYFUNCTION("IF(E593&gt;AVERAGE(INDEX(GOOGLEFINANCE(B593,""volume"",WORKDAY(TODAY(),-$F$1),TODAY()),,2)),""Breakout"","""")"),"")</f>
        <v/>
      </c>
      <c r="H593" s="16">
        <f>IFERROR(__xludf.DUMMYFUNCTION("GOOGLEFINANCE(B593,""price"")"),478.5)</f>
        <v>478.5</v>
      </c>
      <c r="I593" s="17">
        <f>IFERROR(__xludf.DUMMYFUNCTION("AVERAGE(QUERY(SORT(GOOGLEFINANCE(B593,""price"",TODAY()-365,TODAY()),1,0),""select Col2 limit 10""))"),492.65500000000003)</f>
        <v>492.655</v>
      </c>
      <c r="J593" s="17">
        <f>IFERROR(__xludf.DUMMYFUNCTION("AVERAGE(QUERY(SORT(GOOGLEFINANCE(B593,""price"",TODAY()-365,TODAY()),1,0),""select Col2 limit 30""))"),500.5183333333334)</f>
        <v>500.5183333</v>
      </c>
      <c r="K593" s="18">
        <f>IFERROR(__xludf.DUMMYFUNCTION("AVERAGE(QUERY(SORT(GOOGLEFINANCE(B593,""price"",TODAY()-365,TODAY()),1,0),""select Col2 limit 60""))"),524.2325000000002)</f>
        <v>524.2325</v>
      </c>
      <c r="L593" s="17">
        <f>IFERROR(__xludf.DUMMYFUNCTION("AVERAGE(QUERY(SORT(GOOGLEFINANCE(B593,""price"",TODAY()-365,TODAY()),1,0),""select Col2 limit 90""))"),524.2522222222224)</f>
        <v>524.2522222</v>
      </c>
      <c r="M593" s="17">
        <f>IFERROR(__xludf.DUMMYFUNCTION("AVERAGE(QUERY(SORT(GOOGLEFINANCE(B593,""price"",TODAY()-365,TODAY()),1,0),""select Col2 limit 120""))"),516.9587500000002)</f>
        <v>516.95875</v>
      </c>
      <c r="N593" s="19">
        <f>IFERROR(__xludf.DUMMYFUNCTION("AVERAGE(QUERY(SORT(GOOGLEFINANCE(B593,""price"",TODAY()-365,TODAY()),1,0),""select Col2 limit 200""))"),515.7882500000003)</f>
        <v>515.78825</v>
      </c>
      <c r="O593" s="20" t="str">
        <f t="shared" si="2"/>
        <v>Avoid</v>
      </c>
      <c r="P593" s="21" t="str">
        <f t="shared" si="3"/>
        <v/>
      </c>
      <c r="Q593" s="21" t="str">
        <f t="shared" si="4"/>
        <v/>
      </c>
      <c r="R593" s="22">
        <f>IFERROR(__xludf.DUMMYFUNCTION("GOOGLEFINANCE(B593, ""pe"")
"),45.11)</f>
        <v>45.11</v>
      </c>
    </row>
    <row r="594">
      <c r="A594" s="9" t="s">
        <v>606</v>
      </c>
      <c r="B594" s="11" t="str">
        <f t="shared" si="1"/>
        <v>NSE:JKLAKSHMI</v>
      </c>
      <c r="C594" s="12">
        <f>IFERROR(__xludf.DUMMYFUNCTION("GOOGLEFINANCE(B594,""marketcap"")/10000000"),11029.2089563)</f>
        <v>11029.20896</v>
      </c>
      <c r="D594" s="13">
        <f>IFERROR(__xludf.DUMMYFUNCTION("GOOGLEFINANCE(B594,""price"")"),937.1)</f>
        <v>937.1</v>
      </c>
      <c r="E594" s="14">
        <f>IFERROR(__xludf.DUMMYFUNCTION("GOOGLEFINANCE(B594,""Volume"")"),46950.0)</f>
        <v>46950</v>
      </c>
      <c r="F594" s="14">
        <f t="array" ref="F594">F593</f>
        <v>14</v>
      </c>
      <c r="G594" s="15" t="str">
        <f>IFERROR(__xludf.DUMMYFUNCTION("IF(E594&gt;AVERAGE(INDEX(GOOGLEFINANCE(B594,""volume"",WORKDAY(TODAY(),-$F$1),TODAY()),,2)),""Breakout"","""")"),"")</f>
        <v/>
      </c>
      <c r="H594" s="16">
        <f>IFERROR(__xludf.DUMMYFUNCTION("GOOGLEFINANCE(B594,""price"")"),937.1)</f>
        <v>937.1</v>
      </c>
      <c r="I594" s="17">
        <f>IFERROR(__xludf.DUMMYFUNCTION("AVERAGE(QUERY(SORT(GOOGLEFINANCE(B594,""price"",TODAY()-365,TODAY()),1,0),""select Col2 limit 10""))"),984.2699999999999)</f>
        <v>984.27</v>
      </c>
      <c r="J594" s="17">
        <f>IFERROR(__xludf.DUMMYFUNCTION("AVERAGE(QUERY(SORT(GOOGLEFINANCE(B594,""price"",TODAY()-365,TODAY()),1,0),""select Col2 limit 30""))"),927.7383333333332)</f>
        <v>927.7383333</v>
      </c>
      <c r="K594" s="18">
        <f>IFERROR(__xludf.DUMMYFUNCTION("AVERAGE(QUERY(SORT(GOOGLEFINANCE(B594,""price"",TODAY()-365,TODAY()),1,0),""select Col2 limit 60""))"),879.3574999999997)</f>
        <v>879.3575</v>
      </c>
      <c r="L594" s="17">
        <f>IFERROR(__xludf.DUMMYFUNCTION("AVERAGE(QUERY(SORT(GOOGLEFINANCE(B594,""price"",TODAY()-365,TODAY()),1,0),""select Col2 limit 90""))"),849.6305555555554)</f>
        <v>849.6305556</v>
      </c>
      <c r="M594" s="17">
        <f>IFERROR(__xludf.DUMMYFUNCTION("AVERAGE(QUERY(SORT(GOOGLEFINANCE(B594,""price"",TODAY()-365,TODAY()),1,0),""select Col2 limit 120""))"),822.8979166666669)</f>
        <v>822.8979167</v>
      </c>
      <c r="N594" s="19">
        <f>IFERROR(__xludf.DUMMYFUNCTION("AVERAGE(QUERY(SORT(GOOGLEFINANCE(B594,""price"",TODAY()-365,TODAY()),1,0),""select Col2 limit 200""))"),814.8677500000007)</f>
        <v>814.86775</v>
      </c>
      <c r="O594" s="20" t="str">
        <f t="shared" si="2"/>
        <v>Avoid</v>
      </c>
      <c r="P594" s="21" t="str">
        <f t="shared" si="3"/>
        <v/>
      </c>
      <c r="Q594" s="21" t="str">
        <f t="shared" si="4"/>
        <v/>
      </c>
      <c r="R594" s="22">
        <f>IFERROR(__xludf.DUMMYFUNCTION("GOOGLEFINANCE(B594, ""pe"")
"),36.85)</f>
        <v>36.85</v>
      </c>
    </row>
    <row r="595">
      <c r="A595" s="9" t="s">
        <v>607</v>
      </c>
      <c r="B595" s="11" t="str">
        <f t="shared" si="1"/>
        <v>NSE:LTFOODS</v>
      </c>
      <c r="C595" s="12">
        <f>IFERROR(__xludf.DUMMYFUNCTION("GOOGLEFINANCE(B595,""marketcap"")/10000000"),16954.63)</f>
        <v>16954.63</v>
      </c>
      <c r="D595" s="13">
        <f>IFERROR(__xludf.DUMMYFUNCTION("GOOGLEFINANCE(B595,""price"")"),484.7)</f>
        <v>484.7</v>
      </c>
      <c r="E595" s="14">
        <f>IFERROR(__xludf.DUMMYFUNCTION("GOOGLEFINANCE(B595,""Volume"")"),331476.0)</f>
        <v>331476</v>
      </c>
      <c r="F595" s="14">
        <f t="array" ref="F595">F594</f>
        <v>14</v>
      </c>
      <c r="G595" s="15" t="str">
        <f>IFERROR(__xludf.DUMMYFUNCTION("IF(E595&gt;AVERAGE(INDEX(GOOGLEFINANCE(B595,""volume"",WORKDAY(TODAY(),-$F$1),TODAY()),,2)),""Breakout"","""")"),"#N/A")</f>
        <v>#N/A</v>
      </c>
      <c r="H595" s="16">
        <f>IFERROR(__xludf.DUMMYFUNCTION("GOOGLEFINANCE(B595,""price"")"),484.7)</f>
        <v>484.7</v>
      </c>
      <c r="I595" s="17">
        <f>IFERROR(__xludf.DUMMYFUNCTION("AVERAGE(QUERY(SORT(GOOGLEFINANCE(B595,""price"",TODAY()-365,TODAY()),1,0),""select Col2 limit 10""))"),495.425)</f>
        <v>495.425</v>
      </c>
      <c r="J595" s="17">
        <f>IFERROR(__xludf.DUMMYFUNCTION("AVERAGE(QUERY(SORT(GOOGLEFINANCE(B595,""price"",TODAY()-365,TODAY()),1,0),""select Col2 limit 30""))"),474.9766666666668)</f>
        <v>474.9766667</v>
      </c>
      <c r="K595" s="18">
        <f>IFERROR(__xludf.DUMMYFUNCTION("AVERAGE(QUERY(SORT(GOOGLEFINANCE(B595,""price"",TODAY()-365,TODAY()),1,0),""select Col2 limit 60""))"),442.0058333333335)</f>
        <v>442.0058333</v>
      </c>
      <c r="L595" s="17">
        <f>IFERROR(__xludf.DUMMYFUNCTION("AVERAGE(QUERY(SORT(GOOGLEFINANCE(B595,""price"",TODAY()-365,TODAY()),1,0),""select Col2 limit 90""))"),414.5405555555557)</f>
        <v>414.5405556</v>
      </c>
      <c r="M595" s="17">
        <f>IFERROR(__xludf.DUMMYFUNCTION("AVERAGE(QUERY(SORT(GOOGLEFINANCE(B595,""price"",TODAY()-365,TODAY()),1,0),""select Col2 limit 120""))"),402.7529166666669)</f>
        <v>402.7529167</v>
      </c>
      <c r="N595" s="19">
        <f>IFERROR(__xludf.DUMMYFUNCTION("AVERAGE(QUERY(SORT(GOOGLEFINANCE(B595,""price"",TODAY()-365,TODAY()),1,0),""select Col2 limit 200""))"),400.58575000000025)</f>
        <v>400.58575</v>
      </c>
      <c r="O595" s="20" t="str">
        <f t="shared" si="2"/>
        <v>Avoid</v>
      </c>
      <c r="P595" s="21" t="str">
        <f t="shared" si="3"/>
        <v/>
      </c>
      <c r="Q595" s="21" t="str">
        <f t="shared" si="4"/>
        <v/>
      </c>
      <c r="R595" s="22">
        <f>IFERROR(__xludf.DUMMYFUNCTION("GOOGLEFINANCE(B595, ""pe"")
"),12.35)</f>
        <v>12.35</v>
      </c>
    </row>
    <row r="596">
      <c r="A596" s="9" t="s">
        <v>608</v>
      </c>
      <c r="B596" s="11" t="str">
        <f t="shared" si="1"/>
        <v>NSE:SAFARI</v>
      </c>
      <c r="C596" s="12">
        <f>IFERROR(__xludf.DUMMYFUNCTION("GOOGLEFINANCE(B596,""marketcap"")/10000000"),9997.7902662)</f>
        <v>9997.790266</v>
      </c>
      <c r="D596" s="13">
        <f>IFERROR(__xludf.DUMMYFUNCTION("GOOGLEFINANCE(B596,""price"")"),2039.5)</f>
        <v>2039.5</v>
      </c>
      <c r="E596" s="14">
        <f>IFERROR(__xludf.DUMMYFUNCTION("GOOGLEFINANCE(B596,""Volume"")"),25874.0)</f>
        <v>25874</v>
      </c>
      <c r="F596" s="14">
        <f t="array" ref="F596">F595</f>
        <v>14</v>
      </c>
      <c r="G596" s="15" t="str">
        <f>IFERROR(__xludf.DUMMYFUNCTION("IF(E596&gt;AVERAGE(INDEX(GOOGLEFINANCE(B596,""volume"",WORKDAY(TODAY(),-$F$1),TODAY()),,2)),""Breakout"","""")"),"Breakout")</f>
        <v>Breakout</v>
      </c>
      <c r="H596" s="16">
        <f>IFERROR(__xludf.DUMMYFUNCTION("GOOGLEFINANCE(B596,""price"")"),2039.5)</f>
        <v>2039.5</v>
      </c>
      <c r="I596" s="17">
        <f>IFERROR(__xludf.DUMMYFUNCTION("AVERAGE(QUERY(SORT(GOOGLEFINANCE(B596,""price"",TODAY()-365,TODAY()),1,0),""select Col2 limit 10""))"),2167.29)</f>
        <v>2167.29</v>
      </c>
      <c r="J596" s="17">
        <f>IFERROR(__xludf.DUMMYFUNCTION("AVERAGE(QUERY(SORT(GOOGLEFINANCE(B596,""price"",TODAY()-365,TODAY()),1,0),""select Col2 limit 30""))"),2168.453333333334)</f>
        <v>2168.453333</v>
      </c>
      <c r="K596" s="18">
        <f>IFERROR(__xludf.DUMMYFUNCTION("AVERAGE(QUERY(SORT(GOOGLEFINANCE(B596,""price"",TODAY()-365,TODAY()),1,0),""select Col2 limit 60""))"),2188.043333333334)</f>
        <v>2188.043333</v>
      </c>
      <c r="L596" s="17">
        <f>IFERROR(__xludf.DUMMYFUNCTION("AVERAGE(QUERY(SORT(GOOGLEFINANCE(B596,""price"",TODAY()-365,TODAY()),1,0),""select Col2 limit 90""))"),2127.802222222223)</f>
        <v>2127.802222</v>
      </c>
      <c r="M596" s="17">
        <f>IFERROR(__xludf.DUMMYFUNCTION("AVERAGE(QUERY(SORT(GOOGLEFINANCE(B596,""price"",TODAY()-365,TODAY()),1,0),""select Col2 limit 120""))"),2127.0833333333335)</f>
        <v>2127.083333</v>
      </c>
      <c r="N596" s="19">
        <f>IFERROR(__xludf.DUMMYFUNCTION("AVERAGE(QUERY(SORT(GOOGLEFINANCE(B596,""price"",TODAY()-365,TODAY()),1,0),""select Col2 limit 200""))"),2266.06975)</f>
        <v>2266.06975</v>
      </c>
      <c r="O596" s="20" t="str">
        <f t="shared" si="2"/>
        <v>Avoid</v>
      </c>
      <c r="P596" s="21" t="str">
        <f t="shared" si="3"/>
        <v/>
      </c>
      <c r="Q596" s="21" t="str">
        <f t="shared" si="4"/>
        <v/>
      </c>
      <c r="R596" s="22">
        <f>IFERROR(__xludf.DUMMYFUNCTION("GOOGLEFINANCE(B596, ""pe"")
"),70.14)</f>
        <v>70.14</v>
      </c>
    </row>
    <row r="597">
      <c r="A597" s="9" t="s">
        <v>609</v>
      </c>
      <c r="B597" s="11" t="str">
        <f t="shared" si="1"/>
        <v>NSE:RENUKA</v>
      </c>
      <c r="C597" s="12">
        <f>IFERROR(__xludf.DUMMYFUNCTION("GOOGLEFINANCE(B597,""marketcap"")/10000000"),6453.578583)</f>
        <v>6453.578583</v>
      </c>
      <c r="D597" s="13">
        <f>IFERROR(__xludf.DUMMYFUNCTION("GOOGLEFINANCE(B597,""price"")"),30.35)</f>
        <v>30.35</v>
      </c>
      <c r="E597" s="14">
        <f>IFERROR(__xludf.DUMMYFUNCTION("GOOGLEFINANCE(B597,""Volume"")"),1099672.0)</f>
        <v>1099672</v>
      </c>
      <c r="F597" s="14">
        <f t="array" ref="F597">F596</f>
        <v>14</v>
      </c>
      <c r="G597" s="15" t="str">
        <f>IFERROR(__xludf.DUMMYFUNCTION("IF(E597&gt;AVERAGE(INDEX(GOOGLEFINANCE(B597,""volume"",WORKDAY(TODAY(),-$F$1),TODAY()),,2)),""Breakout"","""")"),"")</f>
        <v/>
      </c>
      <c r="H597" s="16">
        <f>IFERROR(__xludf.DUMMYFUNCTION("GOOGLEFINANCE(B597,""price"")"),30.35)</f>
        <v>30.35</v>
      </c>
      <c r="I597" s="17">
        <f>IFERROR(__xludf.DUMMYFUNCTION("AVERAGE(QUERY(SORT(GOOGLEFINANCE(B597,""price"",TODAY()-365,TODAY()),1,0),""select Col2 limit 10""))"),31.869)</f>
        <v>31.869</v>
      </c>
      <c r="J597" s="17">
        <f>IFERROR(__xludf.DUMMYFUNCTION("AVERAGE(QUERY(SORT(GOOGLEFINANCE(B597,""price"",TODAY()-365,TODAY()),1,0),""select Col2 limit 30""))"),32.363)</f>
        <v>32.363</v>
      </c>
      <c r="K597" s="18">
        <f>IFERROR(__xludf.DUMMYFUNCTION("AVERAGE(QUERY(SORT(GOOGLEFINANCE(B597,""price"",TODAY()-365,TODAY()),1,0),""select Col2 limit 60""))"),32.10466666666667)</f>
        <v>32.10466667</v>
      </c>
      <c r="L597" s="17">
        <f>IFERROR(__xludf.DUMMYFUNCTION("AVERAGE(QUERY(SORT(GOOGLEFINANCE(B597,""price"",TODAY()-365,TODAY()),1,0),""select Col2 limit 90""))"),30.959999999999987)</f>
        <v>30.96</v>
      </c>
      <c r="M597" s="17">
        <f>IFERROR(__xludf.DUMMYFUNCTION("AVERAGE(QUERY(SORT(GOOGLEFINANCE(B597,""price"",TODAY()-365,TODAY()),1,0),""select Col2 limit 120""))"),31.14516666666666)</f>
        <v>31.14516667</v>
      </c>
      <c r="N597" s="19">
        <f>IFERROR(__xludf.DUMMYFUNCTION("AVERAGE(QUERY(SORT(GOOGLEFINANCE(B597,""price"",TODAY()-365,TODAY()),1,0),""select Col2 limit 200""))"),35.30704999999999)</f>
        <v>35.30705</v>
      </c>
      <c r="O597" s="20" t="str">
        <f t="shared" si="2"/>
        <v>Avoid</v>
      </c>
      <c r="P597" s="21" t="str">
        <f t="shared" si="3"/>
        <v/>
      </c>
      <c r="Q597" s="21" t="str">
        <f t="shared" si="4"/>
        <v/>
      </c>
      <c r="R597" s="22" t="str">
        <f>IFERROR(__xludf.DUMMYFUNCTION("GOOGLEFINANCE(B597, ""pe"")
"),"#N/A")</f>
        <v>#N/A</v>
      </c>
    </row>
    <row r="598">
      <c r="A598" s="9" t="s">
        <v>610</v>
      </c>
      <c r="B598" s="11" t="str">
        <f t="shared" si="1"/>
        <v>NSE:REDTAPE</v>
      </c>
      <c r="C598" s="12">
        <f>IFERROR(__xludf.DUMMYFUNCTION("GOOGLEFINANCE(B598,""marketcap"")/10000000"),7186.4988)</f>
        <v>7186.4988</v>
      </c>
      <c r="D598" s="13">
        <f>IFERROR(__xludf.DUMMYFUNCTION("GOOGLEFINANCE(B598,""price"")"),129.99)</f>
        <v>129.99</v>
      </c>
      <c r="E598" s="14">
        <f>IFERROR(__xludf.DUMMYFUNCTION("GOOGLEFINANCE(B598,""Volume"")"),225222.0)</f>
        <v>225222</v>
      </c>
      <c r="F598" s="14">
        <f t="array" ref="F598">F597</f>
        <v>14</v>
      </c>
      <c r="G598" s="15" t="str">
        <f>IFERROR(__xludf.DUMMYFUNCTION("IF(E598&gt;AVERAGE(INDEX(GOOGLEFINANCE(B598,""volume"",WORKDAY(TODAY(),-$F$1),TODAY()),,2)),""Breakout"","""")"),"#N/A")</f>
        <v>#N/A</v>
      </c>
      <c r="H598" s="16">
        <f>IFERROR(__xludf.DUMMYFUNCTION("GOOGLEFINANCE(B598,""price"")"),129.99)</f>
        <v>129.99</v>
      </c>
      <c r="I598" s="17">
        <f>IFERROR(__xludf.DUMMYFUNCTION("AVERAGE(QUERY(SORT(GOOGLEFINANCE(B598,""price"",TODAY()-365,TODAY()),1,0),""select Col2 limit 10""))"),134.848)</f>
        <v>134.848</v>
      </c>
      <c r="J598" s="17">
        <f>IFERROR(__xludf.DUMMYFUNCTION("AVERAGE(QUERY(SORT(GOOGLEFINANCE(B598,""price"",TODAY()-365,TODAY()),1,0),""select Col2 limit 30""))"),131.89666666666668)</f>
        <v>131.8966667</v>
      </c>
      <c r="K598" s="18">
        <f>IFERROR(__xludf.DUMMYFUNCTION("AVERAGE(QUERY(SORT(GOOGLEFINANCE(B598,""price"",TODAY()-365,TODAY()),1,0),""select Col2 limit 60""))"),134.6065)</f>
        <v>134.6065</v>
      </c>
      <c r="L598" s="17">
        <f>IFERROR(__xludf.DUMMYFUNCTION("AVERAGE(QUERY(SORT(GOOGLEFINANCE(B598,""price"",TODAY()-365,TODAY()),1,0),""select Col2 limit 90""))"),138.63799999999998)</f>
        <v>138.638</v>
      </c>
      <c r="M598" s="17">
        <f>IFERROR(__xludf.DUMMYFUNCTION("AVERAGE(QUERY(SORT(GOOGLEFINANCE(B598,""price"",TODAY()-365,TODAY()),1,0),""select Col2 limit 120""))"),148.5716666666667)</f>
        <v>148.5716667</v>
      </c>
      <c r="N598" s="19">
        <f>IFERROR(__xludf.DUMMYFUNCTION("AVERAGE(QUERY(SORT(GOOGLEFINANCE(B598,""price"",TODAY()-365,TODAY()),1,0),""select Col2 limit 200""))"),172.97070000000014)</f>
        <v>172.9707</v>
      </c>
      <c r="O598" s="20" t="str">
        <f t="shared" si="2"/>
        <v>Avoid</v>
      </c>
      <c r="P598" s="21" t="str">
        <f t="shared" si="3"/>
        <v/>
      </c>
      <c r="Q598" s="21" t="str">
        <f t="shared" si="4"/>
        <v/>
      </c>
      <c r="R598" s="22">
        <f>IFERROR(__xludf.DUMMYFUNCTION("GOOGLEFINANCE(B598, ""pe"")
"),42.21)</f>
        <v>42.21</v>
      </c>
    </row>
    <row r="599">
      <c r="A599" s="9" t="s">
        <v>611</v>
      </c>
      <c r="B599" s="11" t="str">
        <f t="shared" si="1"/>
        <v>NSE:MOIL</v>
      </c>
      <c r="C599" s="12">
        <f>IFERROR(__xludf.DUMMYFUNCTION("GOOGLEFINANCE(B599,""marketcap"")/10000000"),7599.1550423)</f>
        <v>7599.155042</v>
      </c>
      <c r="D599" s="13">
        <f>IFERROR(__xludf.DUMMYFUNCTION("GOOGLEFINANCE(B599,""price"")"),373.0)</f>
        <v>373</v>
      </c>
      <c r="E599" s="14">
        <f>IFERROR(__xludf.DUMMYFUNCTION("GOOGLEFINANCE(B599,""Volume"")"),311537.0)</f>
        <v>311537</v>
      </c>
      <c r="F599" s="14">
        <f t="array" ref="F599">F598</f>
        <v>14</v>
      </c>
      <c r="G599" s="15" t="str">
        <f>IFERROR(__xludf.DUMMYFUNCTION("IF(E599&gt;AVERAGE(INDEX(GOOGLEFINANCE(B599,""volume"",WORKDAY(TODAY(),-$F$1),TODAY()),,2)),""Breakout"","""")"),"")</f>
        <v/>
      </c>
      <c r="H599" s="16">
        <f>IFERROR(__xludf.DUMMYFUNCTION("GOOGLEFINANCE(B599,""price"")"),373.0)</f>
        <v>373</v>
      </c>
      <c r="I599" s="17">
        <f>IFERROR(__xludf.DUMMYFUNCTION("AVERAGE(QUERY(SORT(GOOGLEFINANCE(B599,""price"",TODAY()-365,TODAY()),1,0),""select Col2 limit 10""))"),379.805)</f>
        <v>379.805</v>
      </c>
      <c r="J599" s="17">
        <f>IFERROR(__xludf.DUMMYFUNCTION("AVERAGE(QUERY(SORT(GOOGLEFINANCE(B599,""price"",TODAY()-365,TODAY()),1,0),""select Col2 limit 30""))"),377.4983333333333)</f>
        <v>377.4983333</v>
      </c>
      <c r="K599" s="18">
        <f>IFERROR(__xludf.DUMMYFUNCTION("AVERAGE(QUERY(SORT(GOOGLEFINANCE(B599,""price"",TODAY()-365,TODAY()),1,0),""select Col2 limit 60""))"),371.1349999999999)</f>
        <v>371.135</v>
      </c>
      <c r="L599" s="17">
        <f>IFERROR(__xludf.DUMMYFUNCTION("AVERAGE(QUERY(SORT(GOOGLEFINANCE(B599,""price"",TODAY()-365,TODAY()),1,0),""select Col2 limit 90""))"),355.4083333333333)</f>
        <v>355.4083333</v>
      </c>
      <c r="M599" s="17">
        <f>IFERROR(__xludf.DUMMYFUNCTION("AVERAGE(QUERY(SORT(GOOGLEFINANCE(B599,""price"",TODAY()-365,TODAY()),1,0),""select Col2 limit 120""))"),344.4629166666667)</f>
        <v>344.4629167</v>
      </c>
      <c r="N599" s="19">
        <f>IFERROR(__xludf.DUMMYFUNCTION("AVERAGE(QUERY(SORT(GOOGLEFINANCE(B599,""price"",TODAY()-365,TODAY()),1,0),""select Col2 limit 200""))"),342.194)</f>
        <v>342.194</v>
      </c>
      <c r="O599" s="20" t="str">
        <f t="shared" si="2"/>
        <v>Avoid</v>
      </c>
      <c r="P599" s="21" t="str">
        <f t="shared" si="3"/>
        <v/>
      </c>
      <c r="Q599" s="21" t="str">
        <f t="shared" si="4"/>
        <v/>
      </c>
      <c r="R599" s="22">
        <f>IFERROR(__xludf.DUMMYFUNCTION("GOOGLEFINANCE(B599, ""pe"")
"),19.91)</f>
        <v>19.91</v>
      </c>
    </row>
    <row r="600">
      <c r="A600" s="9" t="s">
        <v>612</v>
      </c>
      <c r="B600" s="11" t="str">
        <f t="shared" si="1"/>
        <v>NSE:SARDAEN</v>
      </c>
      <c r="C600" s="12">
        <f>IFERROR(__xludf.DUMMYFUNCTION("GOOGLEFINANCE(B600,""marketcap"")/10000000"),15282.7774111)</f>
        <v>15282.77741</v>
      </c>
      <c r="D600" s="13">
        <f>IFERROR(__xludf.DUMMYFUNCTION("GOOGLEFINANCE(B600,""price"")"),433.7)</f>
        <v>433.7</v>
      </c>
      <c r="E600" s="14">
        <f>IFERROR(__xludf.DUMMYFUNCTION("GOOGLEFINANCE(B600,""Volume"")"),82011.0)</f>
        <v>82011</v>
      </c>
      <c r="F600" s="14">
        <f t="array" ref="F600">F599</f>
        <v>14</v>
      </c>
      <c r="G600" s="15" t="str">
        <f>IFERROR(__xludf.DUMMYFUNCTION("IF(E600&gt;AVERAGE(INDEX(GOOGLEFINANCE(B600,""volume"",WORKDAY(TODAY(),-$F$1),TODAY()),,2)),""Breakout"","""")"),"")</f>
        <v/>
      </c>
      <c r="H600" s="16">
        <f>IFERROR(__xludf.DUMMYFUNCTION("GOOGLEFINANCE(B600,""price"")"),433.7)</f>
        <v>433.7</v>
      </c>
      <c r="I600" s="17">
        <f>IFERROR(__xludf.DUMMYFUNCTION("AVERAGE(QUERY(SORT(GOOGLEFINANCE(B600,""price"",TODAY()-365,TODAY()),1,0),""select Col2 limit 10""))"),444.82)</f>
        <v>444.82</v>
      </c>
      <c r="J600" s="17">
        <f>IFERROR(__xludf.DUMMYFUNCTION("AVERAGE(QUERY(SORT(GOOGLEFINANCE(B600,""price"",TODAY()-365,TODAY()),1,0),""select Col2 limit 30""))"),441.0449999999999)</f>
        <v>441.045</v>
      </c>
      <c r="K600" s="18">
        <f>IFERROR(__xludf.DUMMYFUNCTION("AVERAGE(QUERY(SORT(GOOGLEFINANCE(B600,""price"",TODAY()-365,TODAY()),1,0),""select Col2 limit 60""))"),443.5733333333333)</f>
        <v>443.5733333</v>
      </c>
      <c r="L600" s="17">
        <f>IFERROR(__xludf.DUMMYFUNCTION("AVERAGE(QUERY(SORT(GOOGLEFINANCE(B600,""price"",TODAY()-365,TODAY()),1,0),""select Col2 limit 90""))"),460.83444444444444)</f>
        <v>460.8344444</v>
      </c>
      <c r="M600" s="17">
        <f>IFERROR(__xludf.DUMMYFUNCTION("AVERAGE(QUERY(SORT(GOOGLEFINANCE(B600,""price"",TODAY()-365,TODAY()),1,0),""select Col2 limit 120""))"),463.92208333333355)</f>
        <v>463.9220833</v>
      </c>
      <c r="N600" s="19">
        <f>IFERROR(__xludf.DUMMYFUNCTION("AVERAGE(QUERY(SORT(GOOGLEFINANCE(B600,""price"",TODAY()-365,TODAY()),1,0),""select Col2 limit 200""))"),463.24575)</f>
        <v>463.24575</v>
      </c>
      <c r="O600" s="20" t="str">
        <f t="shared" si="2"/>
        <v>Avoid</v>
      </c>
      <c r="P600" s="21" t="str">
        <f t="shared" si="3"/>
        <v/>
      </c>
      <c r="Q600" s="21" t="str">
        <f t="shared" si="4"/>
        <v/>
      </c>
      <c r="R600" s="22">
        <f>IFERROR(__xludf.DUMMYFUNCTION("GOOGLEFINANCE(B600, ""pe"")
"),21.89)</f>
        <v>21.89</v>
      </c>
    </row>
    <row r="601">
      <c r="A601" s="9" t="s">
        <v>613</v>
      </c>
      <c r="B601" s="11" t="str">
        <f t="shared" si="1"/>
        <v>NSE:GALAXYSURF</v>
      </c>
      <c r="C601" s="12">
        <f>IFERROR(__xludf.DUMMYFUNCTION("GOOGLEFINANCE(B601,""marketcap"")/10000000"),9176.0441937)</f>
        <v>9176.044194</v>
      </c>
      <c r="D601" s="13">
        <f>IFERROR(__xludf.DUMMYFUNCTION("GOOGLEFINANCE(B601,""price"")"),2587.1)</f>
        <v>2587.1</v>
      </c>
      <c r="E601" s="14">
        <f>IFERROR(__xludf.DUMMYFUNCTION("GOOGLEFINANCE(B601,""Volume"")"),6051.0)</f>
        <v>6051</v>
      </c>
      <c r="F601" s="14">
        <f t="array" ref="F601">F600</f>
        <v>14</v>
      </c>
      <c r="G601" s="15" t="str">
        <f>IFERROR(__xludf.DUMMYFUNCTION("IF(E601&gt;AVERAGE(INDEX(GOOGLEFINANCE(B601,""volume"",WORKDAY(TODAY(),-$F$1),TODAY()),,2)),""Breakout"","""")"),"")</f>
        <v/>
      </c>
      <c r="H601" s="16">
        <f>IFERROR(__xludf.DUMMYFUNCTION("GOOGLEFINANCE(B601,""price"")"),2587.1)</f>
        <v>2587.1</v>
      </c>
      <c r="I601" s="17">
        <f>IFERROR(__xludf.DUMMYFUNCTION("AVERAGE(QUERY(SORT(GOOGLEFINANCE(B601,""price"",TODAY()-365,TODAY()),1,0),""select Col2 limit 10""))"),2579.6600000000003)</f>
        <v>2579.66</v>
      </c>
      <c r="J601" s="17">
        <f>IFERROR(__xludf.DUMMYFUNCTION("AVERAGE(QUERY(SORT(GOOGLEFINANCE(B601,""price"",TODAY()-365,TODAY()),1,0),""select Col2 limit 30""))"),2567.7933333333335)</f>
        <v>2567.793333</v>
      </c>
      <c r="K601" s="18">
        <f>IFERROR(__xludf.DUMMYFUNCTION("AVERAGE(QUERY(SORT(GOOGLEFINANCE(B601,""price"",TODAY()-365,TODAY()),1,0),""select Col2 limit 60""))"),2415.0933333333332)</f>
        <v>2415.093333</v>
      </c>
      <c r="L601" s="17">
        <f>IFERROR(__xludf.DUMMYFUNCTION("AVERAGE(QUERY(SORT(GOOGLEFINANCE(B601,""price"",TODAY()-365,TODAY()),1,0),""select Col2 limit 90""))"),2326.658888888889)</f>
        <v>2326.658889</v>
      </c>
      <c r="M601" s="17">
        <f>IFERROR(__xludf.DUMMYFUNCTION("AVERAGE(QUERY(SORT(GOOGLEFINANCE(B601,""price"",TODAY()-365,TODAY()),1,0),""select Col2 limit 120""))"),2320.0600000000004)</f>
        <v>2320.06</v>
      </c>
      <c r="N601" s="19">
        <f>IFERROR(__xludf.DUMMYFUNCTION("AVERAGE(QUERY(SORT(GOOGLEFINANCE(B601,""price"",TODAY()-365,TODAY()),1,0),""select Col2 limit 200""))"),2488.029000000001)</f>
        <v>2488.029</v>
      </c>
      <c r="O601" s="20" t="str">
        <f t="shared" si="2"/>
        <v>Avoid</v>
      </c>
      <c r="P601" s="21" t="str">
        <f t="shared" si="3"/>
        <v/>
      </c>
      <c r="Q601" s="21" t="str">
        <f t="shared" si="4"/>
        <v/>
      </c>
      <c r="R601" s="22">
        <f>IFERROR(__xludf.DUMMYFUNCTION("GOOGLEFINANCE(B601, ""pe"")
"),30.13)</f>
        <v>30.13</v>
      </c>
    </row>
    <row r="602">
      <c r="A602" s="9" t="s">
        <v>614</v>
      </c>
      <c r="B602" s="11" t="str">
        <f t="shared" si="1"/>
        <v>NSE:HOMEFIRST</v>
      </c>
      <c r="C602" s="12">
        <f>IFERROR(__xludf.DUMMYFUNCTION("GOOGLEFINANCE(B602,""marketcap"")/10000000"),14402.4543)</f>
        <v>14402.4543</v>
      </c>
      <c r="D602" s="13">
        <f>IFERROR(__xludf.DUMMYFUNCTION("GOOGLEFINANCE(B602,""price"")"),1396.9)</f>
        <v>1396.9</v>
      </c>
      <c r="E602" s="14">
        <f>IFERROR(__xludf.DUMMYFUNCTION("GOOGLEFINANCE(B602,""Volume"")"),547608.0)</f>
        <v>547608</v>
      </c>
      <c r="F602" s="14">
        <f t="array" ref="F602">F601</f>
        <v>14</v>
      </c>
      <c r="G602" s="15" t="str">
        <f>IFERROR(__xludf.DUMMYFUNCTION("IF(E602&gt;AVERAGE(INDEX(GOOGLEFINANCE(B602,""volume"",WORKDAY(TODAY(),-$F$1),TODAY()),,2)),""Breakout"","""")"),"Breakout")</f>
        <v>Breakout</v>
      </c>
      <c r="H602" s="16">
        <f>IFERROR(__xludf.DUMMYFUNCTION("GOOGLEFINANCE(B602,""price"")"),1396.9)</f>
        <v>1396.9</v>
      </c>
      <c r="I602" s="17" t="str">
        <f>IFERROR(__xludf.DUMMYFUNCTION("AVERAGE(QUERY(SORT(GOOGLEFINANCE(B602,""price"",TODAY()-365,TODAY()),1,0),""select Col2 limit 10""))"),"#N/A")</f>
        <v>#N/A</v>
      </c>
      <c r="J602" s="17" t="str">
        <f>IFERROR(__xludf.DUMMYFUNCTION("AVERAGE(QUERY(SORT(GOOGLEFINANCE(B602,""price"",TODAY()-365,TODAY()),1,0),""select Col2 limit 30""))"),"#N/A")</f>
        <v>#N/A</v>
      </c>
      <c r="K602" s="18" t="str">
        <f>IFERROR(__xludf.DUMMYFUNCTION("AVERAGE(QUERY(SORT(GOOGLEFINANCE(B602,""price"",TODAY()-365,TODAY()),1,0),""select Col2 limit 60""))"),"#N/A")</f>
        <v>#N/A</v>
      </c>
      <c r="L602" s="17" t="str">
        <f>IFERROR(__xludf.DUMMYFUNCTION("AVERAGE(QUERY(SORT(GOOGLEFINANCE(B602,""price"",TODAY()-365,TODAY()),1,0),""select Col2 limit 90""))"),"#N/A")</f>
        <v>#N/A</v>
      </c>
      <c r="M602" s="17" t="str">
        <f>IFERROR(__xludf.DUMMYFUNCTION("AVERAGE(QUERY(SORT(GOOGLEFINANCE(B602,""price"",TODAY()-365,TODAY()),1,0),""select Col2 limit 120""))"),"#N/A")</f>
        <v>#N/A</v>
      </c>
      <c r="N602" s="19" t="str">
        <f>IFERROR(__xludf.DUMMYFUNCTION("AVERAGE(QUERY(SORT(GOOGLEFINANCE(B602,""price"",TODAY()-365,TODAY()),1,0),""select Col2 limit 200""))"),"#N/A")</f>
        <v>#N/A</v>
      </c>
      <c r="O602" s="20" t="str">
        <f t="shared" si="2"/>
        <v>#N/A</v>
      </c>
      <c r="P602" s="21" t="str">
        <f t="shared" si="3"/>
        <v>#N/A</v>
      </c>
      <c r="Q602" s="21" t="str">
        <f t="shared" si="4"/>
        <v>#N/A</v>
      </c>
      <c r="R602" s="22">
        <f>IFERROR(__xludf.DUMMYFUNCTION("GOOGLEFINANCE(B602, ""pe"")
"),31.85)</f>
        <v>31.85</v>
      </c>
    </row>
    <row r="603">
      <c r="A603" s="9" t="s">
        <v>615</v>
      </c>
      <c r="B603" s="11" t="str">
        <f t="shared" si="1"/>
        <v>NSE:GNFC</v>
      </c>
      <c r="C603" s="12">
        <f>IFERROR(__xludf.DUMMYFUNCTION("GOOGLEFINANCE(B603,""marketcap"")/10000000"),7870.1381772)</f>
        <v>7870.138177</v>
      </c>
      <c r="D603" s="13">
        <f>IFERROR(__xludf.DUMMYFUNCTION("GOOGLEFINANCE(B603,""price"")"),535.05)</f>
        <v>535.05</v>
      </c>
      <c r="E603" s="14">
        <f>IFERROR(__xludf.DUMMYFUNCTION("GOOGLEFINANCE(B603,""Volume"")"),102007.0)</f>
        <v>102007</v>
      </c>
      <c r="F603" s="14">
        <f t="array" ref="F603">F602</f>
        <v>14</v>
      </c>
      <c r="G603" s="15" t="str">
        <f>IFERROR(__xludf.DUMMYFUNCTION("IF(E603&gt;AVERAGE(INDEX(GOOGLEFINANCE(B603,""volume"",WORKDAY(TODAY(),-$F$1),TODAY()),,2)),""Breakout"","""")"),"")</f>
        <v/>
      </c>
      <c r="H603" s="16">
        <f>IFERROR(__xludf.DUMMYFUNCTION("GOOGLEFINANCE(B603,""price"")"),535.05)</f>
        <v>535.05</v>
      </c>
      <c r="I603" s="17">
        <f>IFERROR(__xludf.DUMMYFUNCTION("AVERAGE(QUERY(SORT(GOOGLEFINANCE(B603,""price"",TODAY()-365,TODAY()),1,0),""select Col2 limit 10""))"),546.355)</f>
        <v>546.355</v>
      </c>
      <c r="J603" s="17">
        <f>IFERROR(__xludf.DUMMYFUNCTION("AVERAGE(QUERY(SORT(GOOGLEFINANCE(B603,""price"",TODAY()-365,TODAY()),1,0),""select Col2 limit 30""))"),545.8466666666667)</f>
        <v>545.8466667</v>
      </c>
      <c r="K603" s="18">
        <f>IFERROR(__xludf.DUMMYFUNCTION("AVERAGE(QUERY(SORT(GOOGLEFINANCE(B603,""price"",TODAY()-365,TODAY()),1,0),""select Col2 limit 60""))"),533.4233333333334)</f>
        <v>533.4233333</v>
      </c>
      <c r="L603" s="17">
        <f>IFERROR(__xludf.DUMMYFUNCTION("AVERAGE(QUERY(SORT(GOOGLEFINANCE(B603,""price"",TODAY()-365,TODAY()),1,0),""select Col2 limit 90""))"),520.0305555555556)</f>
        <v>520.0305556</v>
      </c>
      <c r="M603" s="17">
        <f>IFERROR(__xludf.DUMMYFUNCTION("AVERAGE(QUERY(SORT(GOOGLEFINANCE(B603,""price"",TODAY()-365,TODAY()),1,0),""select Col2 limit 120""))"),523.3175000000001)</f>
        <v>523.3175</v>
      </c>
      <c r="N603" s="19">
        <f>IFERROR(__xludf.DUMMYFUNCTION("AVERAGE(QUERY(SORT(GOOGLEFINANCE(B603,""price"",TODAY()-365,TODAY()),1,0),""select Col2 limit 200""))"),552.3829999999999)</f>
        <v>552.383</v>
      </c>
      <c r="O603" s="20" t="str">
        <f t="shared" si="2"/>
        <v>Avoid</v>
      </c>
      <c r="P603" s="21" t="str">
        <f t="shared" si="3"/>
        <v/>
      </c>
      <c r="Q603" s="21" t="str">
        <f t="shared" si="4"/>
        <v/>
      </c>
      <c r="R603" s="22">
        <f>IFERROR(__xludf.DUMMYFUNCTION("GOOGLEFINANCE(B603, ""pe"")
"),13.18)</f>
        <v>13.18</v>
      </c>
    </row>
    <row r="604">
      <c r="A604" s="9" t="s">
        <v>616</v>
      </c>
      <c r="B604" s="11" t="str">
        <f t="shared" si="1"/>
        <v>NSE:ARVIND</v>
      </c>
      <c r="C604" s="12">
        <f>IFERROR(__xludf.DUMMYFUNCTION("GOOGLEFINANCE(B604,""marketcap"")/10000000"),8699.3995118)</f>
        <v>8699.399512</v>
      </c>
      <c r="D604" s="13">
        <f>IFERROR(__xludf.DUMMYFUNCTION("GOOGLEFINANCE(B604,""price"")"),331.95)</f>
        <v>331.95</v>
      </c>
      <c r="E604" s="14">
        <f>IFERROR(__xludf.DUMMYFUNCTION("GOOGLEFINANCE(B604,""Volume"")"),204363.0)</f>
        <v>204363</v>
      </c>
      <c r="F604" s="14">
        <f t="array" ref="F604">F603</f>
        <v>14</v>
      </c>
      <c r="G604" s="15" t="str">
        <f>IFERROR(__xludf.DUMMYFUNCTION("IF(E604&gt;AVERAGE(INDEX(GOOGLEFINANCE(B604,""volume"",WORKDAY(TODAY(),-$F$1),TODAY()),,2)),""Breakout"","""")"),"")</f>
        <v/>
      </c>
      <c r="H604" s="16">
        <f>IFERROR(__xludf.DUMMYFUNCTION("GOOGLEFINANCE(B604,""price"")"),331.95)</f>
        <v>331.95</v>
      </c>
      <c r="I604" s="17">
        <f>IFERROR(__xludf.DUMMYFUNCTION("AVERAGE(QUERY(SORT(GOOGLEFINANCE(B604,""price"",TODAY()-365,TODAY()),1,0),""select Col2 limit 10""))"),340.47999999999996)</f>
        <v>340.48</v>
      </c>
      <c r="J604" s="17">
        <f>IFERROR(__xludf.DUMMYFUNCTION("AVERAGE(QUERY(SORT(GOOGLEFINANCE(B604,""price"",TODAY()-365,TODAY()),1,0),""select Col2 limit 30""))"),345.42999999999995)</f>
        <v>345.43</v>
      </c>
      <c r="K604" s="18">
        <f>IFERROR(__xludf.DUMMYFUNCTION("AVERAGE(QUERY(SORT(GOOGLEFINANCE(B604,""price"",TODAY()-365,TODAY()),1,0),""select Col2 limit 60""))"),356.7583333333333)</f>
        <v>356.7583333</v>
      </c>
      <c r="L604" s="17">
        <f>IFERROR(__xludf.DUMMYFUNCTION("AVERAGE(QUERY(SORT(GOOGLEFINANCE(B604,""price"",TODAY()-365,TODAY()),1,0),""select Col2 limit 90""))"),353.05444444444436)</f>
        <v>353.0544444</v>
      </c>
      <c r="M604" s="17">
        <f>IFERROR(__xludf.DUMMYFUNCTION("AVERAGE(QUERY(SORT(GOOGLEFINANCE(B604,""price"",TODAY()-365,TODAY()),1,0),""select Col2 limit 120""))"),348.98666666666657)</f>
        <v>348.9866667</v>
      </c>
      <c r="N604" s="19">
        <f>IFERROR(__xludf.DUMMYFUNCTION("AVERAGE(QUERY(SORT(GOOGLEFINANCE(B604,""price"",TODAY()-365,TODAY()),1,0),""select Col2 limit 200""))"),361.3527499999998)</f>
        <v>361.35275</v>
      </c>
      <c r="O604" s="20" t="str">
        <f t="shared" si="2"/>
        <v>Avoid</v>
      </c>
      <c r="P604" s="21" t="str">
        <f t="shared" si="3"/>
        <v/>
      </c>
      <c r="Q604" s="21" t="str">
        <f t="shared" si="4"/>
        <v/>
      </c>
      <c r="R604" s="22">
        <f>IFERROR(__xludf.DUMMYFUNCTION("GOOGLEFINANCE(B604, ""pe"")
"),24.62)</f>
        <v>24.62</v>
      </c>
    </row>
    <row r="605">
      <c r="A605" s="9" t="s">
        <v>617</v>
      </c>
      <c r="B605" s="11" t="str">
        <f t="shared" si="1"/>
        <v>NSE:IBULHSGFIN</v>
      </c>
      <c r="C605" s="12" t="str">
        <f>IFERROR(__xludf.DUMMYFUNCTION("GOOGLEFINANCE(B605,""marketcap"")/10000000"),"#N/A")</f>
        <v>#N/A</v>
      </c>
      <c r="D605" s="13" t="str">
        <f>IFERROR(__xludf.DUMMYFUNCTION("GOOGLEFINANCE(B605,""price"")"),"#N/A")</f>
        <v>#N/A</v>
      </c>
      <c r="E605" s="14" t="str">
        <f>IFERROR(__xludf.DUMMYFUNCTION("GOOGLEFINANCE(B605,""Volume"")"),"#N/A")</f>
        <v>#N/A</v>
      </c>
      <c r="F605" s="14">
        <f t="array" ref="F605">F604</f>
        <v>14</v>
      </c>
      <c r="G605" s="15" t="str">
        <f>IFERROR(__xludf.DUMMYFUNCTION("IF(E605&gt;AVERAGE(INDEX(GOOGLEFINANCE(B605,""volume"",WORKDAY(TODAY(),-$F$1),TODAY()),,2)),""Breakout"","""")"),"#N/A")</f>
        <v>#N/A</v>
      </c>
      <c r="H605" s="16" t="str">
        <f>IFERROR(__xludf.DUMMYFUNCTION("GOOGLEFINANCE(B605,""price"")"),"#N/A")</f>
        <v>#N/A</v>
      </c>
      <c r="I605" s="17" t="str">
        <f>IFERROR(__xludf.DUMMYFUNCTION("AVERAGE(QUERY(SORT(GOOGLEFINANCE(B605,""price"",TODAY()-365,TODAY()),1,0),""select Col2 limit 10""))"),"#N/A")</f>
        <v>#N/A</v>
      </c>
      <c r="J605" s="17" t="str">
        <f>IFERROR(__xludf.DUMMYFUNCTION("AVERAGE(QUERY(SORT(GOOGLEFINANCE(B605,""price"",TODAY()-365,TODAY()),1,0),""select Col2 limit 30""))"),"#N/A")</f>
        <v>#N/A</v>
      </c>
      <c r="K605" s="18" t="str">
        <f>IFERROR(__xludf.DUMMYFUNCTION("AVERAGE(QUERY(SORT(GOOGLEFINANCE(B605,""price"",TODAY()-365,TODAY()),1,0),""select Col2 limit 60""))"),"#N/A")</f>
        <v>#N/A</v>
      </c>
      <c r="L605" s="17" t="str">
        <f>IFERROR(__xludf.DUMMYFUNCTION("AVERAGE(QUERY(SORT(GOOGLEFINANCE(B605,""price"",TODAY()-365,TODAY()),1,0),""select Col2 limit 90""))"),"#N/A")</f>
        <v>#N/A</v>
      </c>
      <c r="M605" s="17" t="str">
        <f>IFERROR(__xludf.DUMMYFUNCTION("AVERAGE(QUERY(SORT(GOOGLEFINANCE(B605,""price"",TODAY()-365,TODAY()),1,0),""select Col2 limit 120""))"),"#N/A")</f>
        <v>#N/A</v>
      </c>
      <c r="N605" s="19" t="str">
        <f>IFERROR(__xludf.DUMMYFUNCTION("AVERAGE(QUERY(SORT(GOOGLEFINANCE(B605,""price"",TODAY()-365,TODAY()),1,0),""select Col2 limit 200""))"),"#N/A")</f>
        <v>#N/A</v>
      </c>
      <c r="O605" s="20" t="str">
        <f t="shared" si="2"/>
        <v>#N/A</v>
      </c>
      <c r="P605" s="21" t="str">
        <f t="shared" si="3"/>
        <v>#N/A</v>
      </c>
      <c r="Q605" s="21" t="str">
        <f t="shared" si="4"/>
        <v>#N/A</v>
      </c>
      <c r="R605" s="22" t="str">
        <f>IFERROR(__xludf.DUMMYFUNCTION("GOOGLEFINANCE(B605, ""pe"")
"),"#N/A")</f>
        <v>#N/A</v>
      </c>
    </row>
    <row r="606">
      <c r="A606" s="9" t="s">
        <v>618</v>
      </c>
      <c r="B606" s="11" t="str">
        <f t="shared" si="1"/>
        <v>NSE:PURVA</v>
      </c>
      <c r="C606" s="12">
        <f>IFERROR(__xludf.DUMMYFUNCTION("GOOGLEFINANCE(B606,""marketcap"")/10000000"),6303.4737887)</f>
        <v>6303.473789</v>
      </c>
      <c r="D606" s="13">
        <f>IFERROR(__xludf.DUMMYFUNCTION("GOOGLEFINANCE(B606,""price"")"),265.95)</f>
        <v>265.95</v>
      </c>
      <c r="E606" s="14">
        <f>IFERROR(__xludf.DUMMYFUNCTION("GOOGLEFINANCE(B606,""Volume"")"),48693.0)</f>
        <v>48693</v>
      </c>
      <c r="F606" s="14">
        <f t="array" ref="F606">F605</f>
        <v>14</v>
      </c>
      <c r="G606" s="15" t="str">
        <f>IFERROR(__xludf.DUMMYFUNCTION("IF(E606&gt;AVERAGE(INDEX(GOOGLEFINANCE(B606,""volume"",WORKDAY(TODAY(),-$F$1),TODAY()),,2)),""Breakout"","""")"),"")</f>
        <v/>
      </c>
      <c r="H606" s="16">
        <f>IFERROR(__xludf.DUMMYFUNCTION("GOOGLEFINANCE(B606,""price"")"),265.95)</f>
        <v>265.95</v>
      </c>
      <c r="I606" s="17">
        <f>IFERROR(__xludf.DUMMYFUNCTION("AVERAGE(QUERY(SORT(GOOGLEFINANCE(B606,""price"",TODAY()-365,TODAY()),1,0),""select Col2 limit 10""))"),285.525)</f>
        <v>285.525</v>
      </c>
      <c r="J606" s="17">
        <f>IFERROR(__xludf.DUMMYFUNCTION("AVERAGE(QUERY(SORT(GOOGLEFINANCE(B606,""price"",TODAY()-365,TODAY()),1,0),""select Col2 limit 30""))"),287.93333333333334)</f>
        <v>287.9333333</v>
      </c>
      <c r="K606" s="18">
        <f>IFERROR(__xludf.DUMMYFUNCTION("AVERAGE(QUERY(SORT(GOOGLEFINANCE(B606,""price"",TODAY()-365,TODAY()),1,0),""select Col2 limit 60""))"),275.4643333333333)</f>
        <v>275.4643333</v>
      </c>
      <c r="L606" s="17">
        <f>IFERROR(__xludf.DUMMYFUNCTION("AVERAGE(QUERY(SORT(GOOGLEFINANCE(B606,""price"",TODAY()-365,TODAY()),1,0),""select Col2 limit 90""))"),264.1426666666667)</f>
        <v>264.1426667</v>
      </c>
      <c r="M606" s="17">
        <f>IFERROR(__xludf.DUMMYFUNCTION("AVERAGE(QUERY(SORT(GOOGLEFINANCE(B606,""price"",TODAY()-365,TODAY()),1,0),""select Col2 limit 120""))"),261.09725)</f>
        <v>261.09725</v>
      </c>
      <c r="N606" s="19">
        <f>IFERROR(__xludf.DUMMYFUNCTION("AVERAGE(QUERY(SORT(GOOGLEFINANCE(B606,""price"",TODAY()-365,TODAY()),1,0),""select Col2 limit 200""))"),309.0350999999999)</f>
        <v>309.0351</v>
      </c>
      <c r="O606" s="20" t="str">
        <f t="shared" si="2"/>
        <v>Avoid</v>
      </c>
      <c r="P606" s="21" t="str">
        <f t="shared" si="3"/>
        <v/>
      </c>
      <c r="Q606" s="21" t="str">
        <f t="shared" si="4"/>
        <v/>
      </c>
      <c r="R606" s="22" t="str">
        <f>IFERROR(__xludf.DUMMYFUNCTION("GOOGLEFINANCE(B606, ""pe"")
"),"#N/A")</f>
        <v>#N/A</v>
      </c>
    </row>
    <row r="607">
      <c r="A607" s="9" t="s">
        <v>619</v>
      </c>
      <c r="B607" s="11" t="str">
        <f t="shared" si="1"/>
        <v>NSE:SAPPHIRE</v>
      </c>
      <c r="C607" s="12">
        <f>IFERROR(__xludf.DUMMYFUNCTION("GOOGLEFINANCE(B607,""marketcap"")/10000000"),10669.90564)</f>
        <v>10669.90564</v>
      </c>
      <c r="D607" s="13">
        <f>IFERROR(__xludf.DUMMYFUNCTION("GOOGLEFINANCE(B607,""price"")"),332.0)</f>
        <v>332</v>
      </c>
      <c r="E607" s="14">
        <f>IFERROR(__xludf.DUMMYFUNCTION("GOOGLEFINANCE(B607,""Volume"")"),106902.0)</f>
        <v>106902</v>
      </c>
      <c r="F607" s="14">
        <f t="array" ref="F607">F606</f>
        <v>14</v>
      </c>
      <c r="G607" s="15" t="str">
        <f>IFERROR(__xludf.DUMMYFUNCTION("IF(E607&gt;AVERAGE(INDEX(GOOGLEFINANCE(B607,""volume"",WORKDAY(TODAY(),-$F$1),TODAY()),,2)),""Breakout"","""")"),"")</f>
        <v/>
      </c>
      <c r="H607" s="16">
        <f>IFERROR(__xludf.DUMMYFUNCTION("GOOGLEFINANCE(B607,""price"")"),332.0)</f>
        <v>332</v>
      </c>
      <c r="I607" s="17">
        <f>IFERROR(__xludf.DUMMYFUNCTION("AVERAGE(QUERY(SORT(GOOGLEFINANCE(B607,""price"",TODAY()-365,TODAY()),1,0),""select Col2 limit 10""))"),336.995)</f>
        <v>336.995</v>
      </c>
      <c r="J607" s="17">
        <f>IFERROR(__xludf.DUMMYFUNCTION("AVERAGE(QUERY(SORT(GOOGLEFINANCE(B607,""price"",TODAY()-365,TODAY()),1,0),""select Col2 limit 30""))"),331.3183333333334)</f>
        <v>331.3183333</v>
      </c>
      <c r="K607" s="18">
        <f>IFERROR(__xludf.DUMMYFUNCTION("AVERAGE(QUERY(SORT(GOOGLEFINANCE(B607,""price"",TODAY()-365,TODAY()),1,0),""select Col2 limit 60""))"),324.09749999999997)</f>
        <v>324.0975</v>
      </c>
      <c r="L607" s="17">
        <f>IFERROR(__xludf.DUMMYFUNCTION("AVERAGE(QUERY(SORT(GOOGLEFINANCE(B607,""price"",TODAY()-365,TODAY()),1,0),""select Col2 limit 90""))"),318.68)</f>
        <v>318.68</v>
      </c>
      <c r="M607" s="17">
        <f>IFERROR(__xludf.DUMMYFUNCTION("AVERAGE(QUERY(SORT(GOOGLEFINANCE(B607,""price"",TODAY()-365,TODAY()),1,0),""select Col2 limit 120""))"),317.1383333333334)</f>
        <v>317.1383333</v>
      </c>
      <c r="N607" s="19">
        <f>IFERROR(__xludf.DUMMYFUNCTION("AVERAGE(QUERY(SORT(GOOGLEFINANCE(B607,""price"",TODAY()-365,TODAY()),1,0),""select Col2 limit 200""))"),321.48325000000006)</f>
        <v>321.48325</v>
      </c>
      <c r="O607" s="20" t="str">
        <f t="shared" si="2"/>
        <v>Avoid</v>
      </c>
      <c r="P607" s="21" t="str">
        <f t="shared" si="3"/>
        <v/>
      </c>
      <c r="Q607" s="21" t="str">
        <f t="shared" si="4"/>
        <v/>
      </c>
      <c r="R607" s="22">
        <f>IFERROR(__xludf.DUMMYFUNCTION("GOOGLEFINANCE(B607, ""pe"")
"),1256.42)</f>
        <v>1256.42</v>
      </c>
    </row>
    <row r="608">
      <c r="A608" s="9" t="s">
        <v>620</v>
      </c>
      <c r="B608" s="11" t="str">
        <f t="shared" si="1"/>
        <v>NSE:KNRCON</v>
      </c>
      <c r="C608" s="12">
        <f>IFERROR(__xludf.DUMMYFUNCTION("GOOGLEFINANCE(B608,""marketcap"")/10000000"),5987.2012533)</f>
        <v>5987.201253</v>
      </c>
      <c r="D608" s="13">
        <f>IFERROR(__xludf.DUMMYFUNCTION("GOOGLEFINANCE(B608,""price"")"),212.96)</f>
        <v>212.96</v>
      </c>
      <c r="E608" s="14">
        <f>IFERROR(__xludf.DUMMYFUNCTION("GOOGLEFINANCE(B608,""Volume"")"),326291.0)</f>
        <v>326291</v>
      </c>
      <c r="F608" s="14">
        <f t="array" ref="F608">F607</f>
        <v>14</v>
      </c>
      <c r="G608" s="15" t="str">
        <f>IFERROR(__xludf.DUMMYFUNCTION("IF(E608&gt;AVERAGE(INDEX(GOOGLEFINANCE(B608,""volume"",WORKDAY(TODAY(),-$F$1),TODAY()),,2)),""Breakout"","""")"),"")</f>
        <v/>
      </c>
      <c r="H608" s="16">
        <f>IFERROR(__xludf.DUMMYFUNCTION("GOOGLEFINANCE(B608,""price"")"),212.96)</f>
        <v>212.96</v>
      </c>
      <c r="I608" s="17">
        <f>IFERROR(__xludf.DUMMYFUNCTION("AVERAGE(QUERY(SORT(GOOGLEFINANCE(B608,""price"",TODAY()-365,TODAY()),1,0),""select Col2 limit 10""))"),222.228)</f>
        <v>222.228</v>
      </c>
      <c r="J608" s="17">
        <f>IFERROR(__xludf.DUMMYFUNCTION("AVERAGE(QUERY(SORT(GOOGLEFINANCE(B608,""price"",TODAY()-365,TODAY()),1,0),""select Col2 limit 30""))"),219.34166666666667)</f>
        <v>219.3416667</v>
      </c>
      <c r="K608" s="18">
        <f>IFERROR(__xludf.DUMMYFUNCTION("AVERAGE(QUERY(SORT(GOOGLEFINANCE(B608,""price"",TODAY()-365,TODAY()),1,0),""select Col2 limit 60""))"),219.59616666666668)</f>
        <v>219.5961667</v>
      </c>
      <c r="L608" s="17">
        <f>IFERROR(__xludf.DUMMYFUNCTION("AVERAGE(QUERY(SORT(GOOGLEFINANCE(B608,""price"",TODAY()-365,TODAY()),1,0),""select Col2 limit 90""))"),222.77733333333327)</f>
        <v>222.7773333</v>
      </c>
      <c r="M608" s="17">
        <f>IFERROR(__xludf.DUMMYFUNCTION("AVERAGE(QUERY(SORT(GOOGLEFINANCE(B608,""price"",TODAY()-365,TODAY()),1,0),""select Col2 limit 120""))"),228.35808333333327)</f>
        <v>228.3580833</v>
      </c>
      <c r="N608" s="19">
        <f>IFERROR(__xludf.DUMMYFUNCTION("AVERAGE(QUERY(SORT(GOOGLEFINANCE(B608,""price"",TODAY()-365,TODAY()),1,0),""select Col2 limit 200""))"),263.74435)</f>
        <v>263.74435</v>
      </c>
      <c r="O608" s="20" t="str">
        <f t="shared" si="2"/>
        <v>Avoid</v>
      </c>
      <c r="P608" s="21" t="str">
        <f t="shared" si="3"/>
        <v/>
      </c>
      <c r="Q608" s="21" t="str">
        <f t="shared" si="4"/>
        <v/>
      </c>
      <c r="R608" s="22">
        <f>IFERROR(__xludf.DUMMYFUNCTION("GOOGLEFINANCE(B608, ""pe"")
"),5.98)</f>
        <v>5.98</v>
      </c>
    </row>
    <row r="609">
      <c r="A609" s="9" t="s">
        <v>621</v>
      </c>
      <c r="B609" s="11" t="str">
        <f t="shared" si="1"/>
        <v>NSE:AZAD</v>
      </c>
      <c r="C609" s="12">
        <f>IFERROR(__xludf.DUMMYFUNCTION("GOOGLEFINANCE(B609,""marketcap"")/10000000"),9762.1711259)</f>
        <v>9762.171126</v>
      </c>
      <c r="D609" s="13">
        <f>IFERROR(__xludf.DUMMYFUNCTION("GOOGLEFINANCE(B609,""price"")"),1511.0)</f>
        <v>1511</v>
      </c>
      <c r="E609" s="14">
        <f>IFERROR(__xludf.DUMMYFUNCTION("GOOGLEFINANCE(B609,""Volume"")"),86292.0)</f>
        <v>86292</v>
      </c>
      <c r="F609" s="14">
        <f t="array" ref="F609">F608</f>
        <v>14</v>
      </c>
      <c r="G609" s="15" t="str">
        <f>IFERROR(__xludf.DUMMYFUNCTION("IF(E609&gt;AVERAGE(INDEX(GOOGLEFINANCE(B609,""volume"",WORKDAY(TODAY(),-$F$1),TODAY()),,2)),""Breakout"","""")"),"")</f>
        <v/>
      </c>
      <c r="H609" s="16">
        <f>IFERROR(__xludf.DUMMYFUNCTION("GOOGLEFINANCE(B609,""price"")"),1511.0)</f>
        <v>1511</v>
      </c>
      <c r="I609" s="17">
        <f>IFERROR(__xludf.DUMMYFUNCTION("AVERAGE(QUERY(SORT(GOOGLEFINANCE(B609,""price"",TODAY()-365,TODAY()),1,0),""select Col2 limit 10""))"),1586.9199999999998)</f>
        <v>1586.92</v>
      </c>
      <c r="J609" s="17">
        <f>IFERROR(__xludf.DUMMYFUNCTION("AVERAGE(QUERY(SORT(GOOGLEFINANCE(B609,""price"",TODAY()-365,TODAY()),1,0),""select Col2 limit 30""))"),1613.96)</f>
        <v>1613.96</v>
      </c>
      <c r="K609" s="18">
        <f>IFERROR(__xludf.DUMMYFUNCTION("AVERAGE(QUERY(SORT(GOOGLEFINANCE(B609,""price"",TODAY()-365,TODAY()),1,0),""select Col2 limit 60""))"),1672.291666666667)</f>
        <v>1672.291667</v>
      </c>
      <c r="L609" s="17">
        <f>IFERROR(__xludf.DUMMYFUNCTION("AVERAGE(QUERY(SORT(GOOGLEFINANCE(B609,""price"",TODAY()-365,TODAY()),1,0),""select Col2 limit 90""))"),1588.9427777777782)</f>
        <v>1588.942778</v>
      </c>
      <c r="M609" s="17">
        <f>IFERROR(__xludf.DUMMYFUNCTION("AVERAGE(QUERY(SORT(GOOGLEFINANCE(B609,""price"",TODAY()-365,TODAY()),1,0),""select Col2 limit 120""))"),1533.4695833333337)</f>
        <v>1533.469583</v>
      </c>
      <c r="N609" s="19">
        <f>IFERROR(__xludf.DUMMYFUNCTION("AVERAGE(QUERY(SORT(GOOGLEFINANCE(B609,""price"",TODAY()-365,TODAY()),1,0),""select Col2 limit 200""))"),1570.5127500000003)</f>
        <v>1570.51275</v>
      </c>
      <c r="O609" s="20" t="str">
        <f t="shared" si="2"/>
        <v>Avoid</v>
      </c>
      <c r="P609" s="21" t="str">
        <f t="shared" si="3"/>
        <v/>
      </c>
      <c r="Q609" s="21" t="str">
        <f t="shared" si="4"/>
        <v/>
      </c>
      <c r="R609" s="22">
        <f>IFERROR(__xludf.DUMMYFUNCTION("GOOGLEFINANCE(B609, ""pe"")
"),103.08)</f>
        <v>103.08</v>
      </c>
    </row>
    <row r="610">
      <c r="A610" s="9" t="s">
        <v>622</v>
      </c>
      <c r="B610" s="11" t="str">
        <f t="shared" si="1"/>
        <v>NSE:GSFC</v>
      </c>
      <c r="C610" s="12">
        <f>IFERROR(__xludf.DUMMYFUNCTION("GOOGLEFINANCE(B610,""marketcap"")/10000000"),7944.0474643)</f>
        <v>7944.047464</v>
      </c>
      <c r="D610" s="13">
        <f>IFERROR(__xludf.DUMMYFUNCTION("GOOGLEFINANCE(B610,""price"")"),199.46)</f>
        <v>199.46</v>
      </c>
      <c r="E610" s="14">
        <f>IFERROR(__xludf.DUMMYFUNCTION("GOOGLEFINANCE(B610,""Volume"")"),246237.0)</f>
        <v>246237</v>
      </c>
      <c r="F610" s="14">
        <f t="array" ref="F610">F609</f>
        <v>14</v>
      </c>
      <c r="G610" s="15" t="str">
        <f>IFERROR(__xludf.DUMMYFUNCTION("IF(E610&gt;AVERAGE(INDEX(GOOGLEFINANCE(B610,""volume"",WORKDAY(TODAY(),-$F$1),TODAY()),,2)),""Breakout"","""")"),"")</f>
        <v/>
      </c>
      <c r="H610" s="16">
        <f>IFERROR(__xludf.DUMMYFUNCTION("GOOGLEFINANCE(B610,""price"")"),199.46)</f>
        <v>199.46</v>
      </c>
      <c r="I610" s="17">
        <f>IFERROR(__xludf.DUMMYFUNCTION("AVERAGE(QUERY(SORT(GOOGLEFINANCE(B610,""price"",TODAY()-365,TODAY()),1,0),""select Col2 limit 10""))"),203.002)</f>
        <v>203.002</v>
      </c>
      <c r="J610" s="17">
        <f>IFERROR(__xludf.DUMMYFUNCTION("AVERAGE(QUERY(SORT(GOOGLEFINANCE(B610,""price"",TODAY()-365,TODAY()),1,0),""select Col2 limit 30""))"),202.6506666666666)</f>
        <v>202.6506667</v>
      </c>
      <c r="K610" s="18">
        <f>IFERROR(__xludf.DUMMYFUNCTION("AVERAGE(QUERY(SORT(GOOGLEFINANCE(B610,""price"",TODAY()-365,TODAY()),1,0),""select Col2 limit 60""))"),202.2376666666666)</f>
        <v>202.2376667</v>
      </c>
      <c r="L610" s="17">
        <f>IFERROR(__xludf.DUMMYFUNCTION("AVERAGE(QUERY(SORT(GOOGLEFINANCE(B610,""price"",TODAY()-365,TODAY()),1,0),""select Col2 limit 90""))"),195.83077777777777)</f>
        <v>195.8307778</v>
      </c>
      <c r="M610" s="17">
        <f>IFERROR(__xludf.DUMMYFUNCTION("AVERAGE(QUERY(SORT(GOOGLEFINANCE(B610,""price"",TODAY()-365,TODAY()),1,0),""select Col2 limit 120""))"),194.09366666666668)</f>
        <v>194.0936667</v>
      </c>
      <c r="N610" s="19">
        <f>IFERROR(__xludf.DUMMYFUNCTION("AVERAGE(QUERY(SORT(GOOGLEFINANCE(B610,""price"",TODAY()-365,TODAY()),1,0),""select Col2 limit 200""))"),198.97159999999997)</f>
        <v>198.9716</v>
      </c>
      <c r="O610" s="20" t="str">
        <f t="shared" si="2"/>
        <v>Avoid</v>
      </c>
      <c r="P610" s="21" t="str">
        <f t="shared" si="3"/>
        <v/>
      </c>
      <c r="Q610" s="21" t="str">
        <f t="shared" si="4"/>
        <v/>
      </c>
      <c r="R610" s="22">
        <f>IFERROR(__xludf.DUMMYFUNCTION("GOOGLEFINANCE(B610, ""pe"")
"),13.46)</f>
        <v>13.46</v>
      </c>
    </row>
    <row r="611">
      <c r="A611" s="9" t="s">
        <v>623</v>
      </c>
      <c r="B611" s="11" t="str">
        <f t="shared" si="1"/>
        <v>NSE:POWERMECH</v>
      </c>
      <c r="C611" s="12">
        <f>IFERROR(__xludf.DUMMYFUNCTION("GOOGLEFINANCE(B611,""marketcap"")/10000000"),9459.593968)</f>
        <v>9459.593968</v>
      </c>
      <c r="D611" s="13">
        <f>IFERROR(__xludf.DUMMYFUNCTION("GOOGLEFINANCE(B611,""price"")"),2993.5)</f>
        <v>2993.5</v>
      </c>
      <c r="E611" s="14">
        <f>IFERROR(__xludf.DUMMYFUNCTION("GOOGLEFINANCE(B611,""Volume"")"),30809.0)</f>
        <v>30809</v>
      </c>
      <c r="F611" s="14">
        <f t="array" ref="F611">F610</f>
        <v>14</v>
      </c>
      <c r="G611" s="15" t="str">
        <f>IFERROR(__xludf.DUMMYFUNCTION("IF(E611&gt;AVERAGE(INDEX(GOOGLEFINANCE(B611,""volume"",WORKDAY(TODAY(),-$F$1),TODAY()),,2)),""Breakout"","""")"),"")</f>
        <v/>
      </c>
      <c r="H611" s="16">
        <f>IFERROR(__xludf.DUMMYFUNCTION("GOOGLEFINANCE(B611,""price"")"),2993.5)</f>
        <v>2993.5</v>
      </c>
      <c r="I611" s="17">
        <f>IFERROR(__xludf.DUMMYFUNCTION("AVERAGE(QUERY(SORT(GOOGLEFINANCE(B611,""price"",TODAY()-365,TODAY()),1,0),""select Col2 limit 10""))"),3215.44)</f>
        <v>3215.44</v>
      </c>
      <c r="J611" s="17">
        <f>IFERROR(__xludf.DUMMYFUNCTION("AVERAGE(QUERY(SORT(GOOGLEFINANCE(B611,""price"",TODAY()-365,TODAY()),1,0),""select Col2 limit 30""))"),3194.07)</f>
        <v>3194.07</v>
      </c>
      <c r="K611" s="18">
        <f>IFERROR(__xludf.DUMMYFUNCTION("AVERAGE(QUERY(SORT(GOOGLEFINANCE(B611,""price"",TODAY()-365,TODAY()),1,0),""select Col2 limit 60""))"),3076.8366666666657)</f>
        <v>3076.836667</v>
      </c>
      <c r="L611" s="17">
        <f>IFERROR(__xludf.DUMMYFUNCTION("AVERAGE(QUERY(SORT(GOOGLEFINANCE(B611,""price"",TODAY()-365,TODAY()),1,0),""select Col2 limit 90""))"),2906.447222222221)</f>
        <v>2906.447222</v>
      </c>
      <c r="M611" s="17">
        <f>IFERROR(__xludf.DUMMYFUNCTION("AVERAGE(QUERY(SORT(GOOGLEFINANCE(B611,""price"",TODAY()-365,TODAY()),1,0),""select Col2 limit 120""))"),2669.2783333333327)</f>
        <v>2669.278333</v>
      </c>
      <c r="N611" s="19">
        <f>IFERROR(__xludf.DUMMYFUNCTION("AVERAGE(QUERY(SORT(GOOGLEFINANCE(B611,""price"",TODAY()-365,TODAY()),1,0),""select Col2 limit 200""))"),2697.240549999998)</f>
        <v>2697.24055</v>
      </c>
      <c r="O611" s="20" t="str">
        <f t="shared" si="2"/>
        <v>Avoid</v>
      </c>
      <c r="P611" s="21" t="str">
        <f t="shared" si="3"/>
        <v/>
      </c>
      <c r="Q611" s="21" t="str">
        <f t="shared" si="4"/>
        <v/>
      </c>
      <c r="R611" s="22">
        <f>IFERROR(__xludf.DUMMYFUNCTION("GOOGLEFINANCE(B611, ""pe"")
"),28.99)</f>
        <v>28.99</v>
      </c>
    </row>
    <row r="612">
      <c r="A612" s="9" t="s">
        <v>624</v>
      </c>
      <c r="B612" s="11" t="str">
        <f t="shared" si="1"/>
        <v>NSE:VARROC</v>
      </c>
      <c r="C612" s="12">
        <f>IFERROR(__xludf.DUMMYFUNCTION("GOOGLEFINANCE(B612,""marketcap"")/10000000"),8135.1120545)</f>
        <v>8135.112055</v>
      </c>
      <c r="D612" s="13">
        <f>IFERROR(__xludf.DUMMYFUNCTION("GOOGLEFINANCE(B612,""price"")"),533.0)</f>
        <v>533</v>
      </c>
      <c r="E612" s="14">
        <f>IFERROR(__xludf.DUMMYFUNCTION("GOOGLEFINANCE(B612,""Volume"")"),31114.0)</f>
        <v>31114</v>
      </c>
      <c r="F612" s="14">
        <f t="array" ref="F612">F611</f>
        <v>14</v>
      </c>
      <c r="G612" s="15" t="str">
        <f>IFERROR(__xludf.DUMMYFUNCTION("IF(E612&gt;AVERAGE(INDEX(GOOGLEFINANCE(B612,""volume"",WORKDAY(TODAY(),-$F$1),TODAY()),,2)),""Breakout"","""")"),"")</f>
        <v/>
      </c>
      <c r="H612" s="16">
        <f>IFERROR(__xludf.DUMMYFUNCTION("GOOGLEFINANCE(B612,""price"")"),533.0)</f>
        <v>533</v>
      </c>
      <c r="I612" s="17">
        <f>IFERROR(__xludf.DUMMYFUNCTION("AVERAGE(QUERY(SORT(GOOGLEFINANCE(B612,""price"",TODAY()-365,TODAY()),1,0),""select Col2 limit 10""))"),556.555)</f>
        <v>556.555</v>
      </c>
      <c r="J612" s="17">
        <f>IFERROR(__xludf.DUMMYFUNCTION("AVERAGE(QUERY(SORT(GOOGLEFINANCE(B612,""price"",TODAY()-365,TODAY()),1,0),""select Col2 limit 30""))"),559.9549999999999)</f>
        <v>559.955</v>
      </c>
      <c r="K612" s="18">
        <f>IFERROR(__xludf.DUMMYFUNCTION("AVERAGE(QUERY(SORT(GOOGLEFINANCE(B612,""price"",TODAY()-365,TODAY()),1,0),""select Col2 limit 60""))"),534.3533333333332)</f>
        <v>534.3533333</v>
      </c>
      <c r="L612" s="17">
        <f>IFERROR(__xludf.DUMMYFUNCTION("AVERAGE(QUERY(SORT(GOOGLEFINANCE(B612,""price"",TODAY()-365,TODAY()),1,0),""select Col2 limit 90""))"),500.501111111111)</f>
        <v>500.5011111</v>
      </c>
      <c r="M612" s="17">
        <f>IFERROR(__xludf.DUMMYFUNCTION("AVERAGE(QUERY(SORT(GOOGLEFINANCE(B612,""price"",TODAY()-365,TODAY()),1,0),""select Col2 limit 120""))"),494.55958333333325)</f>
        <v>494.5595833</v>
      </c>
      <c r="N612" s="19">
        <f>IFERROR(__xludf.DUMMYFUNCTION("AVERAGE(QUERY(SORT(GOOGLEFINANCE(B612,""price"",TODAY()-365,TODAY()),1,0),""select Col2 limit 200""))"),520.60975)</f>
        <v>520.60975</v>
      </c>
      <c r="O612" s="20" t="str">
        <f t="shared" si="2"/>
        <v>Avoid</v>
      </c>
      <c r="P612" s="21" t="str">
        <f t="shared" si="3"/>
        <v>60 DMA</v>
      </c>
      <c r="Q612" s="21" t="str">
        <f t="shared" si="4"/>
        <v/>
      </c>
      <c r="R612" s="22">
        <f>IFERROR(__xludf.DUMMYFUNCTION("GOOGLEFINANCE(B612, ""pe"")
"),132.78)</f>
        <v>132.78</v>
      </c>
    </row>
    <row r="613">
      <c r="A613" s="9" t="s">
        <v>625</v>
      </c>
      <c r="B613" s="11" t="str">
        <f t="shared" si="1"/>
        <v>NSE:RATEGAIN</v>
      </c>
      <c r="C613" s="12">
        <f>IFERROR(__xludf.DUMMYFUNCTION("GOOGLEFINANCE(B613,""marketcap"")/10000000"),5201.2775275)</f>
        <v>5201.277528</v>
      </c>
      <c r="D613" s="13">
        <f>IFERROR(__xludf.DUMMYFUNCTION("GOOGLEFINANCE(B613,""price"")"),440.95)</f>
        <v>440.95</v>
      </c>
      <c r="E613" s="14">
        <f>IFERROR(__xludf.DUMMYFUNCTION("GOOGLEFINANCE(B613,""Volume"")"),150219.0)</f>
        <v>150219</v>
      </c>
      <c r="F613" s="14">
        <f t="array" ref="F613">F612</f>
        <v>14</v>
      </c>
      <c r="G613" s="15" t="str">
        <f>IFERROR(__xludf.DUMMYFUNCTION("IF(E613&gt;AVERAGE(INDEX(GOOGLEFINANCE(B613,""volume"",WORKDAY(TODAY(),-$F$1),TODAY()),,2)),""Breakout"","""")"),"")</f>
        <v/>
      </c>
      <c r="H613" s="16">
        <f>IFERROR(__xludf.DUMMYFUNCTION("GOOGLEFINANCE(B613,""price"")"),440.95)</f>
        <v>440.95</v>
      </c>
      <c r="I613" s="17">
        <f>IFERROR(__xludf.DUMMYFUNCTION("AVERAGE(QUERY(SORT(GOOGLEFINANCE(B613,""price"",TODAY()-365,TODAY()),1,0),""select Col2 limit 10""))"),462.61500000000007)</f>
        <v>462.615</v>
      </c>
      <c r="J613" s="17">
        <f>IFERROR(__xludf.DUMMYFUNCTION("AVERAGE(QUERY(SORT(GOOGLEFINANCE(B613,""price"",TODAY()-365,TODAY()),1,0),""select Col2 limit 30""))"),453.50666666666655)</f>
        <v>453.5066667</v>
      </c>
      <c r="K613" s="18">
        <f>IFERROR(__xludf.DUMMYFUNCTION("AVERAGE(QUERY(SORT(GOOGLEFINANCE(B613,""price"",TODAY()-365,TODAY()),1,0),""select Col2 limit 60""))"),458.86166666666674)</f>
        <v>458.8616667</v>
      </c>
      <c r="L613" s="17">
        <f>IFERROR(__xludf.DUMMYFUNCTION("AVERAGE(QUERY(SORT(GOOGLEFINANCE(B613,""price"",TODAY()-365,TODAY()),1,0),""select Col2 limit 90""))"),455.5533333333335)</f>
        <v>455.5533333</v>
      </c>
      <c r="M613" s="17">
        <f>IFERROR(__xludf.DUMMYFUNCTION("AVERAGE(QUERY(SORT(GOOGLEFINANCE(B613,""price"",TODAY()-365,TODAY()),1,0),""select Col2 limit 120""))"),484.9870833333335)</f>
        <v>484.9870833</v>
      </c>
      <c r="N613" s="19">
        <f>IFERROR(__xludf.DUMMYFUNCTION("AVERAGE(QUERY(SORT(GOOGLEFINANCE(B613,""price"",TODAY()-365,TODAY()),1,0),""select Col2 limit 200""))"),581.1075000000001)</f>
        <v>581.1075</v>
      </c>
      <c r="O613" s="20" t="str">
        <f t="shared" si="2"/>
        <v>Avoid</v>
      </c>
      <c r="P613" s="21" t="str">
        <f t="shared" si="3"/>
        <v/>
      </c>
      <c r="Q613" s="21" t="str">
        <f t="shared" si="4"/>
        <v/>
      </c>
      <c r="R613" s="22">
        <f>IFERROR(__xludf.DUMMYFUNCTION("GOOGLEFINANCE(B613, ""pe"")
"),24.88)</f>
        <v>24.88</v>
      </c>
    </row>
    <row r="614">
      <c r="A614" s="9" t="s">
        <v>626</v>
      </c>
      <c r="B614" s="11" t="str">
        <f t="shared" si="1"/>
        <v>NSE:DEEPAKFERT</v>
      </c>
      <c r="C614" s="12">
        <f>IFERROR(__xludf.DUMMYFUNCTION("GOOGLEFINANCE(B614,""marketcap"")/10000000"),18978.5911601)</f>
        <v>18978.59116</v>
      </c>
      <c r="D614" s="13">
        <f>IFERROR(__xludf.DUMMYFUNCTION("GOOGLEFINANCE(B614,""price"")"),1504.5)</f>
        <v>1504.5</v>
      </c>
      <c r="E614" s="14">
        <f>IFERROR(__xludf.DUMMYFUNCTION("GOOGLEFINANCE(B614,""Volume"")"),178995.0)</f>
        <v>178995</v>
      </c>
      <c r="F614" s="14">
        <f t="array" ref="F614">F613</f>
        <v>14</v>
      </c>
      <c r="G614" s="15" t="str">
        <f>IFERROR(__xludf.DUMMYFUNCTION("IF(E614&gt;AVERAGE(INDEX(GOOGLEFINANCE(B614,""volume"",WORKDAY(TODAY(),-$F$1),TODAY()),,2)),""Breakout"","""")"),"")</f>
        <v/>
      </c>
      <c r="H614" s="16">
        <f>IFERROR(__xludf.DUMMYFUNCTION("GOOGLEFINANCE(B614,""price"")"),1504.5)</f>
        <v>1504.5</v>
      </c>
      <c r="I614" s="17">
        <f>IFERROR(__xludf.DUMMYFUNCTION("AVERAGE(QUERY(SORT(GOOGLEFINANCE(B614,""price"",TODAY()-365,TODAY()),1,0),""select Col2 limit 10""))"),1589.5499999999997)</f>
        <v>1589.55</v>
      </c>
      <c r="J614" s="17">
        <f>IFERROR(__xludf.DUMMYFUNCTION("AVERAGE(QUERY(SORT(GOOGLEFINANCE(B614,""price"",TODAY()-365,TODAY()),1,0),""select Col2 limit 30""))"),1605.6633333333336)</f>
        <v>1605.663333</v>
      </c>
      <c r="K614" s="18">
        <f>IFERROR(__xludf.DUMMYFUNCTION("AVERAGE(QUERY(SORT(GOOGLEFINANCE(B614,""price"",TODAY()-365,TODAY()),1,0),""select Col2 limit 60""))"),1508.9449999999997)</f>
        <v>1508.945</v>
      </c>
      <c r="L614" s="17">
        <f>IFERROR(__xludf.DUMMYFUNCTION("AVERAGE(QUERY(SORT(GOOGLEFINANCE(B614,""price"",TODAY()-365,TODAY()),1,0),""select Col2 limit 90""))"),1403.6305555555555)</f>
        <v>1403.630556</v>
      </c>
      <c r="M614" s="17">
        <f>IFERROR(__xludf.DUMMYFUNCTION("AVERAGE(QUERY(SORT(GOOGLEFINANCE(B614,""price"",TODAY()-365,TODAY()),1,0),""select Col2 limit 120""))"),1320.664166666666)</f>
        <v>1320.664167</v>
      </c>
      <c r="N614" s="19">
        <f>IFERROR(__xludf.DUMMYFUNCTION("AVERAGE(QUERY(SORT(GOOGLEFINANCE(B614,""price"",TODAY()-365,TODAY()),1,0),""select Col2 limit 200""))"),1276.3617500000005)</f>
        <v>1276.36175</v>
      </c>
      <c r="O614" s="20" t="str">
        <f t="shared" si="2"/>
        <v>Avoid</v>
      </c>
      <c r="P614" s="21" t="str">
        <f t="shared" si="3"/>
        <v>60 DMA</v>
      </c>
      <c r="Q614" s="21" t="str">
        <f t="shared" si="4"/>
        <v/>
      </c>
      <c r="R614" s="22">
        <f>IFERROR(__xludf.DUMMYFUNCTION("GOOGLEFINANCE(B614, ""pe"")
"),20.34)</f>
        <v>20.34</v>
      </c>
    </row>
    <row r="615">
      <c r="A615" s="9" t="s">
        <v>627</v>
      </c>
      <c r="B615" s="11" t="str">
        <f t="shared" si="1"/>
        <v>NSE:JKPAPER</v>
      </c>
      <c r="C615" s="12">
        <f>IFERROR(__xludf.DUMMYFUNCTION("GOOGLEFINANCE(B615,""marketcap"")/10000000"),6078.1543172)</f>
        <v>6078.154317</v>
      </c>
      <c r="D615" s="13">
        <f>IFERROR(__xludf.DUMMYFUNCTION("GOOGLEFINANCE(B615,""price"")"),358.6)</f>
        <v>358.6</v>
      </c>
      <c r="E615" s="14">
        <f>IFERROR(__xludf.DUMMYFUNCTION("GOOGLEFINANCE(B615,""Volume"")"),216475.0)</f>
        <v>216475</v>
      </c>
      <c r="F615" s="14">
        <f t="array" ref="F615">F614</f>
        <v>14</v>
      </c>
      <c r="G615" s="15" t="str">
        <f>IFERROR(__xludf.DUMMYFUNCTION("IF(E615&gt;AVERAGE(INDEX(GOOGLEFINANCE(B615,""volume"",WORKDAY(TODAY(),-$F$1),TODAY()),,2)),""Breakout"","""")"),"")</f>
        <v/>
      </c>
      <c r="H615" s="16">
        <f>IFERROR(__xludf.DUMMYFUNCTION("GOOGLEFINANCE(B615,""price"")"),358.6)</f>
        <v>358.6</v>
      </c>
      <c r="I615" s="17">
        <f>IFERROR(__xludf.DUMMYFUNCTION("AVERAGE(QUERY(SORT(GOOGLEFINANCE(B615,""price"",TODAY()-365,TODAY()),1,0),""select Col2 limit 10""))"),386.66499999999996)</f>
        <v>386.665</v>
      </c>
      <c r="J615" s="17">
        <f>IFERROR(__xludf.DUMMYFUNCTION("AVERAGE(QUERY(SORT(GOOGLEFINANCE(B615,""price"",TODAY()-365,TODAY()),1,0),""select Col2 limit 30""))"),378.75000000000006)</f>
        <v>378.75</v>
      </c>
      <c r="K615" s="18">
        <f>IFERROR(__xludf.DUMMYFUNCTION("AVERAGE(QUERY(SORT(GOOGLEFINANCE(B615,""price"",TODAY()-365,TODAY()),1,0),""select Col2 limit 60""))"),365.7183333333333)</f>
        <v>365.7183333</v>
      </c>
      <c r="L615" s="17">
        <f>IFERROR(__xludf.DUMMYFUNCTION("AVERAGE(QUERY(SORT(GOOGLEFINANCE(B615,""price"",TODAY()-365,TODAY()),1,0),""select Col2 limit 90""))"),350.8322222222222)</f>
        <v>350.8322222</v>
      </c>
      <c r="M615" s="17">
        <f>IFERROR(__xludf.DUMMYFUNCTION("AVERAGE(QUERY(SORT(GOOGLEFINANCE(B615,""price"",TODAY()-365,TODAY()),1,0),""select Col2 limit 120""))"),342.9983333333332)</f>
        <v>342.9983333</v>
      </c>
      <c r="N615" s="19">
        <f>IFERROR(__xludf.DUMMYFUNCTION("AVERAGE(QUERY(SORT(GOOGLEFINANCE(B615,""price"",TODAY()-365,TODAY()),1,0),""select Col2 limit 200""))"),381.916)</f>
        <v>381.916</v>
      </c>
      <c r="O615" s="20" t="str">
        <f t="shared" si="2"/>
        <v>Avoid</v>
      </c>
      <c r="P615" s="21" t="str">
        <f t="shared" si="3"/>
        <v/>
      </c>
      <c r="Q615" s="21" t="str">
        <f t="shared" si="4"/>
        <v/>
      </c>
      <c r="R615" s="22">
        <f>IFERROR(__xludf.DUMMYFUNCTION("GOOGLEFINANCE(B615, ""pe"")
"),15.63)</f>
        <v>15.63</v>
      </c>
    </row>
    <row r="616">
      <c r="A616" s="9" t="s">
        <v>628</v>
      </c>
      <c r="B616" s="11" t="str">
        <f t="shared" si="1"/>
        <v>NSE:JMFINANCIL</v>
      </c>
      <c r="C616" s="12">
        <f>IFERROR(__xludf.DUMMYFUNCTION("GOOGLEFINANCE(B616,""marketcap"")/10000000"),15949.7380885)</f>
        <v>15949.73809</v>
      </c>
      <c r="D616" s="13">
        <f>IFERROR(__xludf.DUMMYFUNCTION("GOOGLEFINANCE(B616,""price"")"),166.81)</f>
        <v>166.81</v>
      </c>
      <c r="E616" s="14">
        <f>IFERROR(__xludf.DUMMYFUNCTION("GOOGLEFINANCE(B616,""Volume"")"),2962885.0)</f>
        <v>2962885</v>
      </c>
      <c r="F616" s="14">
        <f t="array" ref="F616">F615</f>
        <v>14</v>
      </c>
      <c r="G616" s="15" t="str">
        <f>IFERROR(__xludf.DUMMYFUNCTION("IF(E616&gt;AVERAGE(INDEX(GOOGLEFINANCE(B616,""volume"",WORKDAY(TODAY(),-$F$1),TODAY()),,2)),""Breakout"","""")"),"")</f>
        <v/>
      </c>
      <c r="H616" s="16">
        <f>IFERROR(__xludf.DUMMYFUNCTION("GOOGLEFINANCE(B616,""price"")"),166.81)</f>
        <v>166.81</v>
      </c>
      <c r="I616" s="17">
        <f>IFERROR(__xludf.DUMMYFUNCTION("AVERAGE(QUERY(SORT(GOOGLEFINANCE(B616,""price"",TODAY()-365,TODAY()),1,0),""select Col2 limit 10""))"),171.72700000000003)</f>
        <v>171.727</v>
      </c>
      <c r="J616" s="17">
        <f>IFERROR(__xludf.DUMMYFUNCTION("AVERAGE(QUERY(SORT(GOOGLEFINANCE(B616,""price"",TODAY()-365,TODAY()),1,0),""select Col2 limit 30""))"),161.32466666666667)</f>
        <v>161.3246667</v>
      </c>
      <c r="K616" s="18">
        <f>IFERROR(__xludf.DUMMYFUNCTION("AVERAGE(QUERY(SORT(GOOGLEFINANCE(B616,""price"",TODAY()-365,TODAY()),1,0),""select Col2 limit 60""))"),142.51466666666664)</f>
        <v>142.5146667</v>
      </c>
      <c r="L616" s="17">
        <f>IFERROR(__xludf.DUMMYFUNCTION("AVERAGE(QUERY(SORT(GOOGLEFINANCE(B616,""price"",TODAY()-365,TODAY()),1,0),""select Col2 limit 90""))"),127.47544444444442)</f>
        <v>127.4754444</v>
      </c>
      <c r="M616" s="17">
        <f>IFERROR(__xludf.DUMMYFUNCTION("AVERAGE(QUERY(SORT(GOOGLEFINANCE(B616,""price"",TODAY()-365,TODAY()),1,0),""select Col2 limit 120""))"),120.84050000000002)</f>
        <v>120.8405</v>
      </c>
      <c r="N616" s="19">
        <f>IFERROR(__xludf.DUMMYFUNCTION("AVERAGE(QUERY(SORT(GOOGLEFINANCE(B616,""price"",TODAY()-365,TODAY()),1,0),""select Col2 limit 200""))"),126.0557)</f>
        <v>126.0557</v>
      </c>
      <c r="O616" s="20" t="str">
        <f t="shared" si="2"/>
        <v>Avoid</v>
      </c>
      <c r="P616" s="21" t="str">
        <f t="shared" si="3"/>
        <v/>
      </c>
      <c r="Q616" s="21" t="str">
        <f t="shared" si="4"/>
        <v/>
      </c>
      <c r="R616" s="22">
        <f>IFERROR(__xludf.DUMMYFUNCTION("GOOGLEFINANCE(B616, ""pe"")
"),19.42)</f>
        <v>19.42</v>
      </c>
    </row>
    <row r="617">
      <c r="A617" s="9" t="s">
        <v>629</v>
      </c>
      <c r="B617" s="11" t="str">
        <f t="shared" si="1"/>
        <v>NSE:MAHLIFE</v>
      </c>
      <c r="C617" s="12">
        <f>IFERROR(__xludf.DUMMYFUNCTION("GOOGLEFINANCE(B617,""marketcap"")/10000000"),7698.53077)</f>
        <v>7698.53077</v>
      </c>
      <c r="D617" s="13">
        <f>IFERROR(__xludf.DUMMYFUNCTION("GOOGLEFINANCE(B617,""price"")"),361.0)</f>
        <v>361</v>
      </c>
      <c r="E617" s="14">
        <f>IFERROR(__xludf.DUMMYFUNCTION("GOOGLEFINANCE(B617,""Volume"")"),179395.0)</f>
        <v>179395</v>
      </c>
      <c r="F617" s="14">
        <f t="array" ref="F617">F616</f>
        <v>14</v>
      </c>
      <c r="G617" s="15" t="str">
        <f>IFERROR(__xludf.DUMMYFUNCTION("IF(E617&gt;AVERAGE(INDEX(GOOGLEFINANCE(B617,""volume"",WORKDAY(TODAY(),-$F$1),TODAY()),,2)),""Breakout"","""")"),"#N/A")</f>
        <v>#N/A</v>
      </c>
      <c r="H617" s="16">
        <f>IFERROR(__xludf.DUMMYFUNCTION("GOOGLEFINANCE(B617,""price"")"),361.0)</f>
        <v>361</v>
      </c>
      <c r="I617" s="17">
        <f>IFERROR(__xludf.DUMMYFUNCTION("AVERAGE(QUERY(SORT(GOOGLEFINANCE(B617,""price"",TODAY()-365,TODAY()),1,0),""select Col2 limit 10""))"),374.03000000000003)</f>
        <v>374.03</v>
      </c>
      <c r="J617" s="17">
        <f>IFERROR(__xludf.DUMMYFUNCTION("AVERAGE(QUERY(SORT(GOOGLEFINANCE(B617,""price"",TODAY()-365,TODAY()),1,0),""select Col2 limit 30""))"),365.3866666666668)</f>
        <v>365.3866667</v>
      </c>
      <c r="K617" s="18">
        <f>IFERROR(__xludf.DUMMYFUNCTION("AVERAGE(QUERY(SORT(GOOGLEFINANCE(B617,""price"",TODAY()-365,TODAY()),1,0),""select Col2 limit 60""))"),345.97600000000017)</f>
        <v>345.976</v>
      </c>
      <c r="L617" s="17">
        <f>IFERROR(__xludf.DUMMYFUNCTION("AVERAGE(QUERY(SORT(GOOGLEFINANCE(B617,""price"",TODAY()-365,TODAY()),1,0),""select Col2 limit 90""))"),329.1090000000001)</f>
        <v>329.109</v>
      </c>
      <c r="M617" s="17">
        <f>IFERROR(__xludf.DUMMYFUNCTION("AVERAGE(QUERY(SORT(GOOGLEFINANCE(B617,""price"",TODAY()-365,TODAY()),1,0),""select Col2 limit 120""))"),329.1453333333336)</f>
        <v>329.1453333</v>
      </c>
      <c r="N617" s="19">
        <f>IFERROR(__xludf.DUMMYFUNCTION("AVERAGE(QUERY(SORT(GOOGLEFINANCE(B617,""price"",TODAY()-365,TODAY()),1,0),""select Col2 limit 200""))"),372.8328000000002)</f>
        <v>372.8328</v>
      </c>
      <c r="O617" s="20" t="str">
        <f t="shared" si="2"/>
        <v>Avoid</v>
      </c>
      <c r="P617" s="21" t="str">
        <f t="shared" si="3"/>
        <v/>
      </c>
      <c r="Q617" s="21" t="str">
        <f t="shared" si="4"/>
        <v/>
      </c>
      <c r="R617" s="22">
        <f>IFERROR(__xludf.DUMMYFUNCTION("GOOGLEFINANCE(B617, ""pe"")
"),99.43)</f>
        <v>99.43</v>
      </c>
    </row>
    <row r="618">
      <c r="A618" s="9" t="s">
        <v>630</v>
      </c>
      <c r="B618" s="11" t="str">
        <f t="shared" si="1"/>
        <v>NSE:AHLUCONT</v>
      </c>
      <c r="C618" s="12">
        <f>IFERROR(__xludf.DUMMYFUNCTION("GOOGLEFINANCE(B618,""marketcap"")/10000000"),6654.2357708)</f>
        <v>6654.235771</v>
      </c>
      <c r="D618" s="13">
        <f>IFERROR(__xludf.DUMMYFUNCTION("GOOGLEFINANCE(B618,""price"")"),1000.3)</f>
        <v>1000.3</v>
      </c>
      <c r="E618" s="14">
        <f>IFERROR(__xludf.DUMMYFUNCTION("GOOGLEFINANCE(B618,""Volume"")"),99392.0)</f>
        <v>99392</v>
      </c>
      <c r="F618" s="14">
        <f t="array" ref="F618">F617</f>
        <v>14</v>
      </c>
      <c r="G618" s="15" t="str">
        <f>IFERROR(__xludf.DUMMYFUNCTION("IF(E618&gt;AVERAGE(INDEX(GOOGLEFINANCE(B618,""volume"",WORKDAY(TODAY(),-$F$1),TODAY()),,2)),""Breakout"","""")"),"")</f>
        <v/>
      </c>
      <c r="H618" s="16">
        <f>IFERROR(__xludf.DUMMYFUNCTION("GOOGLEFINANCE(B618,""price"")"),1000.3)</f>
        <v>1000.3</v>
      </c>
      <c r="I618" s="17">
        <f>IFERROR(__xludf.DUMMYFUNCTION("AVERAGE(QUERY(SORT(GOOGLEFINANCE(B618,""price"",TODAY()-365,TODAY()),1,0),""select Col2 limit 10""))"),1073.5800000000002)</f>
        <v>1073.58</v>
      </c>
      <c r="J618" s="17">
        <f>IFERROR(__xludf.DUMMYFUNCTION("AVERAGE(QUERY(SORT(GOOGLEFINANCE(B618,""price"",TODAY()-365,TODAY()),1,0),""select Col2 limit 30""))"),998.2700000000001)</f>
        <v>998.27</v>
      </c>
      <c r="K618" s="18">
        <f>IFERROR(__xludf.DUMMYFUNCTION("AVERAGE(QUERY(SORT(GOOGLEFINANCE(B618,""price"",TODAY()-365,TODAY()),1,0),""select Col2 limit 60""))"),958.2075000000002)</f>
        <v>958.2075</v>
      </c>
      <c r="L618" s="17">
        <f>IFERROR(__xludf.DUMMYFUNCTION("AVERAGE(QUERY(SORT(GOOGLEFINANCE(B618,""price"",TODAY()-365,TODAY()),1,0),""select Col2 limit 90""))"),919.3388888888888)</f>
        <v>919.3388889</v>
      </c>
      <c r="M618" s="17">
        <f>IFERROR(__xludf.DUMMYFUNCTION("AVERAGE(QUERY(SORT(GOOGLEFINANCE(B618,""price"",TODAY()-365,TODAY()),1,0),""select Col2 limit 120""))"),867.9304166666665)</f>
        <v>867.9304167</v>
      </c>
      <c r="N618" s="19">
        <f>IFERROR(__xludf.DUMMYFUNCTION("AVERAGE(QUERY(SORT(GOOGLEFINANCE(B618,""price"",TODAY()-365,TODAY()),1,0),""select Col2 limit 200""))"),926.2054999999996)</f>
        <v>926.2055</v>
      </c>
      <c r="O618" s="20" t="str">
        <f t="shared" si="2"/>
        <v>Avoid</v>
      </c>
      <c r="P618" s="21" t="str">
        <f t="shared" si="3"/>
        <v/>
      </c>
      <c r="Q618" s="21" t="str">
        <f t="shared" si="4"/>
        <v/>
      </c>
      <c r="R618" s="22">
        <f>IFERROR(__xludf.DUMMYFUNCTION("GOOGLEFINANCE(B618, ""pe"")
"),33.16)</f>
        <v>33.16</v>
      </c>
    </row>
    <row r="619">
      <c r="A619" s="9" t="s">
        <v>631</v>
      </c>
      <c r="B619" s="11" t="str">
        <f t="shared" si="1"/>
        <v>NSE:LLOYDSENGG</v>
      </c>
      <c r="C619" s="12">
        <f>IFERROR(__xludf.DUMMYFUNCTION("GOOGLEFINANCE(B619,""marketcap"")/10000000"),10030.6997732)</f>
        <v>10030.69977</v>
      </c>
      <c r="D619" s="13">
        <f>IFERROR(__xludf.DUMMYFUNCTION("GOOGLEFINANCE(B619,""price"")"),71.86)</f>
        <v>71.86</v>
      </c>
      <c r="E619" s="14">
        <f>IFERROR(__xludf.DUMMYFUNCTION("GOOGLEFINANCE(B619,""Volume"")"),1976720.0)</f>
        <v>1976720</v>
      </c>
      <c r="F619" s="14">
        <f t="array" ref="F619">F618</f>
        <v>14</v>
      </c>
      <c r="G619" s="15" t="str">
        <f>IFERROR(__xludf.DUMMYFUNCTION("IF(E619&gt;AVERAGE(INDEX(GOOGLEFINANCE(B619,""volume"",WORKDAY(TODAY(),-$F$1),TODAY()),,2)),""Breakout"","""")"),"")</f>
        <v/>
      </c>
      <c r="H619" s="16">
        <f>IFERROR(__xludf.DUMMYFUNCTION("GOOGLEFINANCE(B619,""price"")"),71.86)</f>
        <v>71.86</v>
      </c>
      <c r="I619" s="17">
        <f>IFERROR(__xludf.DUMMYFUNCTION("AVERAGE(QUERY(SORT(GOOGLEFINANCE(B619,""price"",TODAY()-365,TODAY()),1,0),""select Col2 limit 10""))"),76.85499999999999)</f>
        <v>76.855</v>
      </c>
      <c r="J619" s="17">
        <f>IFERROR(__xludf.DUMMYFUNCTION("AVERAGE(QUERY(SORT(GOOGLEFINANCE(B619,""price"",TODAY()-365,TODAY()),1,0),""select Col2 limit 30""))"),71.37966666666668)</f>
        <v>71.37966667</v>
      </c>
      <c r="K619" s="18">
        <f>IFERROR(__xludf.DUMMYFUNCTION("AVERAGE(QUERY(SORT(GOOGLEFINANCE(B619,""price"",TODAY()-365,TODAY()),1,0),""select Col2 limit 60""))"),63.596333333333355)</f>
        <v>63.59633333</v>
      </c>
      <c r="L619" s="17">
        <f>IFERROR(__xludf.DUMMYFUNCTION("AVERAGE(QUERY(SORT(GOOGLEFINANCE(B619,""price"",TODAY()-365,TODAY()),1,0),""select Col2 limit 90""))"),60.329555555555565)</f>
        <v>60.32955556</v>
      </c>
      <c r="M619" s="17">
        <f>IFERROR(__xludf.DUMMYFUNCTION("AVERAGE(QUERY(SORT(GOOGLEFINANCE(B619,""price"",TODAY()-365,TODAY()),1,0),""select Col2 limit 120""))"),59.74466666666668)</f>
        <v>59.74466667</v>
      </c>
      <c r="N619" s="19">
        <f>IFERROR(__xludf.DUMMYFUNCTION("AVERAGE(QUERY(SORT(GOOGLEFINANCE(B619,""price"",TODAY()-365,TODAY()),1,0),""select Col2 limit 200""))"),63.18630000000001)</f>
        <v>63.1863</v>
      </c>
      <c r="O619" s="20" t="str">
        <f t="shared" si="2"/>
        <v>Avoid</v>
      </c>
      <c r="P619" s="21" t="str">
        <f t="shared" si="3"/>
        <v/>
      </c>
      <c r="Q619" s="21" t="str">
        <f t="shared" si="4"/>
        <v/>
      </c>
      <c r="R619" s="22" t="str">
        <f>IFERROR(__xludf.DUMMYFUNCTION("GOOGLEFINANCE(B619, ""pe"")
"),"#N/A")</f>
        <v>#N/A</v>
      </c>
    </row>
    <row r="620">
      <c r="A620" s="9" t="s">
        <v>632</v>
      </c>
      <c r="B620" s="11" t="str">
        <f t="shared" si="1"/>
        <v>NSE:MIDHANI</v>
      </c>
      <c r="C620" s="12">
        <f>IFERROR(__xludf.DUMMYFUNCTION("GOOGLEFINANCE(B620,""marketcap"")/10000000"),7652.839)</f>
        <v>7652.839</v>
      </c>
      <c r="D620" s="13">
        <f>IFERROR(__xludf.DUMMYFUNCTION("GOOGLEFINANCE(B620,""price"")"),408.8)</f>
        <v>408.8</v>
      </c>
      <c r="E620" s="14">
        <f>IFERROR(__xludf.DUMMYFUNCTION("GOOGLEFINANCE(B620,""Volume"")"),338539.0)</f>
        <v>338539</v>
      </c>
      <c r="F620" s="14">
        <f t="array" ref="F620">F619</f>
        <v>14</v>
      </c>
      <c r="G620" s="15" t="str">
        <f>IFERROR(__xludf.DUMMYFUNCTION("IF(E620&gt;AVERAGE(INDEX(GOOGLEFINANCE(B620,""volume"",WORKDAY(TODAY(),-$F$1),TODAY()),,2)),""Breakout"","""")"),"")</f>
        <v/>
      </c>
      <c r="H620" s="16">
        <f>IFERROR(__xludf.DUMMYFUNCTION("GOOGLEFINANCE(B620,""price"")"),408.8)</f>
        <v>408.8</v>
      </c>
      <c r="I620" s="17">
        <f>IFERROR(__xludf.DUMMYFUNCTION("AVERAGE(QUERY(SORT(GOOGLEFINANCE(B620,""price"",TODAY()-365,TODAY()),1,0),""select Col2 limit 10""))"),417.73)</f>
        <v>417.73</v>
      </c>
      <c r="J620" s="17">
        <f>IFERROR(__xludf.DUMMYFUNCTION("AVERAGE(QUERY(SORT(GOOGLEFINANCE(B620,""price"",TODAY()-365,TODAY()),1,0),""select Col2 limit 30""))"),426.98166666666674)</f>
        <v>426.9816667</v>
      </c>
      <c r="K620" s="18">
        <f>IFERROR(__xludf.DUMMYFUNCTION("AVERAGE(QUERY(SORT(GOOGLEFINANCE(B620,""price"",TODAY()-365,TODAY()),1,0),""select Col2 limit 60""))"),410.67166666666657)</f>
        <v>410.6716667</v>
      </c>
      <c r="L620" s="17">
        <f>IFERROR(__xludf.DUMMYFUNCTION("AVERAGE(QUERY(SORT(GOOGLEFINANCE(B620,""price"",TODAY()-365,TODAY()),1,0),""select Col2 limit 90""))"),368.85011111111106)</f>
        <v>368.8501111</v>
      </c>
      <c r="M620" s="17">
        <f>IFERROR(__xludf.DUMMYFUNCTION("AVERAGE(QUERY(SORT(GOOGLEFINANCE(B620,""price"",TODAY()-365,TODAY()),1,0),""select Col2 limit 120""))"),345.9083333333335)</f>
        <v>345.9083333</v>
      </c>
      <c r="N620" s="19">
        <f>IFERROR(__xludf.DUMMYFUNCTION("AVERAGE(QUERY(SORT(GOOGLEFINANCE(B620,""price"",TODAY()-365,TODAY()),1,0),""select Col2 limit 200""))"),345.4765000000001)</f>
        <v>345.4765</v>
      </c>
      <c r="O620" s="20" t="str">
        <f t="shared" si="2"/>
        <v>Avoid</v>
      </c>
      <c r="P620" s="21" t="str">
        <f t="shared" si="3"/>
        <v>60 DMA</v>
      </c>
      <c r="Q620" s="21" t="str">
        <f t="shared" si="4"/>
        <v/>
      </c>
      <c r="R620" s="22">
        <f>IFERROR(__xludf.DUMMYFUNCTION("GOOGLEFINANCE(B620, ""pe"")
"),69.0)</f>
        <v>69</v>
      </c>
    </row>
    <row r="621">
      <c r="A621" s="9" t="s">
        <v>633</v>
      </c>
      <c r="B621" s="11" t="str">
        <f t="shared" si="1"/>
        <v>NSE:PGEL</v>
      </c>
      <c r="C621" s="12">
        <f>IFERROR(__xludf.DUMMYFUNCTION("GOOGLEFINANCE(B621,""marketcap"")/10000000"),22554.4608186)</f>
        <v>22554.46082</v>
      </c>
      <c r="D621" s="13">
        <f>IFERROR(__xludf.DUMMYFUNCTION("GOOGLEFINANCE(B621,""price"")"),794.4)</f>
        <v>794.4</v>
      </c>
      <c r="E621" s="14">
        <f>IFERROR(__xludf.DUMMYFUNCTION("GOOGLEFINANCE(B621,""Volume"")"),1040528.0)</f>
        <v>1040528</v>
      </c>
      <c r="F621" s="14">
        <f t="array" ref="F621">F620</f>
        <v>14</v>
      </c>
      <c r="G621" s="15" t="str">
        <f>IFERROR(__xludf.DUMMYFUNCTION("IF(E621&gt;AVERAGE(INDEX(GOOGLEFINANCE(B621,""volume"",WORKDAY(TODAY(),-$F$1),TODAY()),,2)),""Breakout"","""")"),"")</f>
        <v/>
      </c>
      <c r="H621" s="16">
        <f>IFERROR(__xludf.DUMMYFUNCTION("GOOGLEFINANCE(B621,""price"")"),794.4)</f>
        <v>794.4</v>
      </c>
      <c r="I621" s="17">
        <f>IFERROR(__xludf.DUMMYFUNCTION("AVERAGE(QUERY(SORT(GOOGLEFINANCE(B621,""price"",TODAY()-365,TODAY()),1,0),""select Col2 limit 10""))"),804.12)</f>
        <v>804.12</v>
      </c>
      <c r="J621" s="17">
        <f>IFERROR(__xludf.DUMMYFUNCTION("AVERAGE(QUERY(SORT(GOOGLEFINANCE(B621,""price"",TODAY()-365,TODAY()),1,0),""select Col2 limit 30""))"),772.05)</f>
        <v>772.05</v>
      </c>
      <c r="K621" s="18">
        <f>IFERROR(__xludf.DUMMYFUNCTION("AVERAGE(QUERY(SORT(GOOGLEFINANCE(B621,""price"",TODAY()-365,TODAY()),1,0),""select Col2 limit 60""))"),781.4949999999998)</f>
        <v>781.495</v>
      </c>
      <c r="L621" s="17">
        <f>IFERROR(__xludf.DUMMYFUNCTION("AVERAGE(QUERY(SORT(GOOGLEFINANCE(B621,""price"",TODAY()-365,TODAY()),1,0),""select Col2 limit 90""))"),821.4588888888887)</f>
        <v>821.4588889</v>
      </c>
      <c r="M621" s="17">
        <f>IFERROR(__xludf.DUMMYFUNCTION("AVERAGE(QUERY(SORT(GOOGLEFINANCE(B621,""price"",TODAY()-365,TODAY()),1,0),""select Col2 limit 120""))"),820.8941666666665)</f>
        <v>820.8941667</v>
      </c>
      <c r="N621" s="19">
        <f>IFERROR(__xludf.DUMMYFUNCTION("AVERAGE(QUERY(SORT(GOOGLEFINANCE(B621,""price"",TODAY()-365,TODAY()),1,0),""select Col2 limit 200""))"),797.0897499999992)</f>
        <v>797.08975</v>
      </c>
      <c r="O621" s="20" t="str">
        <f t="shared" si="2"/>
        <v>Avoid</v>
      </c>
      <c r="P621" s="21" t="str">
        <f t="shared" si="3"/>
        <v>200 DMA</v>
      </c>
      <c r="Q621" s="21" t="str">
        <f t="shared" si="4"/>
        <v/>
      </c>
      <c r="R621" s="22">
        <f>IFERROR(__xludf.DUMMYFUNCTION("GOOGLEFINANCE(B621, ""pe"")
"),75.51)</f>
        <v>75.51</v>
      </c>
    </row>
    <row r="622">
      <c r="A622" s="9" t="s">
        <v>634</v>
      </c>
      <c r="B622" s="11" t="str">
        <f t="shared" si="1"/>
        <v>NSE:RUSTOMJEE</v>
      </c>
      <c r="C622" s="12">
        <f>IFERROR(__xludf.DUMMYFUNCTION("GOOGLEFINANCE(B622,""marketcap"")/10000000"),7833.538078)</f>
        <v>7833.538078</v>
      </c>
      <c r="D622" s="13">
        <f>IFERROR(__xludf.DUMMYFUNCTION("GOOGLEFINANCE(B622,""price"")"),615.35)</f>
        <v>615.35</v>
      </c>
      <c r="E622" s="14">
        <f>IFERROR(__xludf.DUMMYFUNCTION("GOOGLEFINANCE(B622,""Volume"")"),7884.0)</f>
        <v>7884</v>
      </c>
      <c r="F622" s="14">
        <f t="array" ref="F622">F621</f>
        <v>14</v>
      </c>
      <c r="G622" s="15" t="str">
        <f>IFERROR(__xludf.DUMMYFUNCTION("IF(E622&gt;AVERAGE(INDEX(GOOGLEFINANCE(B622,""volume"",WORKDAY(TODAY(),-$F$1),TODAY()),,2)),""Breakout"","""")"),"")</f>
        <v/>
      </c>
      <c r="H622" s="16">
        <f>IFERROR(__xludf.DUMMYFUNCTION("GOOGLEFINANCE(B622,""price"")"),615.35)</f>
        <v>615.35</v>
      </c>
      <c r="I622" s="17">
        <f>IFERROR(__xludf.DUMMYFUNCTION("AVERAGE(QUERY(SORT(GOOGLEFINANCE(B622,""price"",TODAY()-365,TODAY()),1,0),""select Col2 limit 10""))"),638.8399999999999)</f>
        <v>638.84</v>
      </c>
      <c r="J622" s="17">
        <f>IFERROR(__xludf.DUMMYFUNCTION("AVERAGE(QUERY(SORT(GOOGLEFINANCE(B622,""price"",TODAY()-365,TODAY()),1,0),""select Col2 limit 30""))"),614.7066666666668)</f>
        <v>614.7066667</v>
      </c>
      <c r="K622" s="18">
        <f>IFERROR(__xludf.DUMMYFUNCTION("AVERAGE(QUERY(SORT(GOOGLEFINANCE(B622,""price"",TODAY()-365,TODAY()),1,0),""select Col2 limit 60""))"),570.0133333333335)</f>
        <v>570.0133333</v>
      </c>
      <c r="L622" s="17">
        <f>IFERROR(__xludf.DUMMYFUNCTION("AVERAGE(QUERY(SORT(GOOGLEFINANCE(B622,""price"",TODAY()-365,TODAY()),1,0),""select Col2 limit 90""))"),556.6183333333332)</f>
        <v>556.6183333</v>
      </c>
      <c r="M622" s="17">
        <f>IFERROR(__xludf.DUMMYFUNCTION("AVERAGE(QUERY(SORT(GOOGLEFINANCE(B622,""price"",TODAY()-365,TODAY()),1,0),""select Col2 limit 120""))"),552.765)</f>
        <v>552.765</v>
      </c>
      <c r="N622" s="19">
        <f>IFERROR(__xludf.DUMMYFUNCTION("AVERAGE(QUERY(SORT(GOOGLEFINANCE(B622,""price"",TODAY()-365,TODAY()),1,0),""select Col2 limit 200""))"),606.0329999999998)</f>
        <v>606.033</v>
      </c>
      <c r="O622" s="20" t="str">
        <f t="shared" si="2"/>
        <v>Avoid</v>
      </c>
      <c r="P622" s="21" t="str">
        <f t="shared" si="3"/>
        <v/>
      </c>
      <c r="Q622" s="21" t="str">
        <f t="shared" si="4"/>
        <v/>
      </c>
      <c r="R622" s="22">
        <f>IFERROR(__xludf.DUMMYFUNCTION("GOOGLEFINANCE(B622, ""pe"")
"),44.88)</f>
        <v>44.88</v>
      </c>
    </row>
    <row r="623">
      <c r="A623" s="9" t="s">
        <v>635</v>
      </c>
      <c r="B623" s="11" t="str">
        <f t="shared" si="1"/>
        <v>NSE:IWEL</v>
      </c>
      <c r="C623" s="12" t="str">
        <f>IFERROR(__xludf.DUMMYFUNCTION("GOOGLEFINANCE(B623,""marketcap"")/10000000"),"#N/A")</f>
        <v>#N/A</v>
      </c>
      <c r="D623" s="13" t="str">
        <f>IFERROR(__xludf.DUMMYFUNCTION("GOOGLEFINANCE(B623,""price"")"),"#N/A")</f>
        <v>#N/A</v>
      </c>
      <c r="E623" s="14" t="str">
        <f>IFERROR(__xludf.DUMMYFUNCTION("GOOGLEFINANCE(B623,""Volume"")"),"#N/A")</f>
        <v>#N/A</v>
      </c>
      <c r="F623" s="14">
        <f t="array" ref="F623">F622</f>
        <v>14</v>
      </c>
      <c r="G623" s="15" t="str">
        <f>IFERROR(__xludf.DUMMYFUNCTION("IF(E623&gt;AVERAGE(INDEX(GOOGLEFINANCE(B623,""volume"",WORKDAY(TODAY(),-$F$1),TODAY()),,2)),""Breakout"","""")"),"#N/A")</f>
        <v>#N/A</v>
      </c>
      <c r="H623" s="16" t="str">
        <f>IFERROR(__xludf.DUMMYFUNCTION("GOOGLEFINANCE(B623,""price"")"),"#N/A")</f>
        <v>#N/A</v>
      </c>
      <c r="I623" s="17" t="str">
        <f>IFERROR(__xludf.DUMMYFUNCTION("AVERAGE(QUERY(SORT(GOOGLEFINANCE(B623,""price"",TODAY()-365,TODAY()),1,0),""select Col2 limit 10""))"),"#N/A")</f>
        <v>#N/A</v>
      </c>
      <c r="J623" s="17" t="str">
        <f>IFERROR(__xludf.DUMMYFUNCTION("AVERAGE(QUERY(SORT(GOOGLEFINANCE(B623,""price"",TODAY()-365,TODAY()),1,0),""select Col2 limit 30""))"),"#N/A")</f>
        <v>#N/A</v>
      </c>
      <c r="K623" s="18" t="str">
        <f>IFERROR(__xludf.DUMMYFUNCTION("AVERAGE(QUERY(SORT(GOOGLEFINANCE(B623,""price"",TODAY()-365,TODAY()),1,0),""select Col2 limit 60""))"),"#N/A")</f>
        <v>#N/A</v>
      </c>
      <c r="L623" s="17" t="str">
        <f>IFERROR(__xludf.DUMMYFUNCTION("AVERAGE(QUERY(SORT(GOOGLEFINANCE(B623,""price"",TODAY()-365,TODAY()),1,0),""select Col2 limit 90""))"),"#N/A")</f>
        <v>#N/A</v>
      </c>
      <c r="M623" s="17" t="str">
        <f>IFERROR(__xludf.DUMMYFUNCTION("AVERAGE(QUERY(SORT(GOOGLEFINANCE(B623,""price"",TODAY()-365,TODAY()),1,0),""select Col2 limit 120""))"),"#N/A")</f>
        <v>#N/A</v>
      </c>
      <c r="N623" s="19" t="str">
        <f>IFERROR(__xludf.DUMMYFUNCTION("AVERAGE(QUERY(SORT(GOOGLEFINANCE(B623,""price"",TODAY()-365,TODAY()),1,0),""select Col2 limit 200""))"),"#N/A")</f>
        <v>#N/A</v>
      </c>
      <c r="O623" s="20" t="str">
        <f t="shared" si="2"/>
        <v>#N/A</v>
      </c>
      <c r="P623" s="21" t="str">
        <f t="shared" si="3"/>
        <v>#N/A</v>
      </c>
      <c r="Q623" s="21" t="str">
        <f t="shared" si="4"/>
        <v>#N/A</v>
      </c>
      <c r="R623" s="22" t="str">
        <f>IFERROR(__xludf.DUMMYFUNCTION("GOOGLEFINANCE(B623, ""pe"")
"),"#N/A")</f>
        <v>#N/A</v>
      </c>
    </row>
    <row r="624">
      <c r="A624" s="9" t="s">
        <v>636</v>
      </c>
      <c r="B624" s="11" t="str">
        <f t="shared" si="1"/>
        <v>NSE:JUNIPER</v>
      </c>
      <c r="C624" s="12">
        <f>IFERROR(__xludf.DUMMYFUNCTION("GOOGLEFINANCE(B624,""marketcap"")/10000000"),6756.2822036)</f>
        <v>6756.282204</v>
      </c>
      <c r="D624" s="13">
        <f>IFERROR(__xludf.DUMMYFUNCTION("GOOGLEFINANCE(B624,""price"")"),304.25)</f>
        <v>304.25</v>
      </c>
      <c r="E624" s="14">
        <f>IFERROR(__xludf.DUMMYFUNCTION("GOOGLEFINANCE(B624,""Volume"")"),18079.0)</f>
        <v>18079</v>
      </c>
      <c r="F624" s="14">
        <f t="array" ref="F624">F623</f>
        <v>14</v>
      </c>
      <c r="G624" s="15" t="str">
        <f>IFERROR(__xludf.DUMMYFUNCTION("IF(E624&gt;AVERAGE(INDEX(GOOGLEFINANCE(B624,""volume"",WORKDAY(TODAY(),-$F$1),TODAY()),,2)),""Breakout"","""")"),"")</f>
        <v/>
      </c>
      <c r="H624" s="16">
        <f>IFERROR(__xludf.DUMMYFUNCTION("GOOGLEFINANCE(B624,""price"")"),304.25)</f>
        <v>304.25</v>
      </c>
      <c r="I624" s="17">
        <f>IFERROR(__xludf.DUMMYFUNCTION("AVERAGE(QUERY(SORT(GOOGLEFINANCE(B624,""price"",TODAY()-365,TODAY()),1,0),""select Col2 limit 10""))"),319.87)</f>
        <v>319.87</v>
      </c>
      <c r="J624" s="17">
        <f>IFERROR(__xludf.DUMMYFUNCTION("AVERAGE(QUERY(SORT(GOOGLEFINANCE(B624,""price"",TODAY()-365,TODAY()),1,0),""select Col2 limit 30""))"),305.235)</f>
        <v>305.235</v>
      </c>
      <c r="K624" s="18">
        <f>IFERROR(__xludf.DUMMYFUNCTION("AVERAGE(QUERY(SORT(GOOGLEFINANCE(B624,""price"",TODAY()-365,TODAY()),1,0),""select Col2 limit 60""))"),306.9116666666667)</f>
        <v>306.9116667</v>
      </c>
      <c r="L624" s="17">
        <f>IFERROR(__xludf.DUMMYFUNCTION("AVERAGE(QUERY(SORT(GOOGLEFINANCE(B624,""price"",TODAY()-365,TODAY()),1,0),""select Col2 limit 90""))"),295.3505555555555)</f>
        <v>295.3505556</v>
      </c>
      <c r="M624" s="17">
        <f>IFERROR(__xludf.DUMMYFUNCTION("AVERAGE(QUERY(SORT(GOOGLEFINANCE(B624,""price"",TODAY()-365,TODAY()),1,0),""select Col2 limit 120""))"),287.3533333333333)</f>
        <v>287.3533333</v>
      </c>
      <c r="N624" s="19">
        <f>IFERROR(__xludf.DUMMYFUNCTION("AVERAGE(QUERY(SORT(GOOGLEFINANCE(B624,""price"",TODAY()-365,TODAY()),1,0),""select Col2 limit 200""))"),310.0254999999999)</f>
        <v>310.0255</v>
      </c>
      <c r="O624" s="20" t="str">
        <f t="shared" si="2"/>
        <v>Avoid</v>
      </c>
      <c r="P624" s="21" t="str">
        <f t="shared" si="3"/>
        <v>30 DMA</v>
      </c>
      <c r="Q624" s="21" t="str">
        <f t="shared" si="4"/>
        <v/>
      </c>
      <c r="R624" s="22">
        <f>IFERROR(__xludf.DUMMYFUNCTION("GOOGLEFINANCE(B624, ""pe"")
"),94.84)</f>
        <v>94.84</v>
      </c>
    </row>
    <row r="625">
      <c r="A625" s="9" t="s">
        <v>637</v>
      </c>
      <c r="B625" s="11" t="str">
        <f t="shared" si="1"/>
        <v>NSE:GRAVITA</v>
      </c>
      <c r="C625" s="12">
        <f>IFERROR(__xludf.DUMMYFUNCTION("GOOGLEFINANCE(B625,""marketcap"")/10000000"),13313.1618375)</f>
        <v>13313.16184</v>
      </c>
      <c r="D625" s="13">
        <f>IFERROR(__xludf.DUMMYFUNCTION("GOOGLEFINANCE(B625,""price"")"),1825.5)</f>
        <v>1825.5</v>
      </c>
      <c r="E625" s="14">
        <f>IFERROR(__xludf.DUMMYFUNCTION("GOOGLEFINANCE(B625,""Volume"")"),209866.0)</f>
        <v>209866</v>
      </c>
      <c r="F625" s="14">
        <f t="array" ref="F625">F624</f>
        <v>14</v>
      </c>
      <c r="G625" s="15" t="str">
        <f>IFERROR(__xludf.DUMMYFUNCTION("IF(E625&gt;AVERAGE(INDEX(GOOGLEFINANCE(B625,""volume"",WORKDAY(TODAY(),-$F$1),TODAY()),,2)),""Breakout"","""")"),"")</f>
        <v/>
      </c>
      <c r="H625" s="16">
        <f>IFERROR(__xludf.DUMMYFUNCTION("GOOGLEFINANCE(B625,""price"")"),1825.5)</f>
        <v>1825.5</v>
      </c>
      <c r="I625" s="17">
        <f>IFERROR(__xludf.DUMMYFUNCTION("AVERAGE(QUERY(SORT(GOOGLEFINANCE(B625,""price"",TODAY()-365,TODAY()),1,0),""select Col2 limit 10""))"),1749.3)</f>
        <v>1749.3</v>
      </c>
      <c r="J625" s="17">
        <f>IFERROR(__xludf.DUMMYFUNCTION("AVERAGE(QUERY(SORT(GOOGLEFINANCE(B625,""price"",TODAY()-365,TODAY()),1,0),""select Col2 limit 30""))"),1766.6733333333327)</f>
        <v>1766.673333</v>
      </c>
      <c r="K625" s="18">
        <f>IFERROR(__xludf.DUMMYFUNCTION("AVERAGE(QUERY(SORT(GOOGLEFINANCE(B625,""price"",TODAY()-365,TODAY()),1,0),""select Col2 limit 60""))"),1834.1466666666668)</f>
        <v>1834.146667</v>
      </c>
      <c r="L625" s="17">
        <f>IFERROR(__xludf.DUMMYFUNCTION("AVERAGE(QUERY(SORT(GOOGLEFINANCE(B625,""price"",TODAY()-365,TODAY()),1,0),""select Col2 limit 90""))"),1823.7755555555555)</f>
        <v>1823.775556</v>
      </c>
      <c r="M625" s="17">
        <f>IFERROR(__xludf.DUMMYFUNCTION("AVERAGE(QUERY(SORT(GOOGLEFINANCE(B625,""price"",TODAY()-365,TODAY()),1,0),""select Col2 limit 120""))"),1813.9754166666673)</f>
        <v>1813.975417</v>
      </c>
      <c r="N625" s="19">
        <f>IFERROR(__xludf.DUMMYFUNCTION("AVERAGE(QUERY(SORT(GOOGLEFINANCE(B625,""price"",TODAY()-365,TODAY()),1,0),""select Col2 limit 200""))"),1974.442250000001)</f>
        <v>1974.44225</v>
      </c>
      <c r="O625" s="20" t="str">
        <f t="shared" si="2"/>
        <v>Avoid</v>
      </c>
      <c r="P625" s="21" t="str">
        <f t="shared" si="3"/>
        <v>60 DMA</v>
      </c>
      <c r="Q625" s="21" t="str">
        <f t="shared" si="4"/>
        <v/>
      </c>
      <c r="R625" s="22">
        <f>IFERROR(__xludf.DUMMYFUNCTION("GOOGLEFINANCE(B625, ""pe"")
"),40.53)</f>
        <v>40.53</v>
      </c>
    </row>
    <row r="626">
      <c r="A626" s="9" t="s">
        <v>638</v>
      </c>
      <c r="B626" s="11" t="str">
        <f t="shared" si="1"/>
        <v>NSE:INFY</v>
      </c>
      <c r="C626" s="12">
        <f>IFERROR(__xludf.DUMMYFUNCTION("GOOGLEFINANCE(B626,""marketcap"")/10000000"),625589.6398398)</f>
        <v>625589.6398</v>
      </c>
      <c r="D626" s="13">
        <f>IFERROR(__xludf.DUMMYFUNCTION("GOOGLEFINANCE(B626,""price"")"),1509.6)</f>
        <v>1509.6</v>
      </c>
      <c r="E626" s="14">
        <f>IFERROR(__xludf.DUMMYFUNCTION("GOOGLEFINANCE(B626,""Volume"")"),3260340.0)</f>
        <v>3260340</v>
      </c>
      <c r="F626" s="14">
        <f t="array" ref="F626">F625</f>
        <v>14</v>
      </c>
      <c r="G626" s="15" t="str">
        <f>IFERROR(__xludf.DUMMYFUNCTION("IF(E626&gt;AVERAGE(INDEX(GOOGLEFINANCE(B626,""volume"",WORKDAY(TODAY(),-$F$1),TODAY()),,2)),""Breakout"","""")"),"")</f>
        <v/>
      </c>
      <c r="H626" s="16">
        <f>IFERROR(__xludf.DUMMYFUNCTION("GOOGLEFINANCE(B626,""price"")"),1509.6)</f>
        <v>1509.6</v>
      </c>
      <c r="I626" s="17">
        <f>IFERROR(__xludf.DUMMYFUNCTION("AVERAGE(QUERY(SORT(GOOGLEFINANCE(B626,""price"",TODAY()-365,TODAY()),1,0),""select Col2 limit 10""))"),1573.1299999999999)</f>
        <v>1573.13</v>
      </c>
      <c r="J626" s="17">
        <f>IFERROR(__xludf.DUMMYFUNCTION("AVERAGE(QUERY(SORT(GOOGLEFINANCE(B626,""price"",TODAY()-365,TODAY()),1,0),""select Col2 limit 30""))"),1602.076666666667)</f>
        <v>1602.076667</v>
      </c>
      <c r="K626" s="18">
        <f>IFERROR(__xludf.DUMMYFUNCTION("AVERAGE(QUERY(SORT(GOOGLEFINANCE(B626,""price"",TODAY()-365,TODAY()),1,0),""select Col2 limit 60""))"),1584.1516666666673)</f>
        <v>1584.151667</v>
      </c>
      <c r="L626" s="17">
        <f>IFERROR(__xludf.DUMMYFUNCTION("AVERAGE(QUERY(SORT(GOOGLEFINANCE(B626,""price"",TODAY()-365,TODAY()),1,0),""select Col2 limit 90""))"),1558.2988888888888)</f>
        <v>1558.298889</v>
      </c>
      <c r="M626" s="17">
        <f>IFERROR(__xludf.DUMMYFUNCTION("AVERAGE(QUERY(SORT(GOOGLEFINANCE(B626,""price"",TODAY()-365,TODAY()),1,0),""select Col2 limit 120""))"),1616.307083333333)</f>
        <v>1616.307083</v>
      </c>
      <c r="N626" s="19">
        <f>IFERROR(__xludf.DUMMYFUNCTION("AVERAGE(QUERY(SORT(GOOGLEFINANCE(B626,""price"",TODAY()-365,TODAY()),1,0),""select Col2 limit 200""))"),1727.4202499999994)</f>
        <v>1727.42025</v>
      </c>
      <c r="O626" s="20" t="str">
        <f t="shared" si="2"/>
        <v>Avoid</v>
      </c>
      <c r="P626" s="21" t="str">
        <f t="shared" si="3"/>
        <v/>
      </c>
      <c r="Q626" s="21" t="str">
        <f t="shared" si="4"/>
        <v/>
      </c>
      <c r="R626" s="22">
        <f>IFERROR(__xludf.DUMMYFUNCTION("GOOGLEFINANCE(B626, ""pe"")
"),23.01)</f>
        <v>23.01</v>
      </c>
    </row>
    <row r="627">
      <c r="A627" s="9" t="s">
        <v>639</v>
      </c>
      <c r="B627" s="11" t="str">
        <f t="shared" si="1"/>
        <v>NSE:SUNTECK</v>
      </c>
      <c r="C627" s="12">
        <f>IFERROR(__xludf.DUMMYFUNCTION("GOOGLEFINANCE(B627,""marketcap"")/10000000"),6043.4035161)</f>
        <v>6043.403516</v>
      </c>
      <c r="D627" s="13">
        <f>IFERROR(__xludf.DUMMYFUNCTION("GOOGLEFINANCE(B627,""price"")"),412.55)</f>
        <v>412.55</v>
      </c>
      <c r="E627" s="14">
        <f>IFERROR(__xludf.DUMMYFUNCTION("GOOGLEFINANCE(B627,""Volume"")"),55799.0)</f>
        <v>55799</v>
      </c>
      <c r="F627" s="14">
        <f t="array" ref="F627">F626</f>
        <v>14</v>
      </c>
      <c r="G627" s="15" t="str">
        <f>IFERROR(__xludf.DUMMYFUNCTION("IF(E627&gt;AVERAGE(INDEX(GOOGLEFINANCE(B627,""volume"",WORKDAY(TODAY(),-$F$1),TODAY()),,2)),""Breakout"","""")"),"")</f>
        <v/>
      </c>
      <c r="H627" s="16">
        <f>IFERROR(__xludf.DUMMYFUNCTION("GOOGLEFINANCE(B627,""price"")"),412.55)</f>
        <v>412.55</v>
      </c>
      <c r="I627" s="17">
        <f>IFERROR(__xludf.DUMMYFUNCTION("AVERAGE(QUERY(SORT(GOOGLEFINANCE(B627,""price"",TODAY()-365,TODAY()),1,0),""select Col2 limit 10""))"),434.7799999999999)</f>
        <v>434.78</v>
      </c>
      <c r="J627" s="17">
        <f>IFERROR(__xludf.DUMMYFUNCTION("AVERAGE(QUERY(SORT(GOOGLEFINANCE(B627,""price"",TODAY()-365,TODAY()),1,0),""select Col2 limit 30""))"),439.2783333333333)</f>
        <v>439.2783333</v>
      </c>
      <c r="K627" s="18">
        <f>IFERROR(__xludf.DUMMYFUNCTION("AVERAGE(QUERY(SORT(GOOGLEFINANCE(B627,""price"",TODAY()-365,TODAY()),1,0),""select Col2 limit 60""))"),428.7841666666665)</f>
        <v>428.7841667</v>
      </c>
      <c r="L627" s="17">
        <f>IFERROR(__xludf.DUMMYFUNCTION("AVERAGE(QUERY(SORT(GOOGLEFINANCE(B627,""price"",TODAY()-365,TODAY()),1,0),""select Col2 limit 90""))"),416.89777777777755)</f>
        <v>416.8977778</v>
      </c>
      <c r="M627" s="17">
        <f>IFERROR(__xludf.DUMMYFUNCTION("AVERAGE(QUERY(SORT(GOOGLEFINANCE(B627,""price"",TODAY()-365,TODAY()),1,0),""select Col2 limit 120""))"),417.3883333333331)</f>
        <v>417.3883333</v>
      </c>
      <c r="N627" s="19">
        <f>IFERROR(__xludf.DUMMYFUNCTION("AVERAGE(QUERY(SORT(GOOGLEFINANCE(B627,""price"",TODAY()-365,TODAY()),1,0),""select Col2 limit 200""))"),457.90224999999975)</f>
        <v>457.90225</v>
      </c>
      <c r="O627" s="20" t="str">
        <f t="shared" si="2"/>
        <v>Avoid</v>
      </c>
      <c r="P627" s="21" t="str">
        <f t="shared" si="3"/>
        <v/>
      </c>
      <c r="Q627" s="21" t="str">
        <f t="shared" si="4"/>
        <v/>
      </c>
      <c r="R627" s="22">
        <f>IFERROR(__xludf.DUMMYFUNCTION("GOOGLEFINANCE(B627, ""pe"")
"),37.57)</f>
        <v>37.57</v>
      </c>
    </row>
    <row r="628">
      <c r="A628" s="9" t="s">
        <v>640</v>
      </c>
      <c r="B628" s="11" t="str">
        <f t="shared" si="1"/>
        <v>NSE:BALRAMCHIN</v>
      </c>
      <c r="C628" s="12">
        <f>IFERROR(__xludf.DUMMYFUNCTION("GOOGLEFINANCE(B628,""marketcap"")/10000000"),11842.5850255)</f>
        <v>11842.58503</v>
      </c>
      <c r="D628" s="13">
        <f>IFERROR(__xludf.DUMMYFUNCTION("GOOGLEFINANCE(B628,""price"")"),586.55)</f>
        <v>586.55</v>
      </c>
      <c r="E628" s="14">
        <f>IFERROR(__xludf.DUMMYFUNCTION("GOOGLEFINANCE(B628,""Volume"")"),194628.0)</f>
        <v>194628</v>
      </c>
      <c r="F628" s="14">
        <f t="array" ref="F628">F627</f>
        <v>14</v>
      </c>
      <c r="G628" s="15" t="str">
        <f>IFERROR(__xludf.DUMMYFUNCTION("IF(E628&gt;AVERAGE(INDEX(GOOGLEFINANCE(B628,""volume"",WORKDAY(TODAY(),-$F$1),TODAY()),,2)),""Breakout"","""")"),"")</f>
        <v/>
      </c>
      <c r="H628" s="16">
        <f>IFERROR(__xludf.DUMMYFUNCTION("GOOGLEFINANCE(B628,""price"")"),586.55)</f>
        <v>586.55</v>
      </c>
      <c r="I628" s="17">
        <f>IFERROR(__xludf.DUMMYFUNCTION("AVERAGE(QUERY(SORT(GOOGLEFINANCE(B628,""price"",TODAY()-365,TODAY()),1,0),""select Col2 limit 10""))"),610.2149999999999)</f>
        <v>610.215</v>
      </c>
      <c r="J628" s="17">
        <f>IFERROR(__xludf.DUMMYFUNCTION("AVERAGE(QUERY(SORT(GOOGLEFINANCE(B628,""price"",TODAY()-365,TODAY()),1,0),""select Col2 limit 30""))"),600.9483333333333)</f>
        <v>600.9483333</v>
      </c>
      <c r="K628" s="18">
        <f>IFERROR(__xludf.DUMMYFUNCTION("AVERAGE(QUERY(SORT(GOOGLEFINANCE(B628,""price"",TODAY()-365,TODAY()),1,0),""select Col2 limit 60""))"),587.9266666666667)</f>
        <v>587.9266667</v>
      </c>
      <c r="L628" s="17">
        <f>IFERROR(__xludf.DUMMYFUNCTION("AVERAGE(QUERY(SORT(GOOGLEFINANCE(B628,""price"",TODAY()-365,TODAY()),1,0),""select Col2 limit 90""))"),574.7911111111111)</f>
        <v>574.7911111</v>
      </c>
      <c r="M628" s="17">
        <f>IFERROR(__xludf.DUMMYFUNCTION("AVERAGE(QUERY(SORT(GOOGLEFINANCE(B628,""price"",TODAY()-365,TODAY()),1,0),""select Col2 limit 120""))"),545.38375)</f>
        <v>545.38375</v>
      </c>
      <c r="N628" s="19">
        <f>IFERROR(__xludf.DUMMYFUNCTION("AVERAGE(QUERY(SORT(GOOGLEFINANCE(B628,""price"",TODAY()-365,TODAY()),1,0),""select Col2 limit 200""))"),553.4595000000002)</f>
        <v>553.4595</v>
      </c>
      <c r="O628" s="20" t="str">
        <f t="shared" si="2"/>
        <v>Avoid</v>
      </c>
      <c r="P628" s="21" t="str">
        <f t="shared" si="3"/>
        <v>60 DMA</v>
      </c>
      <c r="Q628" s="21" t="str">
        <f t="shared" si="4"/>
        <v/>
      </c>
      <c r="R628" s="22">
        <f>IFERROR(__xludf.DUMMYFUNCTION("GOOGLEFINANCE(B628, ""pe"")
"),27.17)</f>
        <v>27.17</v>
      </c>
    </row>
    <row r="629">
      <c r="A629" s="9" t="s">
        <v>641</v>
      </c>
      <c r="B629" s="11" t="str">
        <f t="shared" si="1"/>
        <v>NSE:QUESS</v>
      </c>
      <c r="C629" s="12">
        <f>IFERROR(__xludf.DUMMYFUNCTION("GOOGLEFINANCE(B629,""marketcap"")/10000000"),4482.6323748)</f>
        <v>4482.632375</v>
      </c>
      <c r="D629" s="13">
        <f>IFERROR(__xludf.DUMMYFUNCTION("GOOGLEFINANCE(B629,""price"")"),300.95)</f>
        <v>300.95</v>
      </c>
      <c r="E629" s="14">
        <f>IFERROR(__xludf.DUMMYFUNCTION("GOOGLEFINANCE(B629,""Volume"")"),104909.0)</f>
        <v>104909</v>
      </c>
      <c r="F629" s="14">
        <f t="array" ref="F629">F628</f>
        <v>14</v>
      </c>
      <c r="G629" s="15" t="str">
        <f>IFERROR(__xludf.DUMMYFUNCTION("IF(E629&gt;AVERAGE(INDEX(GOOGLEFINANCE(B629,""volume"",WORKDAY(TODAY(),-$F$1),TODAY()),,2)),""Breakout"","""")"),"")</f>
        <v/>
      </c>
      <c r="H629" s="16">
        <f>IFERROR(__xludf.DUMMYFUNCTION("GOOGLEFINANCE(B629,""price"")"),300.95)</f>
        <v>300.95</v>
      </c>
      <c r="I629" s="17" t="str">
        <f>IFERROR(__xludf.DUMMYFUNCTION("AVERAGE(QUERY(SORT(GOOGLEFINANCE(B629,""price"",TODAY()-365,TODAY()),1,0),""select Col2 limit 10""))"),"#N/A")</f>
        <v>#N/A</v>
      </c>
      <c r="J629" s="17" t="str">
        <f>IFERROR(__xludf.DUMMYFUNCTION("AVERAGE(QUERY(SORT(GOOGLEFINANCE(B629,""price"",TODAY()-365,TODAY()),1,0),""select Col2 limit 30""))"),"#N/A")</f>
        <v>#N/A</v>
      </c>
      <c r="K629" s="18" t="str">
        <f>IFERROR(__xludf.DUMMYFUNCTION("AVERAGE(QUERY(SORT(GOOGLEFINANCE(B629,""price"",TODAY()-365,TODAY()),1,0),""select Col2 limit 60""))"),"#N/A")</f>
        <v>#N/A</v>
      </c>
      <c r="L629" s="17" t="str">
        <f>IFERROR(__xludf.DUMMYFUNCTION("AVERAGE(QUERY(SORT(GOOGLEFINANCE(B629,""price"",TODAY()-365,TODAY()),1,0),""select Col2 limit 90""))"),"#N/A")</f>
        <v>#N/A</v>
      </c>
      <c r="M629" s="17" t="str">
        <f>IFERROR(__xludf.DUMMYFUNCTION("AVERAGE(QUERY(SORT(GOOGLEFINANCE(B629,""price"",TODAY()-365,TODAY()),1,0),""select Col2 limit 120""))"),"#N/A")</f>
        <v>#N/A</v>
      </c>
      <c r="N629" s="19" t="str">
        <f>IFERROR(__xludf.DUMMYFUNCTION("AVERAGE(QUERY(SORT(GOOGLEFINANCE(B629,""price"",TODAY()-365,TODAY()),1,0),""select Col2 limit 200""))"),"#N/A")</f>
        <v>#N/A</v>
      </c>
      <c r="O629" s="20" t="str">
        <f t="shared" si="2"/>
        <v>#N/A</v>
      </c>
      <c r="P629" s="21" t="str">
        <f t="shared" si="3"/>
        <v>#N/A</v>
      </c>
      <c r="Q629" s="21" t="str">
        <f t="shared" si="4"/>
        <v>#N/A</v>
      </c>
      <c r="R629" s="22">
        <f>IFERROR(__xludf.DUMMYFUNCTION("GOOGLEFINANCE(B629, ""pe"")
"),98.03)</f>
        <v>98.03</v>
      </c>
    </row>
    <row r="630">
      <c r="A630" s="9" t="s">
        <v>642</v>
      </c>
      <c r="B630" s="11" t="str">
        <f t="shared" si="1"/>
        <v>NSE:RAJESHEXPO</v>
      </c>
      <c r="C630" s="12">
        <f>IFERROR(__xludf.DUMMYFUNCTION("GOOGLEFINANCE(B630,""marketcap"")/10000000"),5806.0355395)</f>
        <v>5806.03554</v>
      </c>
      <c r="D630" s="13">
        <f>IFERROR(__xludf.DUMMYFUNCTION("GOOGLEFINANCE(B630,""price"")"),196.21)</f>
        <v>196.21</v>
      </c>
      <c r="E630" s="14">
        <f>IFERROR(__xludf.DUMMYFUNCTION("GOOGLEFINANCE(B630,""Volume"")"),278393.0)</f>
        <v>278393</v>
      </c>
      <c r="F630" s="14">
        <f t="array" ref="F630">F629</f>
        <v>14</v>
      </c>
      <c r="G630" s="15" t="str">
        <f>IFERROR(__xludf.DUMMYFUNCTION("IF(E630&gt;AVERAGE(INDEX(GOOGLEFINANCE(B630,""volume"",WORKDAY(TODAY(),-$F$1),TODAY()),,2)),""Breakout"","""")"),"")</f>
        <v/>
      </c>
      <c r="H630" s="16">
        <f>IFERROR(__xludf.DUMMYFUNCTION("GOOGLEFINANCE(B630,""price"")"),196.21)</f>
        <v>196.21</v>
      </c>
      <c r="I630" s="17">
        <f>IFERROR(__xludf.DUMMYFUNCTION("AVERAGE(QUERY(SORT(GOOGLEFINANCE(B630,""price"",TODAY()-365,TODAY()),1,0),""select Col2 limit 10""))"),202.046)</f>
        <v>202.046</v>
      </c>
      <c r="J630" s="17">
        <f>IFERROR(__xludf.DUMMYFUNCTION("AVERAGE(QUERY(SORT(GOOGLEFINANCE(B630,""price"",TODAY()-365,TODAY()),1,0),""select Col2 limit 30""))"),198.95833333333334)</f>
        <v>198.9583333</v>
      </c>
      <c r="K630" s="18">
        <f>IFERROR(__xludf.DUMMYFUNCTION("AVERAGE(QUERY(SORT(GOOGLEFINANCE(B630,""price"",TODAY()-365,TODAY()),1,0),""select Col2 limit 60""))"),197.85099999999997)</f>
        <v>197.851</v>
      </c>
      <c r="L630" s="17">
        <f>IFERROR(__xludf.DUMMYFUNCTION("AVERAGE(QUERY(SORT(GOOGLEFINANCE(B630,""price"",TODAY()-365,TODAY()),1,0),""select Col2 limit 90""))"),194.59444444444443)</f>
        <v>194.5944444</v>
      </c>
      <c r="M630" s="17">
        <f>IFERROR(__xludf.DUMMYFUNCTION("AVERAGE(QUERY(SORT(GOOGLEFINANCE(B630,""price"",TODAY()-365,TODAY()),1,0),""select Col2 limit 120""))"),188.4800000000001)</f>
        <v>188.48</v>
      </c>
      <c r="N630" s="19">
        <f>IFERROR(__xludf.DUMMYFUNCTION("AVERAGE(QUERY(SORT(GOOGLEFINANCE(B630,""price"",TODAY()-365,TODAY()),1,0),""select Col2 limit 200""))"),208.75349999999995)</f>
        <v>208.7535</v>
      </c>
      <c r="O630" s="20" t="str">
        <f t="shared" si="2"/>
        <v>Avoid</v>
      </c>
      <c r="P630" s="21" t="str">
        <f t="shared" si="3"/>
        <v>60 DMA</v>
      </c>
      <c r="Q630" s="21" t="str">
        <f t="shared" si="4"/>
        <v/>
      </c>
      <c r="R630" s="22">
        <f>IFERROR(__xludf.DUMMYFUNCTION("GOOGLEFINANCE(B630, ""pe"")
"),95.01)</f>
        <v>95.01</v>
      </c>
    </row>
    <row r="631">
      <c r="A631" s="9" t="s">
        <v>643</v>
      </c>
      <c r="B631" s="11" t="str">
        <f t="shared" si="1"/>
        <v>NSE:ITDCEM</v>
      </c>
      <c r="C631" s="12">
        <f>IFERROR(__xludf.DUMMYFUNCTION("GOOGLEFINANCE(B631,""marketcap"")/10000000"),13102.2328347)</f>
        <v>13102.23283</v>
      </c>
      <c r="D631" s="13">
        <f>IFERROR(__xludf.DUMMYFUNCTION("GOOGLEFINANCE(B631,""price"")"),763.1)</f>
        <v>763.1</v>
      </c>
      <c r="E631" s="14">
        <f>IFERROR(__xludf.DUMMYFUNCTION("GOOGLEFINANCE(B631,""Volume"")"),174579.0)</f>
        <v>174579</v>
      </c>
      <c r="F631" s="14">
        <f t="array" ref="F631">F630</f>
        <v>14</v>
      </c>
      <c r="G631" s="15" t="str">
        <f>IFERROR(__xludf.DUMMYFUNCTION("IF(E631&gt;AVERAGE(INDEX(GOOGLEFINANCE(B631,""volume"",WORKDAY(TODAY(),-$F$1),TODAY()),,2)),""Breakout"","""")"),"")</f>
        <v/>
      </c>
      <c r="H631" s="16">
        <f>IFERROR(__xludf.DUMMYFUNCTION("GOOGLEFINANCE(B631,""price"")"),763.1)</f>
        <v>763.1</v>
      </c>
      <c r="I631" s="17">
        <f>IFERROR(__xludf.DUMMYFUNCTION("AVERAGE(QUERY(SORT(GOOGLEFINANCE(B631,""price"",TODAY()-365,TODAY()),1,0),""select Col2 limit 10""))"),841.625)</f>
        <v>841.625</v>
      </c>
      <c r="J631" s="17">
        <f>IFERROR(__xludf.DUMMYFUNCTION("AVERAGE(QUERY(SORT(GOOGLEFINANCE(B631,""price"",TODAY()-365,TODAY()),1,0),""select Col2 limit 30""))"),830.3216666666667)</f>
        <v>830.3216667</v>
      </c>
      <c r="K631" s="18">
        <f>IFERROR(__xludf.DUMMYFUNCTION("AVERAGE(QUERY(SORT(GOOGLEFINANCE(B631,""price"",TODAY()-365,TODAY()),1,0),""select Col2 limit 60""))"),721.6733333333333)</f>
        <v>721.6733333</v>
      </c>
      <c r="L631" s="17">
        <f>IFERROR(__xludf.DUMMYFUNCTION("AVERAGE(QUERY(SORT(GOOGLEFINANCE(B631,""price"",TODAY()-365,TODAY()),1,0),""select Col2 limit 90""))"),662.9894444444445)</f>
        <v>662.9894444</v>
      </c>
      <c r="M631" s="17">
        <f>IFERROR(__xludf.DUMMYFUNCTION("AVERAGE(QUERY(SORT(GOOGLEFINANCE(B631,""price"",TODAY()-365,TODAY()),1,0),""select Col2 limit 120""))"),629.066666666667)</f>
        <v>629.0666667</v>
      </c>
      <c r="N631" s="19">
        <f>IFERROR(__xludf.DUMMYFUNCTION("AVERAGE(QUERY(SORT(GOOGLEFINANCE(B631,""price"",TODAY()-365,TODAY()),1,0),""select Col2 limit 200""))"),593.2817500000002)</f>
        <v>593.28175</v>
      </c>
      <c r="O631" s="20" t="str">
        <f t="shared" si="2"/>
        <v>Avoid</v>
      </c>
      <c r="P631" s="21" t="str">
        <f t="shared" si="3"/>
        <v/>
      </c>
      <c r="Q631" s="21" t="str">
        <f t="shared" si="4"/>
        <v/>
      </c>
      <c r="R631" s="22">
        <f>IFERROR(__xludf.DUMMYFUNCTION("GOOGLEFINANCE(B631, ""pe"")
"),35.17)</f>
        <v>35.17</v>
      </c>
    </row>
    <row r="632">
      <c r="A632" s="9" t="s">
        <v>644</v>
      </c>
      <c r="B632" s="11" t="str">
        <f t="shared" si="1"/>
        <v>NSE:JUBLINGREA</v>
      </c>
      <c r="C632" s="12">
        <f>IFERROR(__xludf.DUMMYFUNCTION("GOOGLEFINANCE(B632,""marketcap"")/10000000"),12589.185953)</f>
        <v>12589.18595</v>
      </c>
      <c r="D632" s="13">
        <f>IFERROR(__xludf.DUMMYFUNCTION("GOOGLEFINANCE(B632,""price"")"),796.15)</f>
        <v>796.15</v>
      </c>
      <c r="E632" s="14">
        <f>IFERROR(__xludf.DUMMYFUNCTION("GOOGLEFINANCE(B632,""Volume"")"),147258.0)</f>
        <v>147258</v>
      </c>
      <c r="F632" s="14">
        <f t="array" ref="F632">F631</f>
        <v>14</v>
      </c>
      <c r="G632" s="15" t="str">
        <f>IFERROR(__xludf.DUMMYFUNCTION("IF(E632&gt;AVERAGE(INDEX(GOOGLEFINANCE(B632,""volume"",WORKDAY(TODAY(),-$F$1),TODAY()),,2)),""Breakout"","""")"),"")</f>
        <v/>
      </c>
      <c r="H632" s="16">
        <f>IFERROR(__xludf.DUMMYFUNCTION("GOOGLEFINANCE(B632,""price"")"),796.15)</f>
        <v>796.15</v>
      </c>
      <c r="I632" s="17">
        <f>IFERROR(__xludf.DUMMYFUNCTION("AVERAGE(QUERY(SORT(GOOGLEFINANCE(B632,""price"",TODAY()-365,TODAY()),1,0),""select Col2 limit 10""))"),816.27)</f>
        <v>816.27</v>
      </c>
      <c r="J632" s="17">
        <f>IFERROR(__xludf.DUMMYFUNCTION("AVERAGE(QUERY(SORT(GOOGLEFINANCE(B632,""price"",TODAY()-365,TODAY()),1,0),""select Col2 limit 30""))"),780.2466666666666)</f>
        <v>780.2466667</v>
      </c>
      <c r="K632" s="18">
        <f>IFERROR(__xludf.DUMMYFUNCTION("AVERAGE(QUERY(SORT(GOOGLEFINANCE(B632,""price"",TODAY()-365,TODAY()),1,0),""select Col2 limit 60""))"),740.0283333333333)</f>
        <v>740.0283333</v>
      </c>
      <c r="L632" s="17">
        <f>IFERROR(__xludf.DUMMYFUNCTION("AVERAGE(QUERY(SORT(GOOGLEFINANCE(B632,""price"",TODAY()-365,TODAY()),1,0),""select Col2 limit 90""))"),715.3755555555554)</f>
        <v>715.3755556</v>
      </c>
      <c r="M632" s="17">
        <f>IFERROR(__xludf.DUMMYFUNCTION("AVERAGE(QUERY(SORT(GOOGLEFINANCE(B632,""price"",TODAY()-365,TODAY()),1,0),""select Col2 limit 120""))"),704.9895833333333)</f>
        <v>704.9895833</v>
      </c>
      <c r="N632" s="19">
        <f>IFERROR(__xludf.DUMMYFUNCTION("AVERAGE(QUERY(SORT(GOOGLEFINANCE(B632,""price"",TODAY()-365,TODAY()),1,0),""select Col2 limit 200""))"),721.1275000000002)</f>
        <v>721.1275</v>
      </c>
      <c r="O632" s="20" t="str">
        <f t="shared" si="2"/>
        <v>Avoid</v>
      </c>
      <c r="P632" s="21" t="str">
        <f t="shared" si="3"/>
        <v/>
      </c>
      <c r="Q632" s="21" t="str">
        <f t="shared" si="4"/>
        <v/>
      </c>
      <c r="R632" s="22">
        <f>IFERROR(__xludf.DUMMYFUNCTION("GOOGLEFINANCE(B632, ""pe"")
"),50.26)</f>
        <v>50.26</v>
      </c>
    </row>
    <row r="633">
      <c r="A633" s="9" t="s">
        <v>645</v>
      </c>
      <c r="B633" s="11" t="str">
        <f t="shared" si="1"/>
        <v>NSE:CAMPUS</v>
      </c>
      <c r="C633" s="12">
        <f>IFERROR(__xludf.DUMMYFUNCTION("GOOGLEFINANCE(B633,""marketcap"")/10000000"),8431.03272)</f>
        <v>8431.03272</v>
      </c>
      <c r="D633" s="13">
        <f>IFERROR(__xludf.DUMMYFUNCTION("GOOGLEFINANCE(B633,""price"")"),275.8)</f>
        <v>275.8</v>
      </c>
      <c r="E633" s="14">
        <f>IFERROR(__xludf.DUMMYFUNCTION("GOOGLEFINANCE(B633,""Volume"")"),73570.0)</f>
        <v>73570</v>
      </c>
      <c r="F633" s="14">
        <f t="array" ref="F633">F632</f>
        <v>14</v>
      </c>
      <c r="G633" s="15" t="str">
        <f>IFERROR(__xludf.DUMMYFUNCTION("IF(E633&gt;AVERAGE(INDEX(GOOGLEFINANCE(B633,""volume"",WORKDAY(TODAY(),-$F$1),TODAY()),,2)),""Breakout"","""")"),"")</f>
        <v/>
      </c>
      <c r="H633" s="16">
        <f>IFERROR(__xludf.DUMMYFUNCTION("GOOGLEFINANCE(B633,""price"")"),275.8)</f>
        <v>275.8</v>
      </c>
      <c r="I633" s="17" t="str">
        <f>IFERROR(__xludf.DUMMYFUNCTION("AVERAGE(QUERY(SORT(GOOGLEFINANCE(B633,""price"",TODAY()-365,TODAY()),1,0),""select Col2 limit 10""))"),"#N/A")</f>
        <v>#N/A</v>
      </c>
      <c r="J633" s="17" t="str">
        <f>IFERROR(__xludf.DUMMYFUNCTION("AVERAGE(QUERY(SORT(GOOGLEFINANCE(B633,""price"",TODAY()-365,TODAY()),1,0),""select Col2 limit 30""))"),"#N/A")</f>
        <v>#N/A</v>
      </c>
      <c r="K633" s="18" t="str">
        <f>IFERROR(__xludf.DUMMYFUNCTION("AVERAGE(QUERY(SORT(GOOGLEFINANCE(B633,""price"",TODAY()-365,TODAY()),1,0),""select Col2 limit 60""))"),"#N/A")</f>
        <v>#N/A</v>
      </c>
      <c r="L633" s="17" t="str">
        <f>IFERROR(__xludf.DUMMYFUNCTION("AVERAGE(QUERY(SORT(GOOGLEFINANCE(B633,""price"",TODAY()-365,TODAY()),1,0),""select Col2 limit 90""))"),"#N/A")</f>
        <v>#N/A</v>
      </c>
      <c r="M633" s="17" t="str">
        <f>IFERROR(__xludf.DUMMYFUNCTION("AVERAGE(QUERY(SORT(GOOGLEFINANCE(B633,""price"",TODAY()-365,TODAY()),1,0),""select Col2 limit 120""))"),"#N/A")</f>
        <v>#N/A</v>
      </c>
      <c r="N633" s="19" t="str">
        <f>IFERROR(__xludf.DUMMYFUNCTION("AVERAGE(QUERY(SORT(GOOGLEFINANCE(B633,""price"",TODAY()-365,TODAY()),1,0),""select Col2 limit 200""))"),"#N/A")</f>
        <v>#N/A</v>
      </c>
      <c r="O633" s="20" t="str">
        <f t="shared" si="2"/>
        <v>#N/A</v>
      </c>
      <c r="P633" s="21" t="str">
        <f t="shared" si="3"/>
        <v>#N/A</v>
      </c>
      <c r="Q633" s="21" t="str">
        <f t="shared" si="4"/>
        <v>#N/A</v>
      </c>
      <c r="R633" s="22">
        <f>IFERROR(__xludf.DUMMYFUNCTION("GOOGLEFINANCE(B633, ""pe"")
"),69.55)</f>
        <v>69.55</v>
      </c>
    </row>
    <row r="634">
      <c r="A634" s="9" t="s">
        <v>646</v>
      </c>
      <c r="B634" s="11" t="str">
        <f t="shared" si="1"/>
        <v>NSE:MHRIL</v>
      </c>
      <c r="C634" s="12">
        <f>IFERROR(__xludf.DUMMYFUNCTION("GOOGLEFINANCE(B634,""marketcap"")/10000000"),7311.531791)</f>
        <v>7311.531791</v>
      </c>
      <c r="D634" s="13">
        <f>IFERROR(__xludf.DUMMYFUNCTION("GOOGLEFINANCE(B634,""price"")"),362.0)</f>
        <v>362</v>
      </c>
      <c r="E634" s="14">
        <f>IFERROR(__xludf.DUMMYFUNCTION("GOOGLEFINANCE(B634,""Volume"")"),63312.0)</f>
        <v>63312</v>
      </c>
      <c r="F634" s="14">
        <f t="array" ref="F634">F633</f>
        <v>14</v>
      </c>
      <c r="G634" s="15" t="str">
        <f>IFERROR(__xludf.DUMMYFUNCTION("IF(E634&gt;AVERAGE(INDEX(GOOGLEFINANCE(B634,""volume"",WORKDAY(TODAY(),-$F$1),TODAY()),,2)),""Breakout"","""")"),"")</f>
        <v/>
      </c>
      <c r="H634" s="16">
        <f>IFERROR(__xludf.DUMMYFUNCTION("GOOGLEFINANCE(B634,""price"")"),362.0)</f>
        <v>362</v>
      </c>
      <c r="I634" s="17">
        <f>IFERROR(__xludf.DUMMYFUNCTION("AVERAGE(QUERY(SORT(GOOGLEFINANCE(B634,""price"",TODAY()-365,TODAY()),1,0),""select Col2 limit 10""))"),360.065)</f>
        <v>360.065</v>
      </c>
      <c r="J634" s="17">
        <f>IFERROR(__xludf.DUMMYFUNCTION("AVERAGE(QUERY(SORT(GOOGLEFINANCE(B634,""price"",TODAY()-365,TODAY()),1,0),""select Col2 limit 30""))"),347.4216666666667)</f>
        <v>347.4216667</v>
      </c>
      <c r="K634" s="18">
        <f>IFERROR(__xludf.DUMMYFUNCTION("AVERAGE(QUERY(SORT(GOOGLEFINANCE(B634,""price"",TODAY()-365,TODAY()),1,0),""select Col2 limit 60""))"),348.2283333333333)</f>
        <v>348.2283333</v>
      </c>
      <c r="L634" s="17">
        <f>IFERROR(__xludf.DUMMYFUNCTION("AVERAGE(QUERY(SORT(GOOGLEFINANCE(B634,""price"",TODAY()-365,TODAY()),1,0),""select Col2 limit 90""))"),334.55555555555554)</f>
        <v>334.5555556</v>
      </c>
      <c r="M634" s="17">
        <f>IFERROR(__xludf.DUMMYFUNCTION("AVERAGE(QUERY(SORT(GOOGLEFINANCE(B634,""price"",TODAY()-365,TODAY()),1,0),""select Col2 limit 120""))"),330.2133333333332)</f>
        <v>330.2133333</v>
      </c>
      <c r="N634" s="19">
        <f>IFERROR(__xludf.DUMMYFUNCTION("AVERAGE(QUERY(SORT(GOOGLEFINANCE(B634,""price"",TODAY()-365,TODAY()),1,0),""select Col2 limit 200""))"),343.95449999999977)</f>
        <v>343.9545</v>
      </c>
      <c r="O634" s="20" t="str">
        <f t="shared" si="2"/>
        <v>Avoid</v>
      </c>
      <c r="P634" s="21" t="str">
        <f t="shared" si="3"/>
        <v/>
      </c>
      <c r="Q634" s="21" t="str">
        <f t="shared" si="4"/>
        <v/>
      </c>
      <c r="R634" s="22">
        <f>IFERROR(__xludf.DUMMYFUNCTION("GOOGLEFINANCE(B634, ""pe"")
"),56.33)</f>
        <v>56.33</v>
      </c>
    </row>
    <row r="635">
      <c r="A635" s="9" t="s">
        <v>647</v>
      </c>
      <c r="B635" s="11" t="str">
        <f t="shared" si="1"/>
        <v>NSE:STAR</v>
      </c>
      <c r="C635" s="12">
        <f>IFERROR(__xludf.DUMMYFUNCTION("GOOGLEFINANCE(B635,""marketcap"")/10000000"),8596.4767752)</f>
        <v>8596.476775</v>
      </c>
      <c r="D635" s="13">
        <f>IFERROR(__xludf.DUMMYFUNCTION("GOOGLEFINANCE(B635,""price"")"),929.4)</f>
        <v>929.4</v>
      </c>
      <c r="E635" s="14">
        <f>IFERROR(__xludf.DUMMYFUNCTION("GOOGLEFINANCE(B635,""Volume"")"),412310.0)</f>
        <v>412310</v>
      </c>
      <c r="F635" s="14">
        <f t="array" ref="F635">F634</f>
        <v>14</v>
      </c>
      <c r="G635" s="15" t="str">
        <f>IFERROR(__xludf.DUMMYFUNCTION("IF(E635&gt;AVERAGE(INDEX(GOOGLEFINANCE(B635,""volume"",WORKDAY(TODAY(),-$F$1),TODAY()),,2)),""Breakout"","""")"),"")</f>
        <v/>
      </c>
      <c r="H635" s="16">
        <f>IFERROR(__xludf.DUMMYFUNCTION("GOOGLEFINANCE(B635,""price"")"),929.4)</f>
        <v>929.4</v>
      </c>
      <c r="I635" s="17">
        <f>IFERROR(__xludf.DUMMYFUNCTION("AVERAGE(QUERY(SORT(GOOGLEFINANCE(B635,""price"",TODAY()-365,TODAY()),1,0),""select Col2 limit 10""))"),902.5800000000002)</f>
        <v>902.58</v>
      </c>
      <c r="J635" s="17">
        <f>IFERROR(__xludf.DUMMYFUNCTION("AVERAGE(QUERY(SORT(GOOGLEFINANCE(B635,""price"",TODAY()-365,TODAY()),1,0),""select Col2 limit 30""))"),880.6333333333334)</f>
        <v>880.6333333</v>
      </c>
      <c r="K635" s="18">
        <f>IFERROR(__xludf.DUMMYFUNCTION("AVERAGE(QUERY(SORT(GOOGLEFINANCE(B635,""price"",TODAY()-365,TODAY()),1,0),""select Col2 limit 60""))"),806.4374999999999)</f>
        <v>806.4375</v>
      </c>
      <c r="L635" s="17">
        <f>IFERROR(__xludf.DUMMYFUNCTION("AVERAGE(QUERY(SORT(GOOGLEFINANCE(B635,""price"",TODAY()-365,TODAY()),1,0),""select Col2 limit 90""))"),754.458888888889)</f>
        <v>754.4588889</v>
      </c>
      <c r="M635" s="17">
        <f>IFERROR(__xludf.DUMMYFUNCTION("AVERAGE(QUERY(SORT(GOOGLEFINANCE(B635,""price"",TODAY()-365,TODAY()),1,0),""select Col2 limit 120""))"),728.8724999999997)</f>
        <v>728.8725</v>
      </c>
      <c r="N635" s="19">
        <f>IFERROR(__xludf.DUMMYFUNCTION("AVERAGE(QUERY(SORT(GOOGLEFINANCE(B635,""price"",TODAY()-365,TODAY()),1,0),""select Col2 limit 200""))"),886.4822499999998)</f>
        <v>886.48225</v>
      </c>
      <c r="O635" s="20" t="str">
        <f t="shared" si="2"/>
        <v>Avoid</v>
      </c>
      <c r="P635" s="21" t="str">
        <f t="shared" si="3"/>
        <v/>
      </c>
      <c r="Q635" s="21" t="str">
        <f t="shared" si="4"/>
        <v/>
      </c>
      <c r="R635" s="22">
        <f>IFERROR(__xludf.DUMMYFUNCTION("GOOGLEFINANCE(B635, ""pe"")
"),21.18)</f>
        <v>21.18</v>
      </c>
    </row>
    <row r="636">
      <c r="A636" s="9" t="s">
        <v>648</v>
      </c>
      <c r="B636" s="11" t="str">
        <f t="shared" si="1"/>
        <v>NSE:TEXRAIL</v>
      </c>
      <c r="C636" s="12">
        <f>IFERROR(__xludf.DUMMYFUNCTION("GOOGLEFINANCE(B636,""marketcap"")/10000000"),5997.6005164)</f>
        <v>5997.600516</v>
      </c>
      <c r="D636" s="13">
        <f>IFERROR(__xludf.DUMMYFUNCTION("GOOGLEFINANCE(B636,""price"")"),149.72)</f>
        <v>149.72</v>
      </c>
      <c r="E636" s="14">
        <f>IFERROR(__xludf.DUMMYFUNCTION("GOOGLEFINANCE(B636,""Volume"")"),647489.0)</f>
        <v>647489</v>
      </c>
      <c r="F636" s="14">
        <f t="array" ref="F636">F635</f>
        <v>14</v>
      </c>
      <c r="G636" s="15" t="str">
        <f>IFERROR(__xludf.DUMMYFUNCTION("IF(E636&gt;AVERAGE(INDEX(GOOGLEFINANCE(B636,""volume"",WORKDAY(TODAY(),-$F$1),TODAY()),,2)),""Breakout"","""")"),"")</f>
        <v/>
      </c>
      <c r="H636" s="16">
        <f>IFERROR(__xludf.DUMMYFUNCTION("GOOGLEFINANCE(B636,""price"")"),149.72)</f>
        <v>149.72</v>
      </c>
      <c r="I636" s="17">
        <f>IFERROR(__xludf.DUMMYFUNCTION("AVERAGE(QUERY(SORT(GOOGLEFINANCE(B636,""price"",TODAY()-365,TODAY()),1,0),""select Col2 limit 10""))"),159.13899999999995)</f>
        <v>159.139</v>
      </c>
      <c r="J636" s="17">
        <f>IFERROR(__xludf.DUMMYFUNCTION("AVERAGE(QUERY(SORT(GOOGLEFINANCE(B636,""price"",TODAY()-365,TODAY()),1,0),""select Col2 limit 30""))"),165.92299999999992)</f>
        <v>165.923</v>
      </c>
      <c r="K636" s="18">
        <f>IFERROR(__xludf.DUMMYFUNCTION("AVERAGE(QUERY(SORT(GOOGLEFINANCE(B636,""price"",TODAY()-365,TODAY()),1,0),""select Col2 limit 60""))"),161.69266666666664)</f>
        <v>161.6926667</v>
      </c>
      <c r="L636" s="17">
        <f>IFERROR(__xludf.DUMMYFUNCTION("AVERAGE(QUERY(SORT(GOOGLEFINANCE(B636,""price"",TODAY()-365,TODAY()),1,0),""select Col2 limit 90""))"),154.04844444444436)</f>
        <v>154.0484444</v>
      </c>
      <c r="M636" s="17">
        <f>IFERROR(__xludf.DUMMYFUNCTION("AVERAGE(QUERY(SORT(GOOGLEFINANCE(B636,""price"",TODAY()-365,TODAY()),1,0),""select Col2 limit 120""))"),152.31816666666663)</f>
        <v>152.3181667</v>
      </c>
      <c r="N636" s="19">
        <f>IFERROR(__xludf.DUMMYFUNCTION("AVERAGE(QUERY(SORT(GOOGLEFINANCE(B636,""price"",TODAY()-365,TODAY()),1,0),""select Col2 limit 200""))"),172.83239999999995)</f>
        <v>172.8324</v>
      </c>
      <c r="O636" s="20" t="str">
        <f t="shared" si="2"/>
        <v>Avoid</v>
      </c>
      <c r="P636" s="21" t="str">
        <f t="shared" si="3"/>
        <v/>
      </c>
      <c r="Q636" s="21" t="str">
        <f t="shared" si="4"/>
        <v/>
      </c>
      <c r="R636" s="22">
        <f>IFERROR(__xludf.DUMMYFUNCTION("GOOGLEFINANCE(B636, ""pe"")
"),24.13)</f>
        <v>24.13</v>
      </c>
    </row>
    <row r="637">
      <c r="A637" s="9" t="s">
        <v>649</v>
      </c>
      <c r="B637" s="11" t="str">
        <f t="shared" si="1"/>
        <v>NSE:TRIVENI</v>
      </c>
      <c r="C637" s="12">
        <f>IFERROR(__xludf.DUMMYFUNCTION("GOOGLEFINANCE(B637,""marketcap"")/10000000"),7900.0250773)</f>
        <v>7900.025077</v>
      </c>
      <c r="D637" s="13">
        <f>IFERROR(__xludf.DUMMYFUNCTION("GOOGLEFINANCE(B637,""price"")"),360.6)</f>
        <v>360.6</v>
      </c>
      <c r="E637" s="14">
        <f>IFERROR(__xludf.DUMMYFUNCTION("GOOGLEFINANCE(B637,""Volume"")"),167803.0)</f>
        <v>167803</v>
      </c>
      <c r="F637" s="14">
        <f t="array" ref="F637">F636</f>
        <v>14</v>
      </c>
      <c r="G637" s="15" t="str">
        <f>IFERROR(__xludf.DUMMYFUNCTION("IF(E637&gt;AVERAGE(INDEX(GOOGLEFINANCE(B637,""volume"",WORKDAY(TODAY(),-$F$1),TODAY()),,2)),""Breakout"","""")"),"")</f>
        <v/>
      </c>
      <c r="H637" s="16">
        <f>IFERROR(__xludf.DUMMYFUNCTION("GOOGLEFINANCE(B637,""price"")"),360.6)</f>
        <v>360.6</v>
      </c>
      <c r="I637" s="17">
        <f>IFERROR(__xludf.DUMMYFUNCTION("AVERAGE(QUERY(SORT(GOOGLEFINANCE(B637,""price"",TODAY()-365,TODAY()),1,0),""select Col2 limit 10""))"),366.66999999999996)</f>
        <v>366.67</v>
      </c>
      <c r="J637" s="17">
        <f>IFERROR(__xludf.DUMMYFUNCTION("AVERAGE(QUERY(SORT(GOOGLEFINANCE(B637,""price"",TODAY()-365,TODAY()),1,0),""select Col2 limit 30""))"),377.8116666666667)</f>
        <v>377.8116667</v>
      </c>
      <c r="K637" s="18">
        <f>IFERROR(__xludf.DUMMYFUNCTION("AVERAGE(QUERY(SORT(GOOGLEFINANCE(B637,""price"",TODAY()-365,TODAY()),1,0),""select Col2 limit 60""))"),402.5216666666667)</f>
        <v>402.5216667</v>
      </c>
      <c r="L637" s="17">
        <f>IFERROR(__xludf.DUMMYFUNCTION("AVERAGE(QUERY(SORT(GOOGLEFINANCE(B637,""price"",TODAY()-365,TODAY()),1,0),""select Col2 limit 90""))"),399.5972222222223)</f>
        <v>399.5972222</v>
      </c>
      <c r="M637" s="17">
        <f>IFERROR(__xludf.DUMMYFUNCTION("AVERAGE(QUERY(SORT(GOOGLEFINANCE(B637,""price"",TODAY()-365,TODAY()),1,0),""select Col2 limit 120""))"),392.8941666666668)</f>
        <v>392.8941667</v>
      </c>
      <c r="N637" s="19">
        <f>IFERROR(__xludf.DUMMYFUNCTION("AVERAGE(QUERY(SORT(GOOGLEFINANCE(B637,""price"",TODAY()-365,TODAY()),1,0),""select Col2 limit 200""))"),404.41175000000004)</f>
        <v>404.41175</v>
      </c>
      <c r="O637" s="20" t="str">
        <f t="shared" si="2"/>
        <v>Avoid</v>
      </c>
      <c r="P637" s="21" t="str">
        <f t="shared" si="3"/>
        <v/>
      </c>
      <c r="Q637" s="21" t="str">
        <f t="shared" si="4"/>
        <v/>
      </c>
      <c r="R637" s="22">
        <f>IFERROR(__xludf.DUMMYFUNCTION("GOOGLEFINANCE(B637, ""pe"")
"),33.17)</f>
        <v>33.17</v>
      </c>
    </row>
    <row r="638">
      <c r="A638" s="9" t="s">
        <v>650</v>
      </c>
      <c r="B638" s="11" t="str">
        <f t="shared" si="1"/>
        <v>NSE:SBFC</v>
      </c>
      <c r="C638" s="12">
        <f>IFERROR(__xludf.DUMMYFUNCTION("GOOGLEFINANCE(B638,""marketcap"")/10000000"),12256.8870556)</f>
        <v>12256.88706</v>
      </c>
      <c r="D638" s="13">
        <f>IFERROR(__xludf.DUMMYFUNCTION("GOOGLEFINANCE(B638,""price"")"),112.9)</f>
        <v>112.9</v>
      </c>
      <c r="E638" s="14">
        <f>IFERROR(__xludf.DUMMYFUNCTION("GOOGLEFINANCE(B638,""Volume"")"),2993093.0)</f>
        <v>2993093</v>
      </c>
      <c r="F638" s="14">
        <f t="array" ref="F638">F637</f>
        <v>14</v>
      </c>
      <c r="G638" s="15" t="str">
        <f>IFERROR(__xludf.DUMMYFUNCTION("IF(E638&gt;AVERAGE(INDEX(GOOGLEFINANCE(B638,""volume"",WORKDAY(TODAY(),-$F$1),TODAY()),,2)),""Breakout"","""")"),"Breakout")</f>
        <v>Breakout</v>
      </c>
      <c r="H638" s="16">
        <f>IFERROR(__xludf.DUMMYFUNCTION("GOOGLEFINANCE(B638,""price"")"),112.9)</f>
        <v>112.9</v>
      </c>
      <c r="I638" s="17">
        <f>IFERROR(__xludf.DUMMYFUNCTION("AVERAGE(QUERY(SORT(GOOGLEFINANCE(B638,""price"",TODAY()-365,TODAY()),1,0),""select Col2 limit 10""))"),116.16100000000002)</f>
        <v>116.161</v>
      </c>
      <c r="J638" s="17">
        <f>IFERROR(__xludf.DUMMYFUNCTION("AVERAGE(QUERY(SORT(GOOGLEFINANCE(B638,""price"",TODAY()-365,TODAY()),1,0),""select Col2 limit 30""))"),111.41233333333336)</f>
        <v>111.4123333</v>
      </c>
      <c r="K638" s="18">
        <f>IFERROR(__xludf.DUMMYFUNCTION("AVERAGE(QUERY(SORT(GOOGLEFINANCE(B638,""price"",TODAY()-365,TODAY()),1,0),""select Col2 limit 60""))"),109.38533333333332)</f>
        <v>109.3853333</v>
      </c>
      <c r="L638" s="17">
        <f>IFERROR(__xludf.DUMMYFUNCTION("AVERAGE(QUERY(SORT(GOOGLEFINANCE(B638,""price"",TODAY()-365,TODAY()),1,0),""select Col2 limit 90""))"),104.25122222222218)</f>
        <v>104.2512222</v>
      </c>
      <c r="M638" s="17">
        <f>IFERROR(__xludf.DUMMYFUNCTION("AVERAGE(QUERY(SORT(GOOGLEFINANCE(B638,""price"",TODAY()-365,TODAY()),1,0),""select Col2 limit 120""))"),99.42858333333331)</f>
        <v>99.42858333</v>
      </c>
      <c r="N638" s="19">
        <f>IFERROR(__xludf.DUMMYFUNCTION("AVERAGE(QUERY(SORT(GOOGLEFINANCE(B638,""price"",TODAY()-365,TODAY()),1,0),""select Col2 limit 200""))"),94.45264999999998)</f>
        <v>94.45265</v>
      </c>
      <c r="O638" s="20" t="str">
        <f t="shared" si="2"/>
        <v>Avoid</v>
      </c>
      <c r="P638" s="21" t="str">
        <f t="shared" si="3"/>
        <v/>
      </c>
      <c r="Q638" s="21" t="str">
        <f t="shared" si="4"/>
        <v/>
      </c>
      <c r="R638" s="22">
        <f>IFERROR(__xludf.DUMMYFUNCTION("GOOGLEFINANCE(B638, ""pe"")
"),35.84)</f>
        <v>35.84</v>
      </c>
    </row>
    <row r="639">
      <c r="A639" s="9" t="s">
        <v>651</v>
      </c>
      <c r="B639" s="11" t="str">
        <f t="shared" si="1"/>
        <v>NSE:JLHL</v>
      </c>
      <c r="C639" s="12">
        <f>IFERROR(__xludf.DUMMYFUNCTION("GOOGLEFINANCE(B639,""marketcap"")/10000000"),9488.7140942)</f>
        <v>9488.714094</v>
      </c>
      <c r="D639" s="13">
        <f>IFERROR(__xludf.DUMMYFUNCTION("GOOGLEFINANCE(B639,""price"")"),1447.2)</f>
        <v>1447.2</v>
      </c>
      <c r="E639" s="14">
        <f>IFERROR(__xludf.DUMMYFUNCTION("GOOGLEFINANCE(B639,""Volume"")"),4472.0)</f>
        <v>4472</v>
      </c>
      <c r="F639" s="14">
        <f t="array" ref="F639">F638</f>
        <v>14</v>
      </c>
      <c r="G639" s="15" t="str">
        <f>IFERROR(__xludf.DUMMYFUNCTION("IF(E639&gt;AVERAGE(INDEX(GOOGLEFINANCE(B639,""volume"",WORKDAY(TODAY(),-$F$1),TODAY()),,2)),""Breakout"","""")"),"")</f>
        <v/>
      </c>
      <c r="H639" s="16">
        <f>IFERROR(__xludf.DUMMYFUNCTION("GOOGLEFINANCE(B639,""price"")"),1447.2)</f>
        <v>1447.2</v>
      </c>
      <c r="I639" s="17">
        <f>IFERROR(__xludf.DUMMYFUNCTION("AVERAGE(QUERY(SORT(GOOGLEFINANCE(B639,""price"",TODAY()-365,TODAY()),1,0),""select Col2 limit 10""))"),1477.1)</f>
        <v>1477.1</v>
      </c>
      <c r="J639" s="17">
        <f>IFERROR(__xludf.DUMMYFUNCTION("AVERAGE(QUERY(SORT(GOOGLEFINANCE(B639,""price"",TODAY()-365,TODAY()),1,0),""select Col2 limit 30""))"),1484.936666666667)</f>
        <v>1484.936667</v>
      </c>
      <c r="K639" s="18">
        <f>IFERROR(__xludf.DUMMYFUNCTION("AVERAGE(QUERY(SORT(GOOGLEFINANCE(B639,""price"",TODAY()-365,TODAY()),1,0),""select Col2 limit 60""))"),1468.6466666666668)</f>
        <v>1468.646667</v>
      </c>
      <c r="L639" s="17">
        <f>IFERROR(__xludf.DUMMYFUNCTION("AVERAGE(QUERY(SORT(GOOGLEFINANCE(B639,""price"",TODAY()-365,TODAY()),1,0),""select Col2 limit 90""))"),1489.0244444444443)</f>
        <v>1489.024444</v>
      </c>
      <c r="M639" s="17">
        <f>IFERROR(__xludf.DUMMYFUNCTION("AVERAGE(QUERY(SORT(GOOGLEFINANCE(B639,""price"",TODAY()-365,TODAY()),1,0),""select Col2 limit 120""))"),1496.8754166666663)</f>
        <v>1496.875417</v>
      </c>
      <c r="N639" s="19">
        <f>IFERROR(__xludf.DUMMYFUNCTION("AVERAGE(QUERY(SORT(GOOGLEFINANCE(B639,""price"",TODAY()-365,TODAY()),1,0),""select Col2 limit 200""))"),1492.4477500000005)</f>
        <v>1492.44775</v>
      </c>
      <c r="O639" s="20" t="str">
        <f t="shared" si="2"/>
        <v>Avoid</v>
      </c>
      <c r="P639" s="21" t="str">
        <f t="shared" si="3"/>
        <v/>
      </c>
      <c r="Q639" s="21" t="str">
        <f t="shared" si="4"/>
        <v/>
      </c>
      <c r="R639" s="22">
        <f>IFERROR(__xludf.DUMMYFUNCTION("GOOGLEFINANCE(B639, ""pe"")
"),49.04)</f>
        <v>49.04</v>
      </c>
    </row>
    <row r="640">
      <c r="A640" s="9" t="s">
        <v>652</v>
      </c>
      <c r="B640" s="11" t="str">
        <f t="shared" si="1"/>
        <v>NSE:ANURAS</v>
      </c>
      <c r="C640" s="12">
        <f>IFERROR(__xludf.DUMMYFUNCTION("GOOGLEFINANCE(B640,""marketcap"")/10000000"),12909.0208959)</f>
        <v>12909.0209</v>
      </c>
      <c r="D640" s="13">
        <f>IFERROR(__xludf.DUMMYFUNCTION("GOOGLEFINANCE(B640,""price"")"),1130.0)</f>
        <v>1130</v>
      </c>
      <c r="E640" s="14">
        <f>IFERROR(__xludf.DUMMYFUNCTION("GOOGLEFINANCE(B640,""Volume"")"),58225.0)</f>
        <v>58225</v>
      </c>
      <c r="F640" s="14">
        <f t="array" ref="F640">F639</f>
        <v>14</v>
      </c>
      <c r="G640" s="15" t="str">
        <f>IFERROR(__xludf.DUMMYFUNCTION("IF(E640&gt;AVERAGE(INDEX(GOOGLEFINANCE(B640,""volume"",WORKDAY(TODAY(),-$F$1),TODAY()),,2)),""Breakout"","""")"),"")</f>
        <v/>
      </c>
      <c r="H640" s="16">
        <f>IFERROR(__xludf.DUMMYFUNCTION("GOOGLEFINANCE(B640,""price"")"),1130.0)</f>
        <v>1130</v>
      </c>
      <c r="I640" s="17">
        <f>IFERROR(__xludf.DUMMYFUNCTION("AVERAGE(QUERY(SORT(GOOGLEFINANCE(B640,""price"",TODAY()-365,TODAY()),1,0),""select Col2 limit 10""))"),1152.5000000000002)</f>
        <v>1152.5</v>
      </c>
      <c r="J640" s="17">
        <f>IFERROR(__xludf.DUMMYFUNCTION("AVERAGE(QUERY(SORT(GOOGLEFINANCE(B640,""price"",TODAY()-365,TODAY()),1,0),""select Col2 limit 30""))"),1141.2133333333334)</f>
        <v>1141.213333</v>
      </c>
      <c r="K640" s="18">
        <f>IFERROR(__xludf.DUMMYFUNCTION("AVERAGE(QUERY(SORT(GOOGLEFINANCE(B640,""price"",TODAY()-365,TODAY()),1,0),""select Col2 limit 60""))"),1060.2316666666668)</f>
        <v>1060.231667</v>
      </c>
      <c r="L640" s="17">
        <f>IFERROR(__xludf.DUMMYFUNCTION("AVERAGE(QUERY(SORT(GOOGLEFINANCE(B640,""price"",TODAY()-365,TODAY()),1,0),""select Col2 limit 90""))"),967.9638888888888)</f>
        <v>967.9638889</v>
      </c>
      <c r="M640" s="17">
        <f>IFERROR(__xludf.DUMMYFUNCTION("AVERAGE(QUERY(SORT(GOOGLEFINANCE(B640,""price"",TODAY()-365,TODAY()),1,0),""select Col2 limit 120""))"),900.620833333333)</f>
        <v>900.6208333</v>
      </c>
      <c r="N640" s="19">
        <f>IFERROR(__xludf.DUMMYFUNCTION("AVERAGE(QUERY(SORT(GOOGLEFINANCE(B640,""price"",TODAY()-365,TODAY()),1,0),""select Col2 limit 200""))"),829.4524999999993)</f>
        <v>829.4525</v>
      </c>
      <c r="O640" s="20" t="str">
        <f t="shared" si="2"/>
        <v>Avoid</v>
      </c>
      <c r="P640" s="21" t="str">
        <f t="shared" si="3"/>
        <v>30 DMA</v>
      </c>
      <c r="Q640" s="21" t="str">
        <f t="shared" si="4"/>
        <v/>
      </c>
      <c r="R640" s="22">
        <f>IFERROR(__xludf.DUMMYFUNCTION("GOOGLEFINANCE(B640, ""pe"")
"),133.4)</f>
        <v>133.4</v>
      </c>
    </row>
    <row r="641">
      <c r="A641" s="9" t="s">
        <v>653</v>
      </c>
      <c r="B641" s="11" t="str">
        <f t="shared" si="1"/>
        <v>NSE:MAHSEAMLES</v>
      </c>
      <c r="C641" s="12">
        <f>IFERROR(__xludf.DUMMYFUNCTION("GOOGLEFINANCE(B641,""marketcap"")/10000000"),9294.8548351)</f>
        <v>9294.854835</v>
      </c>
      <c r="D641" s="13">
        <f>IFERROR(__xludf.DUMMYFUNCTION("GOOGLEFINANCE(B641,""price"")"),693.35)</f>
        <v>693.35</v>
      </c>
      <c r="E641" s="14">
        <f>IFERROR(__xludf.DUMMYFUNCTION("GOOGLEFINANCE(B641,""Volume"")"),85402.0)</f>
        <v>85402</v>
      </c>
      <c r="F641" s="14">
        <f t="array" ref="F641">F640</f>
        <v>14</v>
      </c>
      <c r="G641" s="15" t="str">
        <f>IFERROR(__xludf.DUMMYFUNCTION("IF(E641&gt;AVERAGE(INDEX(GOOGLEFINANCE(B641,""volume"",WORKDAY(TODAY(),-$F$1),TODAY()),,2)),""Breakout"","""")"),"")</f>
        <v/>
      </c>
      <c r="H641" s="16">
        <f>IFERROR(__xludf.DUMMYFUNCTION("GOOGLEFINANCE(B641,""price"")"),693.35)</f>
        <v>693.35</v>
      </c>
      <c r="I641" s="17">
        <f>IFERROR(__xludf.DUMMYFUNCTION("AVERAGE(QUERY(SORT(GOOGLEFINANCE(B641,""price"",TODAY()-365,TODAY()),1,0),""select Col2 limit 10""))"),715.595)</f>
        <v>715.595</v>
      </c>
      <c r="J641" s="17">
        <f>IFERROR(__xludf.DUMMYFUNCTION("AVERAGE(QUERY(SORT(GOOGLEFINANCE(B641,""price"",TODAY()-365,TODAY()),1,0),""select Col2 limit 30""))"),717.0216666666666)</f>
        <v>717.0216667</v>
      </c>
      <c r="K641" s="18">
        <f>IFERROR(__xludf.DUMMYFUNCTION("AVERAGE(QUERY(SORT(GOOGLEFINANCE(B641,""price"",TODAY()-365,TODAY()),1,0),""select Col2 limit 60""))"),699.7016666666663)</f>
        <v>699.7016667</v>
      </c>
      <c r="L641" s="17">
        <f>IFERROR(__xludf.DUMMYFUNCTION("AVERAGE(QUERY(SORT(GOOGLEFINANCE(B641,""price"",TODAY()-365,TODAY()),1,0),""select Col2 limit 90""))"),695.9588888888886)</f>
        <v>695.9588889</v>
      </c>
      <c r="M641" s="17">
        <f>IFERROR(__xludf.DUMMYFUNCTION("AVERAGE(QUERY(SORT(GOOGLEFINANCE(B641,""price"",TODAY()-365,TODAY()),1,0),""select Col2 limit 120""))"),679.5008333333332)</f>
        <v>679.5008333</v>
      </c>
      <c r="N641" s="19">
        <f>IFERROR(__xludf.DUMMYFUNCTION("AVERAGE(QUERY(SORT(GOOGLEFINANCE(B641,""price"",TODAY()-365,TODAY()),1,0),""select Col2 limit 200""))"),671.7510000000003)</f>
        <v>671.751</v>
      </c>
      <c r="O641" s="20" t="str">
        <f t="shared" si="2"/>
        <v>Avoid</v>
      </c>
      <c r="P641" s="21" t="str">
        <f t="shared" si="3"/>
        <v>60 DMA</v>
      </c>
      <c r="Q641" s="21" t="str">
        <f t="shared" si="4"/>
        <v/>
      </c>
      <c r="R641" s="22">
        <f>IFERROR(__xludf.DUMMYFUNCTION("GOOGLEFINANCE(B641, ""pe"")
"),11.96)</f>
        <v>11.96</v>
      </c>
    </row>
    <row r="642">
      <c r="A642" s="9" t="s">
        <v>654</v>
      </c>
      <c r="B642" s="11" t="str">
        <f t="shared" si="1"/>
        <v>NSE:SHOPERSTOP</v>
      </c>
      <c r="C642" s="12">
        <f>IFERROR(__xludf.DUMMYFUNCTION("GOOGLEFINANCE(B642,""marketcap"")/10000000"),5792.446886)</f>
        <v>5792.446886</v>
      </c>
      <c r="D642" s="13">
        <f>IFERROR(__xludf.DUMMYFUNCTION("GOOGLEFINANCE(B642,""price"")"),526.15)</f>
        <v>526.15</v>
      </c>
      <c r="E642" s="14">
        <f>IFERROR(__xludf.DUMMYFUNCTION("GOOGLEFINANCE(B642,""Volume"")"),30299.0)</f>
        <v>30299</v>
      </c>
      <c r="F642" s="14">
        <f t="array" ref="F642">F641</f>
        <v>14</v>
      </c>
      <c r="G642" s="15" t="str">
        <f>IFERROR(__xludf.DUMMYFUNCTION("IF(E642&gt;AVERAGE(INDEX(GOOGLEFINANCE(B642,""volume"",WORKDAY(TODAY(),-$F$1),TODAY()),,2)),""Breakout"","""")"),"")</f>
        <v/>
      </c>
      <c r="H642" s="16">
        <f>IFERROR(__xludf.DUMMYFUNCTION("GOOGLEFINANCE(B642,""price"")"),526.15)</f>
        <v>526.15</v>
      </c>
      <c r="I642" s="17">
        <f>IFERROR(__xludf.DUMMYFUNCTION("AVERAGE(QUERY(SORT(GOOGLEFINANCE(B642,""price"",TODAY()-365,TODAY()),1,0),""select Col2 limit 10""))"),548.26)</f>
        <v>548.26</v>
      </c>
      <c r="J642" s="17">
        <f>IFERROR(__xludf.DUMMYFUNCTION("AVERAGE(QUERY(SORT(GOOGLEFINANCE(B642,""price"",TODAY()-365,TODAY()),1,0),""select Col2 limit 30""))"),517.2533333333332)</f>
        <v>517.2533333</v>
      </c>
      <c r="K642" s="18">
        <f>IFERROR(__xludf.DUMMYFUNCTION("AVERAGE(QUERY(SORT(GOOGLEFINANCE(B642,""price"",TODAY()-365,TODAY()),1,0),""select Col2 limit 60""))"),512.935)</f>
        <v>512.935</v>
      </c>
      <c r="L642" s="17">
        <f>IFERROR(__xludf.DUMMYFUNCTION("AVERAGE(QUERY(SORT(GOOGLEFINANCE(B642,""price"",TODAY()-365,TODAY()),1,0),""select Col2 limit 90""))"),516.1716666666665)</f>
        <v>516.1716667</v>
      </c>
      <c r="M642" s="17">
        <f>IFERROR(__xludf.DUMMYFUNCTION("AVERAGE(QUERY(SORT(GOOGLEFINANCE(B642,""price"",TODAY()-365,TODAY()),1,0),""select Col2 limit 120""))"),523.287083333333)</f>
        <v>523.2870833</v>
      </c>
      <c r="N642" s="19">
        <f>IFERROR(__xludf.DUMMYFUNCTION("AVERAGE(QUERY(SORT(GOOGLEFINANCE(B642,""price"",TODAY()-365,TODAY()),1,0),""select Col2 limit 200""))"),573.2014999999999)</f>
        <v>573.2015</v>
      </c>
      <c r="O642" s="20" t="str">
        <f t="shared" si="2"/>
        <v>Avoid</v>
      </c>
      <c r="P642" s="21" t="str">
        <f t="shared" si="3"/>
        <v/>
      </c>
      <c r="Q642" s="21" t="str">
        <f t="shared" si="4"/>
        <v/>
      </c>
      <c r="R642" s="22">
        <f>IFERROR(__xludf.DUMMYFUNCTION("GOOGLEFINANCE(B642, ""pe"")
"),329.77)</f>
        <v>329.77</v>
      </c>
    </row>
    <row r="643">
      <c r="A643" s="9" t="s">
        <v>655</v>
      </c>
      <c r="B643" s="11" t="str">
        <f t="shared" si="1"/>
        <v>NSE:ASTRAMICRO</v>
      </c>
      <c r="C643" s="12">
        <f>IFERROR(__xludf.DUMMYFUNCTION("GOOGLEFINANCE(B643,""marketcap"")/10000000"),9077.6921743)</f>
        <v>9077.692174</v>
      </c>
      <c r="D643" s="13">
        <f>IFERROR(__xludf.DUMMYFUNCTION("GOOGLEFINANCE(B643,""price"")"),956.5)</f>
        <v>956.5</v>
      </c>
      <c r="E643" s="14">
        <f>IFERROR(__xludf.DUMMYFUNCTION("GOOGLEFINANCE(B643,""Volume"")"),162352.0)</f>
        <v>162352</v>
      </c>
      <c r="F643" s="14">
        <f t="array" ref="F643">F642</f>
        <v>14</v>
      </c>
      <c r="G643" s="15" t="str">
        <f>IFERROR(__xludf.DUMMYFUNCTION("IF(E643&gt;AVERAGE(INDEX(GOOGLEFINANCE(B643,""volume"",WORKDAY(TODAY(),-$F$1),TODAY()),,2)),""Breakout"","""")"),"")</f>
        <v/>
      </c>
      <c r="H643" s="16">
        <f>IFERROR(__xludf.DUMMYFUNCTION("GOOGLEFINANCE(B643,""price"")"),956.5)</f>
        <v>956.5</v>
      </c>
      <c r="I643" s="17" t="str">
        <f>IFERROR(__xludf.DUMMYFUNCTION("AVERAGE(QUERY(SORT(GOOGLEFINANCE(B643,""price"",TODAY()-365,TODAY()),1,0),""select Col2 limit 10""))"),"#N/A")</f>
        <v>#N/A</v>
      </c>
      <c r="J643" s="17" t="str">
        <f>IFERROR(__xludf.DUMMYFUNCTION("AVERAGE(QUERY(SORT(GOOGLEFINANCE(B643,""price"",TODAY()-365,TODAY()),1,0),""select Col2 limit 30""))"),"#N/A")</f>
        <v>#N/A</v>
      </c>
      <c r="K643" s="18" t="str">
        <f>IFERROR(__xludf.DUMMYFUNCTION("AVERAGE(QUERY(SORT(GOOGLEFINANCE(B643,""price"",TODAY()-365,TODAY()),1,0),""select Col2 limit 60""))"),"#N/A")</f>
        <v>#N/A</v>
      </c>
      <c r="L643" s="17" t="str">
        <f>IFERROR(__xludf.DUMMYFUNCTION("AVERAGE(QUERY(SORT(GOOGLEFINANCE(B643,""price"",TODAY()-365,TODAY()),1,0),""select Col2 limit 90""))"),"#N/A")</f>
        <v>#N/A</v>
      </c>
      <c r="M643" s="17" t="str">
        <f>IFERROR(__xludf.DUMMYFUNCTION("AVERAGE(QUERY(SORT(GOOGLEFINANCE(B643,""price"",TODAY()-365,TODAY()),1,0),""select Col2 limit 120""))"),"#N/A")</f>
        <v>#N/A</v>
      </c>
      <c r="N643" s="19" t="str">
        <f>IFERROR(__xludf.DUMMYFUNCTION("AVERAGE(QUERY(SORT(GOOGLEFINANCE(B643,""price"",TODAY()-365,TODAY()),1,0),""select Col2 limit 200""))"),"#N/A")</f>
        <v>#N/A</v>
      </c>
      <c r="O643" s="20" t="str">
        <f t="shared" si="2"/>
        <v>#N/A</v>
      </c>
      <c r="P643" s="21" t="str">
        <f t="shared" si="3"/>
        <v>#N/A</v>
      </c>
      <c r="Q643" s="21" t="str">
        <f t="shared" si="4"/>
        <v>#N/A</v>
      </c>
      <c r="R643" s="22">
        <f>IFERROR(__xludf.DUMMYFUNCTION("GOOGLEFINANCE(B643, ""pe"")
"),59.13)</f>
        <v>59.13</v>
      </c>
    </row>
    <row r="644">
      <c r="A644" s="9" t="s">
        <v>656</v>
      </c>
      <c r="B644" s="11" t="str">
        <f t="shared" si="1"/>
        <v>NSE:KTKBANK</v>
      </c>
      <c r="C644" s="12">
        <f>IFERROR(__xludf.DUMMYFUNCTION("GOOGLEFINANCE(B644,""marketcap"")/10000000"),7048.9570465)</f>
        <v>7048.957047</v>
      </c>
      <c r="D644" s="13">
        <f>IFERROR(__xludf.DUMMYFUNCTION("GOOGLEFINANCE(B644,""price"")"),186.37)</f>
        <v>186.37</v>
      </c>
      <c r="E644" s="14">
        <f>IFERROR(__xludf.DUMMYFUNCTION("GOOGLEFINANCE(B644,""Volume"")"),399033.0)</f>
        <v>399033</v>
      </c>
      <c r="F644" s="14">
        <f t="array" ref="F644">F643</f>
        <v>14</v>
      </c>
      <c r="G644" s="15" t="str">
        <f>IFERROR(__xludf.DUMMYFUNCTION("IF(E644&gt;AVERAGE(INDEX(GOOGLEFINANCE(B644,""volume"",WORKDAY(TODAY(),-$F$1),TODAY()),,2)),""Breakout"","""")"),"")</f>
        <v/>
      </c>
      <c r="H644" s="16">
        <f>IFERROR(__xludf.DUMMYFUNCTION("GOOGLEFINANCE(B644,""price"")"),186.37)</f>
        <v>186.37</v>
      </c>
      <c r="I644" s="17">
        <f>IFERROR(__xludf.DUMMYFUNCTION("AVERAGE(QUERY(SORT(GOOGLEFINANCE(B644,""price"",TODAY()-365,TODAY()),1,0),""select Col2 limit 10""))"),191.2)</f>
        <v>191.2</v>
      </c>
      <c r="J644" s="17">
        <f>IFERROR(__xludf.DUMMYFUNCTION("AVERAGE(QUERY(SORT(GOOGLEFINANCE(B644,""price"",TODAY()-365,TODAY()),1,0),""select Col2 limit 30""))"),196.50300000000004)</f>
        <v>196.503</v>
      </c>
      <c r="K644" s="18">
        <f>IFERROR(__xludf.DUMMYFUNCTION("AVERAGE(QUERY(SORT(GOOGLEFINANCE(B644,""price"",TODAY()-365,TODAY()),1,0),""select Col2 limit 60""))"),197.4773333333334)</f>
        <v>197.4773333</v>
      </c>
      <c r="L644" s="17">
        <f>IFERROR(__xludf.DUMMYFUNCTION("AVERAGE(QUERY(SORT(GOOGLEFINANCE(B644,""price"",TODAY()-365,TODAY()),1,0),""select Col2 limit 90""))"),193.7634444444445)</f>
        <v>193.7634444</v>
      </c>
      <c r="M644" s="17">
        <f>IFERROR(__xludf.DUMMYFUNCTION("AVERAGE(QUERY(SORT(GOOGLEFINANCE(B644,""price"",TODAY()-365,TODAY()),1,0),""select Col2 limit 120""))"),189.19208333333341)</f>
        <v>189.1920833</v>
      </c>
      <c r="N644" s="19">
        <f>IFERROR(__xludf.DUMMYFUNCTION("AVERAGE(QUERY(SORT(GOOGLEFINANCE(B644,""price"",TODAY()-365,TODAY()),1,0),""select Col2 limit 200""))"),197.51825)</f>
        <v>197.51825</v>
      </c>
      <c r="O644" s="20" t="str">
        <f t="shared" si="2"/>
        <v>Avoid</v>
      </c>
      <c r="P644" s="21" t="str">
        <f t="shared" si="3"/>
        <v/>
      </c>
      <c r="Q644" s="21" t="str">
        <f t="shared" si="4"/>
        <v/>
      </c>
      <c r="R644" s="22">
        <f>IFERROR(__xludf.DUMMYFUNCTION("GOOGLEFINANCE(B644, ""pe"")
"),5.55)</f>
        <v>5.55</v>
      </c>
    </row>
    <row r="645">
      <c r="A645" s="9" t="s">
        <v>657</v>
      </c>
      <c r="B645" s="11" t="str">
        <f t="shared" si="1"/>
        <v>NSE:CMSINFO</v>
      </c>
      <c r="C645" s="12">
        <f>IFERROR(__xludf.DUMMYFUNCTION("GOOGLEFINANCE(B645,""marketcap"")/10000000"),7837.114625)</f>
        <v>7837.114625</v>
      </c>
      <c r="D645" s="13">
        <f>IFERROR(__xludf.DUMMYFUNCTION("GOOGLEFINANCE(B645,""price"")"),477.65)</f>
        <v>477.65</v>
      </c>
      <c r="E645" s="14">
        <f>IFERROR(__xludf.DUMMYFUNCTION("GOOGLEFINANCE(B645,""Volume"")"),122625.0)</f>
        <v>122625</v>
      </c>
      <c r="F645" s="14">
        <f t="array" ref="F645">F644</f>
        <v>14</v>
      </c>
      <c r="G645" s="15" t="str">
        <f>IFERROR(__xludf.DUMMYFUNCTION("IF(E645&gt;AVERAGE(INDEX(GOOGLEFINANCE(B645,""volume"",WORKDAY(TODAY(),-$F$1),TODAY()),,2)),""Breakout"","""")"),"")</f>
        <v/>
      </c>
      <c r="H645" s="16">
        <f>IFERROR(__xludf.DUMMYFUNCTION("GOOGLEFINANCE(B645,""price"")"),477.65)</f>
        <v>477.65</v>
      </c>
      <c r="I645" s="17">
        <f>IFERROR(__xludf.DUMMYFUNCTION("AVERAGE(QUERY(SORT(GOOGLEFINANCE(B645,""price"",TODAY()-365,TODAY()),1,0),""select Col2 limit 10""))"),517.46)</f>
        <v>517.46</v>
      </c>
      <c r="J645" s="17">
        <f>IFERROR(__xludf.DUMMYFUNCTION("AVERAGE(QUERY(SORT(GOOGLEFINANCE(B645,""price"",TODAY()-365,TODAY()),1,0),""select Col2 limit 30""))"),505.44)</f>
        <v>505.44</v>
      </c>
      <c r="K645" s="18">
        <f>IFERROR(__xludf.DUMMYFUNCTION("AVERAGE(QUERY(SORT(GOOGLEFINANCE(B645,""price"",TODAY()-365,TODAY()),1,0),""select Col2 limit 60""))"),491.1283333333333)</f>
        <v>491.1283333</v>
      </c>
      <c r="L645" s="17">
        <f>IFERROR(__xludf.DUMMYFUNCTION("AVERAGE(QUERY(SORT(GOOGLEFINANCE(B645,""price"",TODAY()-365,TODAY()),1,0),""select Col2 limit 90""))"),481.7772222222222)</f>
        <v>481.7772222</v>
      </c>
      <c r="M645" s="17">
        <f>IFERROR(__xludf.DUMMYFUNCTION("AVERAGE(QUERY(SORT(GOOGLEFINANCE(B645,""price"",TODAY()-365,TODAY()),1,0),""select Col2 limit 120""))"),472.6625)</f>
        <v>472.6625</v>
      </c>
      <c r="N645" s="19">
        <f>IFERROR(__xludf.DUMMYFUNCTION("AVERAGE(QUERY(SORT(GOOGLEFINANCE(B645,""price"",TODAY()-365,TODAY()),1,0),""select Col2 limit 200""))"),487.20000000000005)</f>
        <v>487.2</v>
      </c>
      <c r="O645" s="20" t="str">
        <f t="shared" si="2"/>
        <v>Avoid</v>
      </c>
      <c r="P645" s="21" t="str">
        <f t="shared" si="3"/>
        <v>90 DMA</v>
      </c>
      <c r="Q645" s="21" t="str">
        <f t="shared" si="4"/>
        <v/>
      </c>
      <c r="R645" s="22">
        <f>IFERROR(__xludf.DUMMYFUNCTION("GOOGLEFINANCE(B645, ""pe"")
"),21.34)</f>
        <v>21.34</v>
      </c>
    </row>
    <row r="646">
      <c r="A646" s="9" t="s">
        <v>658</v>
      </c>
      <c r="B646" s="11" t="str">
        <f t="shared" si="1"/>
        <v>NSE:ABDL</v>
      </c>
      <c r="C646" s="12">
        <f>IFERROR(__xludf.DUMMYFUNCTION("GOOGLEFINANCE(B646,""marketcap"")/10000000"),13228.8847914)</f>
        <v>13228.88479</v>
      </c>
      <c r="D646" s="13">
        <f>IFERROR(__xludf.DUMMYFUNCTION("GOOGLEFINANCE(B646,""price"")"),472.9)</f>
        <v>472.9</v>
      </c>
      <c r="E646" s="14">
        <f>IFERROR(__xludf.DUMMYFUNCTION("GOOGLEFINANCE(B646,""Volume"")"),323782.0)</f>
        <v>323782</v>
      </c>
      <c r="F646" s="14">
        <f t="array" ref="F646">F645</f>
        <v>14</v>
      </c>
      <c r="G646" s="15" t="str">
        <f>IFERROR(__xludf.DUMMYFUNCTION("IF(E646&gt;AVERAGE(INDEX(GOOGLEFINANCE(B646,""volume"",WORKDAY(TODAY(),-$F$1),TODAY()),,2)),""Breakout"","""")"),"#N/A")</f>
        <v>#N/A</v>
      </c>
      <c r="H646" s="16">
        <f>IFERROR(__xludf.DUMMYFUNCTION("GOOGLEFINANCE(B646,""price"")"),472.9)</f>
        <v>472.9</v>
      </c>
      <c r="I646" s="17">
        <f>IFERROR(__xludf.DUMMYFUNCTION("AVERAGE(QUERY(SORT(GOOGLEFINANCE(B646,""price"",TODAY()-365,TODAY()),1,0),""select Col2 limit 10""))"),480.45500000000004)</f>
        <v>480.455</v>
      </c>
      <c r="J646" s="17">
        <f>IFERROR(__xludf.DUMMYFUNCTION("AVERAGE(QUERY(SORT(GOOGLEFINANCE(B646,""price"",TODAY()-365,TODAY()),1,0),""select Col2 limit 30""))"),447.9933333333334)</f>
        <v>447.9933333</v>
      </c>
      <c r="K646" s="18">
        <f>IFERROR(__xludf.DUMMYFUNCTION("AVERAGE(QUERY(SORT(GOOGLEFINANCE(B646,""price"",TODAY()-365,TODAY()),1,0),""select Col2 limit 60""))"),418.6599999999999)</f>
        <v>418.66</v>
      </c>
      <c r="L646" s="17">
        <f>IFERROR(__xludf.DUMMYFUNCTION("AVERAGE(QUERY(SORT(GOOGLEFINANCE(B646,""price"",TODAY()-365,TODAY()),1,0),""select Col2 limit 90""))"),384.591111111111)</f>
        <v>384.5911111</v>
      </c>
      <c r="M646" s="17">
        <f>IFERROR(__xludf.DUMMYFUNCTION("AVERAGE(QUERY(SORT(GOOGLEFINANCE(B646,""price"",TODAY()-365,TODAY()),1,0),""select Col2 limit 120""))"),375.4733333333334)</f>
        <v>375.4733333</v>
      </c>
      <c r="N646" s="19">
        <f>IFERROR(__xludf.DUMMYFUNCTION("AVERAGE(QUERY(SORT(GOOGLEFINANCE(B646,""price"",TODAY()-365,TODAY()),1,0),""select Col2 limit 200""))"),369.66024999999996)</f>
        <v>369.66025</v>
      </c>
      <c r="O646" s="20" t="str">
        <f t="shared" si="2"/>
        <v>Avoid</v>
      </c>
      <c r="P646" s="21" t="str">
        <f t="shared" si="3"/>
        <v/>
      </c>
      <c r="Q646" s="21" t="str">
        <f t="shared" si="4"/>
        <v/>
      </c>
      <c r="R646" s="22">
        <f>IFERROR(__xludf.DUMMYFUNCTION("GOOGLEFINANCE(B646, ""pe"")
"),65.67)</f>
        <v>65.67</v>
      </c>
    </row>
    <row r="647">
      <c r="A647" s="9" t="s">
        <v>659</v>
      </c>
      <c r="B647" s="11" t="str">
        <f t="shared" si="1"/>
        <v>NSE:ACI</v>
      </c>
      <c r="C647" s="12">
        <f>IFERROR(__xludf.DUMMYFUNCTION("GOOGLEFINANCE(B647,""marketcap"")/10000000"),8209.7871153)</f>
        <v>8209.787115</v>
      </c>
      <c r="D647" s="13">
        <f>IFERROR(__xludf.DUMMYFUNCTION("GOOGLEFINANCE(B647,""price"")"),667.85)</f>
        <v>667.85</v>
      </c>
      <c r="E647" s="14">
        <f>IFERROR(__xludf.DUMMYFUNCTION("GOOGLEFINANCE(B647,""Volume"")"),61924.0)</f>
        <v>61924</v>
      </c>
      <c r="F647" s="14">
        <f t="array" ref="F647">F646</f>
        <v>14</v>
      </c>
      <c r="G647" s="15" t="str">
        <f>IFERROR(__xludf.DUMMYFUNCTION("IF(E647&gt;AVERAGE(INDEX(GOOGLEFINANCE(B647,""volume"",WORKDAY(TODAY(),-$F$1),TODAY()),,2)),""Breakout"","""")"),"")</f>
        <v/>
      </c>
      <c r="H647" s="16">
        <f>IFERROR(__xludf.DUMMYFUNCTION("GOOGLEFINANCE(B647,""price"")"),667.85)</f>
        <v>667.85</v>
      </c>
      <c r="I647" s="17">
        <f>IFERROR(__xludf.DUMMYFUNCTION("AVERAGE(QUERY(SORT(GOOGLEFINANCE(B647,""price"",TODAY()-365,TODAY()),1,0),""select Col2 limit 10""))"),691.7950000000001)</f>
        <v>691.795</v>
      </c>
      <c r="J647" s="17">
        <f>IFERROR(__xludf.DUMMYFUNCTION("AVERAGE(QUERY(SORT(GOOGLEFINANCE(B647,""price"",TODAY()-365,TODAY()),1,0),""select Col2 limit 30""))"),653.6033333333334)</f>
        <v>653.6033333</v>
      </c>
      <c r="K647" s="18">
        <f>IFERROR(__xludf.DUMMYFUNCTION("AVERAGE(QUERY(SORT(GOOGLEFINANCE(B647,""price"",TODAY()-365,TODAY()),1,0),""select Col2 limit 60""))"),636.0141666666664)</f>
        <v>636.0141667</v>
      </c>
      <c r="L647" s="17">
        <f>IFERROR(__xludf.DUMMYFUNCTION("AVERAGE(QUERY(SORT(GOOGLEFINANCE(B647,""price"",TODAY()-365,TODAY()),1,0),""select Col2 limit 90""))"),617.5144444444444)</f>
        <v>617.5144444</v>
      </c>
      <c r="M647" s="17">
        <f>IFERROR(__xludf.DUMMYFUNCTION("AVERAGE(QUERY(SORT(GOOGLEFINANCE(B647,""price"",TODAY()-365,TODAY()),1,0),""select Col2 limit 120""))"),591.82375)</f>
        <v>591.82375</v>
      </c>
      <c r="N647" s="19">
        <f>IFERROR(__xludf.DUMMYFUNCTION("AVERAGE(QUERY(SORT(GOOGLEFINANCE(B647,""price"",TODAY()-365,TODAY()),1,0),""select Col2 limit 200""))"),617.3035000000001)</f>
        <v>617.3035</v>
      </c>
      <c r="O647" s="20" t="str">
        <f t="shared" si="2"/>
        <v>Avoid</v>
      </c>
      <c r="P647" s="21" t="str">
        <f t="shared" si="3"/>
        <v/>
      </c>
      <c r="Q647" s="21" t="str">
        <f t="shared" si="4"/>
        <v/>
      </c>
      <c r="R647" s="22">
        <f>IFERROR(__xludf.DUMMYFUNCTION("GOOGLEFINANCE(B647, ""pe"")
"),50.79)</f>
        <v>50.79</v>
      </c>
    </row>
    <row r="648">
      <c r="A648" s="9" t="s">
        <v>660</v>
      </c>
      <c r="B648" s="11" t="str">
        <f t="shared" si="1"/>
        <v>NSE:SHRIPISTON</v>
      </c>
      <c r="C648" s="12">
        <f>IFERROR(__xludf.DUMMYFUNCTION("GOOGLEFINANCE(B648,""marketcap"")/10000000"),10598.8324325)</f>
        <v>10598.83243</v>
      </c>
      <c r="D648" s="13">
        <f>IFERROR(__xludf.DUMMYFUNCTION("GOOGLEFINANCE(B648,""price"")"),2402.1)</f>
        <v>2402.1</v>
      </c>
      <c r="E648" s="14">
        <f>IFERROR(__xludf.DUMMYFUNCTION("GOOGLEFINANCE(B648,""Volume"")"),23861.0)</f>
        <v>23861</v>
      </c>
      <c r="F648" s="14">
        <f t="array" ref="F648">F647</f>
        <v>14</v>
      </c>
      <c r="G648" s="15" t="str">
        <f>IFERROR(__xludf.DUMMYFUNCTION("IF(E648&gt;AVERAGE(INDEX(GOOGLEFINANCE(B648,""volume"",WORKDAY(TODAY(),-$F$1),TODAY()),,2)),""Breakout"","""")"),"")</f>
        <v/>
      </c>
      <c r="H648" s="16">
        <f>IFERROR(__xludf.DUMMYFUNCTION("GOOGLEFINANCE(B648,""price"")"),2402.1)</f>
        <v>2402.1</v>
      </c>
      <c r="I648" s="17">
        <f>IFERROR(__xludf.DUMMYFUNCTION("AVERAGE(QUERY(SORT(GOOGLEFINANCE(B648,""price"",TODAY()-365,TODAY()),1,0),""select Col2 limit 10""))"),2414.78)</f>
        <v>2414.78</v>
      </c>
      <c r="J648" s="17">
        <f>IFERROR(__xludf.DUMMYFUNCTION("AVERAGE(QUERY(SORT(GOOGLEFINANCE(B648,""price"",TODAY()-365,TODAY()),1,0),""select Col2 limit 30""))"),2429.71)</f>
        <v>2429.71</v>
      </c>
      <c r="K648" s="18">
        <f>IFERROR(__xludf.DUMMYFUNCTION("AVERAGE(QUERY(SORT(GOOGLEFINANCE(B648,""price"",TODAY()-365,TODAY()),1,0),""select Col2 limit 60""))"),2389.118333333334)</f>
        <v>2389.118333</v>
      </c>
      <c r="L648" s="17">
        <f>IFERROR(__xludf.DUMMYFUNCTION("AVERAGE(QUERY(SORT(GOOGLEFINANCE(B648,""price"",TODAY()-365,TODAY()),1,0),""select Col2 limit 90""))"),2207.1516666666666)</f>
        <v>2207.151667</v>
      </c>
      <c r="M648" s="17">
        <f>IFERROR(__xludf.DUMMYFUNCTION("AVERAGE(QUERY(SORT(GOOGLEFINANCE(B648,""price"",TODAY()-365,TODAY()),1,0),""select Col2 limit 120""))"),2135.9299999999994)</f>
        <v>2135.93</v>
      </c>
      <c r="N648" s="19">
        <f>IFERROR(__xludf.DUMMYFUNCTION("AVERAGE(QUERY(SORT(GOOGLEFINANCE(B648,""price"",TODAY()-365,TODAY()),1,0),""select Col2 limit 200""))"),2110.3759999999993)</f>
        <v>2110.376</v>
      </c>
      <c r="O648" s="20" t="str">
        <f t="shared" si="2"/>
        <v>Avoid</v>
      </c>
      <c r="P648" s="21" t="str">
        <f t="shared" si="3"/>
        <v>10 DMA</v>
      </c>
      <c r="Q648" s="21" t="str">
        <f t="shared" si="4"/>
        <v/>
      </c>
      <c r="R648" s="22">
        <f>IFERROR(__xludf.DUMMYFUNCTION("GOOGLEFINANCE(B648, ""pe"")
"),20.95)</f>
        <v>20.95</v>
      </c>
    </row>
    <row r="649">
      <c r="A649" s="9" t="s">
        <v>661</v>
      </c>
      <c r="B649" s="11" t="str">
        <f t="shared" si="1"/>
        <v>NSE:PGHL</v>
      </c>
      <c r="C649" s="12">
        <f>IFERROR(__xludf.DUMMYFUNCTION("GOOGLEFINANCE(B649,""marketcap"")/10000000"),9756.285595)</f>
        <v>9756.285595</v>
      </c>
      <c r="D649" s="13">
        <f>IFERROR(__xludf.DUMMYFUNCTION("GOOGLEFINANCE(B649,""price"")"),5875.5)</f>
        <v>5875.5</v>
      </c>
      <c r="E649" s="14">
        <f>IFERROR(__xludf.DUMMYFUNCTION("GOOGLEFINANCE(B649,""Volume"")"),4877.0)</f>
        <v>4877</v>
      </c>
      <c r="F649" s="14">
        <f t="array" ref="F649">F648</f>
        <v>14</v>
      </c>
      <c r="G649" s="15" t="str">
        <f>IFERROR(__xludf.DUMMYFUNCTION("IF(E649&gt;AVERAGE(INDEX(GOOGLEFINANCE(B649,""volume"",WORKDAY(TODAY(),-$F$1),TODAY()),,2)),""Breakout"","""")"),"")</f>
        <v/>
      </c>
      <c r="H649" s="16">
        <f>IFERROR(__xludf.DUMMYFUNCTION("GOOGLEFINANCE(B649,""price"")"),5875.5)</f>
        <v>5875.5</v>
      </c>
      <c r="I649" s="17">
        <f>IFERROR(__xludf.DUMMYFUNCTION("AVERAGE(QUERY(SORT(GOOGLEFINANCE(B649,""price"",TODAY()-365,TODAY()),1,0),""select Col2 limit 10""))"),5857.65)</f>
        <v>5857.65</v>
      </c>
      <c r="J649" s="17">
        <f>IFERROR(__xludf.DUMMYFUNCTION("AVERAGE(QUERY(SORT(GOOGLEFINANCE(B649,""price"",TODAY()-365,TODAY()),1,0),""select Col2 limit 30""))"),5847.516666666666)</f>
        <v>5847.516667</v>
      </c>
      <c r="K649" s="18">
        <f>IFERROR(__xludf.DUMMYFUNCTION("AVERAGE(QUERY(SORT(GOOGLEFINANCE(B649,""price"",TODAY()-365,TODAY()),1,0),""select Col2 limit 60""))"),5643.783333333334)</f>
        <v>5643.783333</v>
      </c>
      <c r="L649" s="17">
        <f>IFERROR(__xludf.DUMMYFUNCTION("AVERAGE(QUERY(SORT(GOOGLEFINANCE(B649,""price"",TODAY()-365,TODAY()),1,0),""select Col2 limit 90""))"),5499.038333333333)</f>
        <v>5499.038333</v>
      </c>
      <c r="M649" s="17">
        <f>IFERROR(__xludf.DUMMYFUNCTION("AVERAGE(QUERY(SORT(GOOGLEFINANCE(B649,""price"",TODAY()-365,TODAY()),1,0),""select Col2 limit 120""))"),5443.204166666666)</f>
        <v>5443.204167</v>
      </c>
      <c r="N649" s="19">
        <f>IFERROR(__xludf.DUMMYFUNCTION("AVERAGE(QUERY(SORT(GOOGLEFINANCE(B649,""price"",TODAY()-365,TODAY()),1,0),""select Col2 limit 200""))"),5390.635)</f>
        <v>5390.635</v>
      </c>
      <c r="O649" s="20" t="str">
        <f t="shared" si="2"/>
        <v>Avoid</v>
      </c>
      <c r="P649" s="21" t="str">
        <f t="shared" si="3"/>
        <v/>
      </c>
      <c r="Q649" s="21" t="str">
        <f t="shared" si="4"/>
        <v/>
      </c>
      <c r="R649" s="22">
        <f>IFERROR(__xludf.DUMMYFUNCTION("GOOGLEFINANCE(B649, ""pe"")
"),38.83)</f>
        <v>38.83</v>
      </c>
    </row>
    <row r="650">
      <c r="A650" s="9" t="s">
        <v>662</v>
      </c>
      <c r="B650" s="11" t="str">
        <f t="shared" si="1"/>
        <v>NSE:PRUDENT</v>
      </c>
      <c r="C650" s="12">
        <f>IFERROR(__xludf.DUMMYFUNCTION("GOOGLEFINANCE(B650,""marketcap"")/10000000"),12066.7315692)</f>
        <v>12066.73157</v>
      </c>
      <c r="D650" s="13">
        <f>IFERROR(__xludf.DUMMYFUNCTION("GOOGLEFINANCE(B650,""price"")"),2929.7)</f>
        <v>2929.7</v>
      </c>
      <c r="E650" s="14">
        <f>IFERROR(__xludf.DUMMYFUNCTION("GOOGLEFINANCE(B650,""Volume"")"),11384.0)</f>
        <v>11384</v>
      </c>
      <c r="F650" s="14">
        <f t="array" ref="F650">F649</f>
        <v>14</v>
      </c>
      <c r="G650" s="15" t="str">
        <f>IFERROR(__xludf.DUMMYFUNCTION("IF(E650&gt;AVERAGE(INDEX(GOOGLEFINANCE(B650,""volume"",WORKDAY(TODAY(),-$F$1),TODAY()),,2)),""Breakout"","""")"),"")</f>
        <v/>
      </c>
      <c r="H650" s="16">
        <f>IFERROR(__xludf.DUMMYFUNCTION("GOOGLEFINANCE(B650,""price"")"),2929.7)</f>
        <v>2929.7</v>
      </c>
      <c r="I650" s="17">
        <f>IFERROR(__xludf.DUMMYFUNCTION("AVERAGE(QUERY(SORT(GOOGLEFINANCE(B650,""price"",TODAY()-365,TODAY()),1,0),""select Col2 limit 10""))"),2897.4700000000003)</f>
        <v>2897.47</v>
      </c>
      <c r="J650" s="17">
        <f>IFERROR(__xludf.DUMMYFUNCTION("AVERAGE(QUERY(SORT(GOOGLEFINANCE(B650,""price"",TODAY()-365,TODAY()),1,0),""select Col2 limit 30""))"),2764.4066666666668)</f>
        <v>2764.406667</v>
      </c>
      <c r="K650" s="18">
        <f>IFERROR(__xludf.DUMMYFUNCTION("AVERAGE(QUERY(SORT(GOOGLEFINANCE(B650,""price"",TODAY()-365,TODAY()),1,0),""select Col2 limit 60""))"),2684.716666666667)</f>
        <v>2684.716667</v>
      </c>
      <c r="L650" s="17">
        <f>IFERROR(__xludf.DUMMYFUNCTION("AVERAGE(QUERY(SORT(GOOGLEFINANCE(B650,""price"",TODAY()-365,TODAY()),1,0),""select Col2 limit 90""))"),2538.467777777777)</f>
        <v>2538.467778</v>
      </c>
      <c r="M650" s="17">
        <f>IFERROR(__xludf.DUMMYFUNCTION("AVERAGE(QUERY(SORT(GOOGLEFINANCE(B650,""price"",TODAY()-365,TODAY()),1,0),""select Col2 limit 120""))"),2404.049166666666)</f>
        <v>2404.049167</v>
      </c>
      <c r="N650" s="19">
        <f>IFERROR(__xludf.DUMMYFUNCTION("AVERAGE(QUERY(SORT(GOOGLEFINANCE(B650,""price"",TODAY()-365,TODAY()),1,0),""select Col2 limit 200""))"),2561.2219999999993)</f>
        <v>2561.222</v>
      </c>
      <c r="O650" s="20" t="str">
        <f t="shared" si="2"/>
        <v>Avoid</v>
      </c>
      <c r="P650" s="21" t="str">
        <f t="shared" si="3"/>
        <v/>
      </c>
      <c r="Q650" s="21" t="str">
        <f t="shared" si="4"/>
        <v/>
      </c>
      <c r="R650" s="22">
        <f>IFERROR(__xludf.DUMMYFUNCTION("GOOGLEFINANCE(B650, ""pe"")
"),62.06)</f>
        <v>62.06</v>
      </c>
    </row>
    <row r="651">
      <c r="A651" s="9" t="s">
        <v>663</v>
      </c>
      <c r="B651" s="11" t="str">
        <f t="shared" si="1"/>
        <v>NSE:SANDUMA</v>
      </c>
      <c r="C651" s="12">
        <f>IFERROR(__xludf.DUMMYFUNCTION("GOOGLEFINANCE(B651,""marketcap"")/10000000"),7302.1026696)</f>
        <v>7302.10267</v>
      </c>
      <c r="D651" s="13">
        <f>IFERROR(__xludf.DUMMYFUNCTION("GOOGLEFINANCE(B651,""price"")"),452.8)</f>
        <v>452.8</v>
      </c>
      <c r="E651" s="14">
        <f>IFERROR(__xludf.DUMMYFUNCTION("GOOGLEFINANCE(B651,""Volume"")"),54404.0)</f>
        <v>54404</v>
      </c>
      <c r="F651" s="14">
        <f t="array" ref="F651">F650</f>
        <v>14</v>
      </c>
      <c r="G651" s="15" t="str">
        <f>IFERROR(__xludf.DUMMYFUNCTION("IF(E651&gt;AVERAGE(INDEX(GOOGLEFINANCE(B651,""volume"",WORKDAY(TODAY(),-$F$1),TODAY()),,2)),""Breakout"","""")"),"")</f>
        <v/>
      </c>
      <c r="H651" s="16">
        <f>IFERROR(__xludf.DUMMYFUNCTION("GOOGLEFINANCE(B651,""price"")"),452.8)</f>
        <v>452.8</v>
      </c>
      <c r="I651" s="17">
        <f>IFERROR(__xludf.DUMMYFUNCTION("AVERAGE(QUERY(SORT(GOOGLEFINANCE(B651,""price"",TODAY()-365,TODAY()),1,0),""select Col2 limit 10""))"),471.82)</f>
        <v>471.82</v>
      </c>
      <c r="J651" s="17">
        <f>IFERROR(__xludf.DUMMYFUNCTION("AVERAGE(QUERY(SORT(GOOGLEFINANCE(B651,""price"",TODAY()-365,TODAY()),1,0),""select Col2 limit 30""))"),473.20500000000004)</f>
        <v>473.205</v>
      </c>
      <c r="K651" s="18">
        <f>IFERROR(__xludf.DUMMYFUNCTION("AVERAGE(QUERY(SORT(GOOGLEFINANCE(B651,""price"",TODAY()-365,TODAY()),1,0),""select Col2 limit 60""))"),486.72583333333324)</f>
        <v>486.7258333</v>
      </c>
      <c r="L651" s="17">
        <f>IFERROR(__xludf.DUMMYFUNCTION("AVERAGE(QUERY(SORT(GOOGLEFINANCE(B651,""price"",TODAY()-365,TODAY()),1,0),""select Col2 limit 90""))"),474.13277777777785)</f>
        <v>474.1327778</v>
      </c>
      <c r="M651" s="17">
        <f>IFERROR(__xludf.DUMMYFUNCTION("AVERAGE(QUERY(SORT(GOOGLEFINANCE(B651,""price"",TODAY()-365,TODAY()),1,0),""select Col2 limit 120""))"),458.03291666666667)</f>
        <v>458.0329167</v>
      </c>
      <c r="N651" s="19">
        <f>IFERROR(__xludf.DUMMYFUNCTION("AVERAGE(QUERY(SORT(GOOGLEFINANCE(B651,""price"",TODAY()-365,TODAY()),1,0),""select Col2 limit 200""))"),452.5267500000001)</f>
        <v>452.52675</v>
      </c>
      <c r="O651" s="20" t="str">
        <f t="shared" si="2"/>
        <v>Sell Below 200 DMA</v>
      </c>
      <c r="P651" s="21" t="str">
        <f t="shared" si="3"/>
        <v/>
      </c>
      <c r="Q651" s="21" t="str">
        <f t="shared" si="4"/>
        <v/>
      </c>
      <c r="R651" s="22">
        <f>IFERROR(__xludf.DUMMYFUNCTION("GOOGLEFINANCE(B651, ""pe"")
"),15.6)</f>
        <v>15.6</v>
      </c>
    </row>
    <row r="652">
      <c r="A652" s="9" t="s">
        <v>664</v>
      </c>
      <c r="B652" s="11" t="str">
        <f t="shared" si="1"/>
        <v>NSE:UJJIVANSFB</v>
      </c>
      <c r="C652" s="12">
        <f>IFERROR(__xludf.DUMMYFUNCTION("GOOGLEFINANCE(B652,""marketcap"")/10000000"),8507.1247626)</f>
        <v>8507.124763</v>
      </c>
      <c r="D652" s="13">
        <f>IFERROR(__xludf.DUMMYFUNCTION("GOOGLEFINANCE(B652,""price"")"),43.57)</f>
        <v>43.57</v>
      </c>
      <c r="E652" s="14">
        <f>IFERROR(__xludf.DUMMYFUNCTION("GOOGLEFINANCE(B652,""Volume"")"),4654601.0)</f>
        <v>4654601</v>
      </c>
      <c r="F652" s="14">
        <f t="array" ref="F652">F651</f>
        <v>14</v>
      </c>
      <c r="G652" s="15" t="str">
        <f>IFERROR(__xludf.DUMMYFUNCTION("IF(E652&gt;AVERAGE(INDEX(GOOGLEFINANCE(B652,""volume"",WORKDAY(TODAY(),-$F$1),TODAY()),,2)),""Breakout"","""")"),"")</f>
        <v/>
      </c>
      <c r="H652" s="16">
        <f>IFERROR(__xludf.DUMMYFUNCTION("GOOGLEFINANCE(B652,""price"")"),43.57)</f>
        <v>43.57</v>
      </c>
      <c r="I652" s="17">
        <f>IFERROR(__xludf.DUMMYFUNCTION("AVERAGE(QUERY(SORT(GOOGLEFINANCE(B652,""price"",TODAY()-365,TODAY()),1,0),""select Col2 limit 10""))"),47.757000000000005)</f>
        <v>47.757</v>
      </c>
      <c r="J652" s="17">
        <f>IFERROR(__xludf.DUMMYFUNCTION("AVERAGE(QUERY(SORT(GOOGLEFINANCE(B652,""price"",TODAY()-365,TODAY()),1,0),""select Col2 limit 30""))"),48.19733333333332)</f>
        <v>48.19733333</v>
      </c>
      <c r="K652" s="18">
        <f>IFERROR(__xludf.DUMMYFUNCTION("AVERAGE(QUERY(SORT(GOOGLEFINANCE(B652,""price"",TODAY()-365,TODAY()),1,0),""select Col2 limit 60""))"),46.44966666666666)</f>
        <v>46.44966667</v>
      </c>
      <c r="L652" s="17">
        <f>IFERROR(__xludf.DUMMYFUNCTION("AVERAGE(QUERY(SORT(GOOGLEFINANCE(B652,""price"",TODAY()-365,TODAY()),1,0),""select Col2 limit 90""))"),43.885666666666665)</f>
        <v>43.88566667</v>
      </c>
      <c r="M652" s="17">
        <f>IFERROR(__xludf.DUMMYFUNCTION("AVERAGE(QUERY(SORT(GOOGLEFINANCE(B652,""price"",TODAY()-365,TODAY()),1,0),""select Col2 limit 120""))"),41.486583333333336)</f>
        <v>41.48658333</v>
      </c>
      <c r="N652" s="19">
        <f>IFERROR(__xludf.DUMMYFUNCTION("AVERAGE(QUERY(SORT(GOOGLEFINANCE(B652,""price"",TODAY()-365,TODAY()),1,0),""select Col2 limit 200""))"),39.202850000000005)</f>
        <v>39.20285</v>
      </c>
      <c r="O652" s="20" t="str">
        <f t="shared" si="2"/>
        <v>Avoid</v>
      </c>
      <c r="P652" s="21" t="str">
        <f t="shared" si="3"/>
        <v>90 DMA</v>
      </c>
      <c r="Q652" s="21" t="str">
        <f t="shared" si="4"/>
        <v/>
      </c>
      <c r="R652" s="22">
        <f>IFERROR(__xludf.DUMMYFUNCTION("GOOGLEFINANCE(B652, ""pe"")
"),16.22)</f>
        <v>16.22</v>
      </c>
    </row>
    <row r="653">
      <c r="A653" s="9" t="s">
        <v>665</v>
      </c>
      <c r="B653" s="11" t="str">
        <f t="shared" si="1"/>
        <v>NSE:BECTORFOOD</v>
      </c>
      <c r="C653" s="12">
        <f>IFERROR(__xludf.DUMMYFUNCTION("GOOGLEFINANCE(B653,""marketcap"")/10000000"),9018.7699966)</f>
        <v>9018.769997</v>
      </c>
      <c r="D653" s="13">
        <f>IFERROR(__xludf.DUMMYFUNCTION("GOOGLEFINANCE(B653,""price"")"),1464.8)</f>
        <v>1464.8</v>
      </c>
      <c r="E653" s="14">
        <f>IFERROR(__xludf.DUMMYFUNCTION("GOOGLEFINANCE(B653,""Volume"")"),37047.0)</f>
        <v>37047</v>
      </c>
      <c r="F653" s="14">
        <f t="array" ref="F653">F652</f>
        <v>14</v>
      </c>
      <c r="G653" s="15" t="str">
        <f>IFERROR(__xludf.DUMMYFUNCTION("IF(E653&gt;AVERAGE(INDEX(GOOGLEFINANCE(B653,""volume"",WORKDAY(TODAY(),-$F$1),TODAY()),,2)),""Breakout"","""")"),"")</f>
        <v/>
      </c>
      <c r="H653" s="16">
        <f>IFERROR(__xludf.DUMMYFUNCTION("GOOGLEFINANCE(B653,""price"")"),1464.8)</f>
        <v>1464.8</v>
      </c>
      <c r="I653" s="17">
        <f>IFERROR(__xludf.DUMMYFUNCTION("AVERAGE(QUERY(SORT(GOOGLEFINANCE(B653,""price"",TODAY()-365,TODAY()),1,0),""select Col2 limit 10""))"),1520.97)</f>
        <v>1520.97</v>
      </c>
      <c r="J653" s="17">
        <f>IFERROR(__xludf.DUMMYFUNCTION("AVERAGE(QUERY(SORT(GOOGLEFINANCE(B653,""price"",TODAY()-365,TODAY()),1,0),""select Col2 limit 30""))"),1428.5366666666669)</f>
        <v>1428.536667</v>
      </c>
      <c r="K653" s="18">
        <f>IFERROR(__xludf.DUMMYFUNCTION("AVERAGE(QUERY(SORT(GOOGLEFINANCE(B653,""price"",TODAY()-365,TODAY()),1,0),""select Col2 limit 60""))"),1451.4233333333334)</f>
        <v>1451.423333</v>
      </c>
      <c r="L653" s="17">
        <f>IFERROR(__xludf.DUMMYFUNCTION("AVERAGE(QUERY(SORT(GOOGLEFINANCE(B653,""price"",TODAY()-365,TODAY()),1,0),""select Col2 limit 90""))"),1477.8361111111108)</f>
        <v>1477.836111</v>
      </c>
      <c r="M653" s="17">
        <f>IFERROR(__xludf.DUMMYFUNCTION("AVERAGE(QUERY(SORT(GOOGLEFINANCE(B653,""price"",TODAY()-365,TODAY()),1,0),""select Col2 limit 120""))"),1459.1345833333335)</f>
        <v>1459.134583</v>
      </c>
      <c r="N653" s="19">
        <f>IFERROR(__xludf.DUMMYFUNCTION("AVERAGE(QUERY(SORT(GOOGLEFINANCE(B653,""price"",TODAY()-365,TODAY()),1,0),""select Col2 limit 200""))"),1557.2139999999997)</f>
        <v>1557.214</v>
      </c>
      <c r="O653" s="20" t="str">
        <f t="shared" si="2"/>
        <v>Avoid</v>
      </c>
      <c r="P653" s="21" t="str">
        <f t="shared" si="3"/>
        <v>90 DMA</v>
      </c>
      <c r="Q653" s="21" t="str">
        <f t="shared" si="4"/>
        <v/>
      </c>
      <c r="R653" s="22">
        <f>IFERROR(__xludf.DUMMYFUNCTION("GOOGLEFINANCE(B653, ""pe"")
"),61.6)</f>
        <v>61.6</v>
      </c>
    </row>
    <row r="654">
      <c r="A654" s="9" t="s">
        <v>666</v>
      </c>
      <c r="B654" s="11" t="str">
        <f t="shared" si="1"/>
        <v>NSE:MARKSANS</v>
      </c>
      <c r="C654" s="12">
        <f>IFERROR(__xludf.DUMMYFUNCTION("GOOGLEFINANCE(B654,""marketcap"")/10000000"),10461.279674)</f>
        <v>10461.27967</v>
      </c>
      <c r="D654" s="13">
        <f>IFERROR(__xludf.DUMMYFUNCTION("GOOGLEFINANCE(B654,""price"")"),230.7)</f>
        <v>230.7</v>
      </c>
      <c r="E654" s="14">
        <f>IFERROR(__xludf.DUMMYFUNCTION("GOOGLEFINANCE(B654,""Volume"")"),4526637.0)</f>
        <v>4526637</v>
      </c>
      <c r="F654" s="14">
        <f t="array" ref="F654">F653</f>
        <v>14</v>
      </c>
      <c r="G654" s="15" t="str">
        <f>IFERROR(__xludf.DUMMYFUNCTION("IF(E654&gt;AVERAGE(INDEX(GOOGLEFINANCE(B654,""volume"",WORKDAY(TODAY(),-$F$1),TODAY()),,2)),""Breakout"","""")"),"Breakout")</f>
        <v>Breakout</v>
      </c>
      <c r="H654" s="16">
        <f>IFERROR(__xludf.DUMMYFUNCTION("GOOGLEFINANCE(B654,""price"")"),230.7)</f>
        <v>230.7</v>
      </c>
      <c r="I654" s="17" t="str">
        <f>IFERROR(__xludf.DUMMYFUNCTION("AVERAGE(QUERY(SORT(GOOGLEFINANCE(B654,""price"",TODAY()-365,TODAY()),1,0),""select Col2 limit 10""))"),"#N/A")</f>
        <v>#N/A</v>
      </c>
      <c r="J654" s="17" t="str">
        <f>IFERROR(__xludf.DUMMYFUNCTION("AVERAGE(QUERY(SORT(GOOGLEFINANCE(B654,""price"",TODAY()-365,TODAY()),1,0),""select Col2 limit 30""))"),"#N/A")</f>
        <v>#N/A</v>
      </c>
      <c r="K654" s="18" t="str">
        <f>IFERROR(__xludf.DUMMYFUNCTION("AVERAGE(QUERY(SORT(GOOGLEFINANCE(B654,""price"",TODAY()-365,TODAY()),1,0),""select Col2 limit 60""))"),"#N/A")</f>
        <v>#N/A</v>
      </c>
      <c r="L654" s="17" t="str">
        <f>IFERROR(__xludf.DUMMYFUNCTION("AVERAGE(QUERY(SORT(GOOGLEFINANCE(B654,""price"",TODAY()-365,TODAY()),1,0),""select Col2 limit 90""))"),"#N/A")</f>
        <v>#N/A</v>
      </c>
      <c r="M654" s="17" t="str">
        <f>IFERROR(__xludf.DUMMYFUNCTION("AVERAGE(QUERY(SORT(GOOGLEFINANCE(B654,""price"",TODAY()-365,TODAY()),1,0),""select Col2 limit 120""))"),"#N/A")</f>
        <v>#N/A</v>
      </c>
      <c r="N654" s="19" t="str">
        <f>IFERROR(__xludf.DUMMYFUNCTION("AVERAGE(QUERY(SORT(GOOGLEFINANCE(B654,""price"",TODAY()-365,TODAY()),1,0),""select Col2 limit 200""))"),"#N/A")</f>
        <v>#N/A</v>
      </c>
      <c r="O654" s="20" t="str">
        <f t="shared" si="2"/>
        <v>#N/A</v>
      </c>
      <c r="P654" s="21" t="str">
        <f t="shared" si="3"/>
        <v>#N/A</v>
      </c>
      <c r="Q654" s="21" t="str">
        <f t="shared" si="4"/>
        <v>#N/A</v>
      </c>
      <c r="R654" s="22">
        <f>IFERROR(__xludf.DUMMYFUNCTION("GOOGLEFINANCE(B654, ""pe"")
"),27.49)</f>
        <v>27.49</v>
      </c>
    </row>
    <row r="655">
      <c r="A655" s="9" t="s">
        <v>667</v>
      </c>
      <c r="B655" s="11" t="str">
        <f t="shared" si="1"/>
        <v>NSE:AVANTIFEED</v>
      </c>
      <c r="C655" s="12">
        <f>IFERROR(__xludf.DUMMYFUNCTION("GOOGLEFINANCE(B655,""marketcap"")/10000000"),9571.2534)</f>
        <v>9571.2534</v>
      </c>
      <c r="D655" s="13">
        <f>IFERROR(__xludf.DUMMYFUNCTION("GOOGLEFINANCE(B655,""price"")"),702.0)</f>
        <v>702</v>
      </c>
      <c r="E655" s="14">
        <f>IFERROR(__xludf.DUMMYFUNCTION("GOOGLEFINANCE(B655,""Volume"")"),437275.0)</f>
        <v>437275</v>
      </c>
      <c r="F655" s="14">
        <f t="array" ref="F655">F654</f>
        <v>14</v>
      </c>
      <c r="G655" s="15" t="str">
        <f>IFERROR(__xludf.DUMMYFUNCTION("IF(E655&gt;AVERAGE(INDEX(GOOGLEFINANCE(B655,""volume"",WORKDAY(TODAY(),-$F$1),TODAY()),,2)),""Breakout"","""")"),"Breakout")</f>
        <v>Breakout</v>
      </c>
      <c r="H655" s="16">
        <f>IFERROR(__xludf.DUMMYFUNCTION("GOOGLEFINANCE(B655,""price"")"),702.0)</f>
        <v>702</v>
      </c>
      <c r="I655" s="17">
        <f>IFERROR(__xludf.DUMMYFUNCTION("AVERAGE(QUERY(SORT(GOOGLEFINANCE(B655,""price"",TODAY()-365,TODAY()),1,0),""select Col2 limit 10""))"),738.915)</f>
        <v>738.915</v>
      </c>
      <c r="J655" s="17">
        <f>IFERROR(__xludf.DUMMYFUNCTION("AVERAGE(QUERY(SORT(GOOGLEFINANCE(B655,""price"",TODAY()-365,TODAY()),1,0),""select Col2 limit 30""))"),735.6999999999999)</f>
        <v>735.7</v>
      </c>
      <c r="K655" s="18">
        <f>IFERROR(__xludf.DUMMYFUNCTION("AVERAGE(QUERY(SORT(GOOGLEFINANCE(B655,""price"",TODAY()-365,TODAY()),1,0),""select Col2 limit 60""))"),785.4283333333335)</f>
        <v>785.4283333</v>
      </c>
      <c r="L655" s="17">
        <f>IFERROR(__xludf.DUMMYFUNCTION("AVERAGE(QUERY(SORT(GOOGLEFINANCE(B655,""price"",TODAY()-365,TODAY()),1,0),""select Col2 limit 90""))"),811.0561111111115)</f>
        <v>811.0561111</v>
      </c>
      <c r="M655" s="17">
        <f>IFERROR(__xludf.DUMMYFUNCTION("AVERAGE(QUERY(SORT(GOOGLEFINANCE(B655,""price"",TODAY()-365,TODAY()),1,0),""select Col2 limit 120""))"),790.9883333333338)</f>
        <v>790.9883333</v>
      </c>
      <c r="N655" s="19">
        <f>IFERROR(__xludf.DUMMYFUNCTION("AVERAGE(QUERY(SORT(GOOGLEFINANCE(B655,""price"",TODAY()-365,TODAY()),1,0),""select Col2 limit 200""))"),721.0797500000002)</f>
        <v>721.07975</v>
      </c>
      <c r="O655" s="20" t="str">
        <f t="shared" si="2"/>
        <v>Avoid</v>
      </c>
      <c r="P655" s="21" t="str">
        <f t="shared" si="3"/>
        <v/>
      </c>
      <c r="Q655" s="21" t="str">
        <f t="shared" si="4"/>
        <v/>
      </c>
      <c r="R655" s="22">
        <f>IFERROR(__xludf.DUMMYFUNCTION("GOOGLEFINANCE(B655, ""pe"")
"),18.09)</f>
        <v>18.09</v>
      </c>
    </row>
    <row r="656">
      <c r="A656" s="9" t="s">
        <v>668</v>
      </c>
      <c r="B656" s="11" t="str">
        <f t="shared" si="1"/>
        <v>NSE:EMIL</v>
      </c>
      <c r="C656" s="12">
        <f>IFERROR(__xludf.DUMMYFUNCTION("GOOGLEFINANCE(B656,""marketcap"")/10000000"),4999.0395773)</f>
        <v>4999.039577</v>
      </c>
      <c r="D656" s="13">
        <f>IFERROR(__xludf.DUMMYFUNCTION("GOOGLEFINANCE(B656,""price"")"),129.93)</f>
        <v>129.93</v>
      </c>
      <c r="E656" s="14">
        <f>IFERROR(__xludf.DUMMYFUNCTION("GOOGLEFINANCE(B656,""Volume"")"),336526.0)</f>
        <v>336526</v>
      </c>
      <c r="F656" s="14">
        <f t="array" ref="F656">F655</f>
        <v>14</v>
      </c>
      <c r="G656" s="15" t="str">
        <f>IFERROR(__xludf.DUMMYFUNCTION("IF(E656&gt;AVERAGE(INDEX(GOOGLEFINANCE(B656,""volume"",WORKDAY(TODAY(),-$F$1),TODAY()),,2)),""Breakout"","""")"),"")</f>
        <v/>
      </c>
      <c r="H656" s="16">
        <f>IFERROR(__xludf.DUMMYFUNCTION("GOOGLEFINANCE(B656,""price"")"),129.93)</f>
        <v>129.93</v>
      </c>
      <c r="I656" s="17">
        <f>IFERROR(__xludf.DUMMYFUNCTION("AVERAGE(QUERY(SORT(GOOGLEFINANCE(B656,""price"",TODAY()-365,TODAY()),1,0),""select Col2 limit 10""))"),137.886)</f>
        <v>137.886</v>
      </c>
      <c r="J656" s="17">
        <f>IFERROR(__xludf.DUMMYFUNCTION("AVERAGE(QUERY(SORT(GOOGLEFINANCE(B656,""price"",TODAY()-365,TODAY()),1,0),""select Col2 limit 30""))"),142.64166666666668)</f>
        <v>142.6416667</v>
      </c>
      <c r="K656" s="18">
        <f>IFERROR(__xludf.DUMMYFUNCTION("AVERAGE(QUERY(SORT(GOOGLEFINANCE(B656,""price"",TODAY()-365,TODAY()),1,0),""select Col2 limit 60""))"),135.17733333333334)</f>
        <v>135.1773333</v>
      </c>
      <c r="L656" s="17">
        <f>IFERROR(__xludf.DUMMYFUNCTION("AVERAGE(QUERY(SORT(GOOGLEFINANCE(B656,""price"",TODAY()-365,TODAY()),1,0),""select Col2 limit 90""))"),132.64333333333335)</f>
        <v>132.6433333</v>
      </c>
      <c r="M656" s="17">
        <f>IFERROR(__xludf.DUMMYFUNCTION("AVERAGE(QUERY(SORT(GOOGLEFINANCE(B656,""price"",TODAY()-365,TODAY()),1,0),""select Col2 limit 120""))"),133.22383333333337)</f>
        <v>133.2238333</v>
      </c>
      <c r="N656" s="19">
        <f>IFERROR(__xludf.DUMMYFUNCTION("AVERAGE(QUERY(SORT(GOOGLEFINANCE(B656,""price"",TODAY()-365,TODAY()),1,0),""select Col2 limit 200""))"),151.50969999999998)</f>
        <v>151.5097</v>
      </c>
      <c r="O656" s="20" t="str">
        <f t="shared" si="2"/>
        <v>Avoid</v>
      </c>
      <c r="P656" s="21" t="str">
        <f t="shared" si="3"/>
        <v/>
      </c>
      <c r="Q656" s="21" t="str">
        <f t="shared" si="4"/>
        <v/>
      </c>
      <c r="R656" s="22">
        <f>IFERROR(__xludf.DUMMYFUNCTION("GOOGLEFINANCE(B656, ""pe"")
"),31.21)</f>
        <v>31.21</v>
      </c>
    </row>
    <row r="657">
      <c r="A657" s="9" t="s">
        <v>669</v>
      </c>
      <c r="B657" s="11" t="str">
        <f t="shared" si="1"/>
        <v>NSE:EMBDL</v>
      </c>
      <c r="C657" s="12">
        <f>IFERROR(__xludf.DUMMYFUNCTION("GOOGLEFINANCE(B657,""marketcap"")/10000000"),15193.8451169)</f>
        <v>15193.84512</v>
      </c>
      <c r="D657" s="13">
        <f>IFERROR(__xludf.DUMMYFUNCTION("GOOGLEFINANCE(B657,""price"")"),111.22)</f>
        <v>111.22</v>
      </c>
      <c r="E657" s="14">
        <f>IFERROR(__xludf.DUMMYFUNCTION("GOOGLEFINANCE(B657,""Volume"")"),1522677.0)</f>
        <v>1522677</v>
      </c>
      <c r="F657" s="14">
        <f t="array" ref="F657">F656</f>
        <v>14</v>
      </c>
      <c r="G657" s="15" t="str">
        <f>IFERROR(__xludf.DUMMYFUNCTION("IF(E657&gt;AVERAGE(INDEX(GOOGLEFINANCE(B657,""volume"",WORKDAY(TODAY(),-$F$1),TODAY()),,2)),""Breakout"","""")"),"")</f>
        <v/>
      </c>
      <c r="H657" s="16">
        <f>IFERROR(__xludf.DUMMYFUNCTION("GOOGLEFINANCE(B657,""price"")"),111.22)</f>
        <v>111.22</v>
      </c>
      <c r="I657" s="17">
        <f>IFERROR(__xludf.DUMMYFUNCTION("AVERAGE(QUERY(SORT(GOOGLEFINANCE(B657,""price"",TODAY()-365,TODAY()),1,0),""select Col2 limit 10""))"),117.09400000000001)</f>
        <v>117.094</v>
      </c>
      <c r="J657" s="17">
        <f>IFERROR(__xludf.DUMMYFUNCTION("AVERAGE(QUERY(SORT(GOOGLEFINANCE(B657,""price"",TODAY()-365,TODAY()),1,0),""select Col2 limit 30""))"),118.29966666666668)</f>
        <v>118.2996667</v>
      </c>
      <c r="K657" s="18">
        <f>IFERROR(__xludf.DUMMYFUNCTION("AVERAGE(QUERY(SORT(GOOGLEFINANCE(B657,""price"",TODAY()-365,TODAY()),1,0),""select Col2 limit 60""))"),111.55116666666669)</f>
        <v>111.5511667</v>
      </c>
      <c r="L657" s="17">
        <f>IFERROR(__xludf.DUMMYFUNCTION("AVERAGE(QUERY(SORT(GOOGLEFINANCE(B657,""price"",TODAY()-365,TODAY()),1,0),""select Col2 limit 90""))"),110.60200000000005)</f>
        <v>110.602</v>
      </c>
      <c r="M657" s="17">
        <f>IFERROR(__xludf.DUMMYFUNCTION("AVERAGE(QUERY(SORT(GOOGLEFINANCE(B657,""price"",TODAY()-365,TODAY()),1,0),""select Col2 limit 120""))"),115.98908333333337)</f>
        <v>115.9890833</v>
      </c>
      <c r="N657" s="19">
        <f>IFERROR(__xludf.DUMMYFUNCTION("AVERAGE(QUERY(SORT(GOOGLEFINANCE(B657,""price"",TODAY()-365,TODAY()),1,0),""select Col2 limit 200""))"),120.208)</f>
        <v>120.208</v>
      </c>
      <c r="O657" s="20" t="str">
        <f t="shared" si="2"/>
        <v>Avoid</v>
      </c>
      <c r="P657" s="21" t="str">
        <f t="shared" si="3"/>
        <v>60 DMA</v>
      </c>
      <c r="Q657" s="21" t="str">
        <f t="shared" si="4"/>
        <v/>
      </c>
      <c r="R657" s="22">
        <f>IFERROR(__xludf.DUMMYFUNCTION("GOOGLEFINANCE(B657, ""pe"")
"),77.78)</f>
        <v>77.78</v>
      </c>
    </row>
    <row r="658">
      <c r="A658" s="9" t="s">
        <v>670</v>
      </c>
      <c r="B658" s="11" t="str">
        <f t="shared" si="1"/>
        <v>NSE:TVSSCS</v>
      </c>
      <c r="C658" s="12">
        <f>IFERROR(__xludf.DUMMYFUNCTION("GOOGLEFINANCE(B658,""marketcap"")/10000000"),5620.5823073)</f>
        <v>5620.582307</v>
      </c>
      <c r="D658" s="13">
        <f>IFERROR(__xludf.DUMMYFUNCTION("GOOGLEFINANCE(B658,""price"")"),127.6)</f>
        <v>127.6</v>
      </c>
      <c r="E658" s="14">
        <f>IFERROR(__xludf.DUMMYFUNCTION("GOOGLEFINANCE(B658,""Volume"")"),360567.0)</f>
        <v>360567</v>
      </c>
      <c r="F658" s="14">
        <f t="array" ref="F658">F657</f>
        <v>14</v>
      </c>
      <c r="G658" s="15" t="str">
        <f>IFERROR(__xludf.DUMMYFUNCTION("IF(E658&gt;AVERAGE(INDEX(GOOGLEFINANCE(B658,""volume"",WORKDAY(TODAY(),-$F$1),TODAY()),,2)),""Breakout"","""")"),"")</f>
        <v/>
      </c>
      <c r="H658" s="16">
        <f>IFERROR(__xludf.DUMMYFUNCTION("GOOGLEFINANCE(B658,""price"")"),127.6)</f>
        <v>127.6</v>
      </c>
      <c r="I658" s="17">
        <f>IFERROR(__xludf.DUMMYFUNCTION("AVERAGE(QUERY(SORT(GOOGLEFINANCE(B658,""price"",TODAY()-365,TODAY()),1,0),""select Col2 limit 10""))"),132.57999999999998)</f>
        <v>132.58</v>
      </c>
      <c r="J658" s="17">
        <f>IFERROR(__xludf.DUMMYFUNCTION("AVERAGE(QUERY(SORT(GOOGLEFINANCE(B658,""price"",TODAY()-365,TODAY()),1,0),""select Col2 limit 30""))"),134.26333333333335)</f>
        <v>134.2633333</v>
      </c>
      <c r="K658" s="18">
        <f>IFERROR(__xludf.DUMMYFUNCTION("AVERAGE(QUERY(SORT(GOOGLEFINANCE(B658,""price"",TODAY()-365,TODAY()),1,0),""select Col2 limit 60""))"),130.64550000000003)</f>
        <v>130.6455</v>
      </c>
      <c r="L658" s="17">
        <f>IFERROR(__xludf.DUMMYFUNCTION("AVERAGE(QUERY(SORT(GOOGLEFINANCE(B658,""price"",TODAY()-365,TODAY()),1,0),""select Col2 limit 90""))"),128.1811111111111)</f>
        <v>128.1811111</v>
      </c>
      <c r="M658" s="17">
        <f>IFERROR(__xludf.DUMMYFUNCTION("AVERAGE(QUERY(SORT(GOOGLEFINANCE(B658,""price"",TODAY()-365,TODAY()),1,0),""select Col2 limit 120""))"),130.74333333333328)</f>
        <v>130.7433333</v>
      </c>
      <c r="N658" s="19">
        <f>IFERROR(__xludf.DUMMYFUNCTION("AVERAGE(QUERY(SORT(GOOGLEFINANCE(B658,""price"",TODAY()-365,TODAY()),1,0),""select Col2 limit 200""))"),149.5909499999999)</f>
        <v>149.59095</v>
      </c>
      <c r="O658" s="20" t="str">
        <f t="shared" si="2"/>
        <v>Avoid</v>
      </c>
      <c r="P658" s="21" t="str">
        <f t="shared" si="3"/>
        <v>90 DMA</v>
      </c>
      <c r="Q658" s="21" t="str">
        <f t="shared" si="4"/>
        <v/>
      </c>
      <c r="R658" s="22" t="str">
        <f>IFERROR(__xludf.DUMMYFUNCTION("GOOGLEFINANCE(B658, ""pe"")
"),"#N/A")</f>
        <v>#N/A</v>
      </c>
    </row>
    <row r="659">
      <c r="A659" s="9" t="s">
        <v>671</v>
      </c>
      <c r="B659" s="11" t="str">
        <f t="shared" si="1"/>
        <v>NSE:NETWORK18</v>
      </c>
      <c r="C659" s="12">
        <f>IFERROR(__xludf.DUMMYFUNCTION("GOOGLEFINANCE(B659,""marketcap"")/10000000"),8746.2241882)</f>
        <v>8746.224188</v>
      </c>
      <c r="D659" s="13">
        <f>IFERROR(__xludf.DUMMYFUNCTION("GOOGLEFINANCE(B659,""price"")"),56.67)</f>
        <v>56.67</v>
      </c>
      <c r="E659" s="14">
        <f>IFERROR(__xludf.DUMMYFUNCTION("GOOGLEFINANCE(B659,""Volume"")"),2385059.0)</f>
        <v>2385059</v>
      </c>
      <c r="F659" s="14">
        <f t="array" ref="F659">F658</f>
        <v>14</v>
      </c>
      <c r="G659" s="15" t="str">
        <f>IFERROR(__xludf.DUMMYFUNCTION("IF(E659&gt;AVERAGE(INDEX(GOOGLEFINANCE(B659,""volume"",WORKDAY(TODAY(),-$F$1),TODAY()),,2)),""Breakout"","""")"),"")</f>
        <v/>
      </c>
      <c r="H659" s="16">
        <f>IFERROR(__xludf.DUMMYFUNCTION("GOOGLEFINANCE(B659,""price"")"),56.67)</f>
        <v>56.67</v>
      </c>
      <c r="I659" s="17">
        <f>IFERROR(__xludf.DUMMYFUNCTION("AVERAGE(QUERY(SORT(GOOGLEFINANCE(B659,""price"",TODAY()-365,TODAY()),1,0),""select Col2 limit 10""))"),59.174000000000014)</f>
        <v>59.174</v>
      </c>
      <c r="J659" s="17">
        <f>IFERROR(__xludf.DUMMYFUNCTION("AVERAGE(QUERY(SORT(GOOGLEFINANCE(B659,""price"",TODAY()-365,TODAY()),1,0),""select Col2 limit 30""))"),57.05166666666666)</f>
        <v>57.05166667</v>
      </c>
      <c r="K659" s="18">
        <f>IFERROR(__xludf.DUMMYFUNCTION("AVERAGE(QUERY(SORT(GOOGLEFINANCE(B659,""price"",TODAY()-365,TODAY()),1,0),""select Col2 limit 60""))"),53.48533333333333)</f>
        <v>53.48533333</v>
      </c>
      <c r="L659" s="17">
        <f>IFERROR(__xludf.DUMMYFUNCTION("AVERAGE(QUERY(SORT(GOOGLEFINANCE(B659,""price"",TODAY()-365,TODAY()),1,0),""select Col2 limit 90""))"),50.36633333333334)</f>
        <v>50.36633333</v>
      </c>
      <c r="M659" s="17">
        <f>IFERROR(__xludf.DUMMYFUNCTION("AVERAGE(QUERY(SORT(GOOGLEFINANCE(B659,""price"",TODAY()-365,TODAY()),1,0),""select Col2 limit 120""))"),49.467000000000006)</f>
        <v>49.467</v>
      </c>
      <c r="N659" s="19">
        <f>IFERROR(__xludf.DUMMYFUNCTION("AVERAGE(QUERY(SORT(GOOGLEFINANCE(B659,""price"",TODAY()-365,TODAY()),1,0),""select Col2 limit 200""))"),59.26719999999998)</f>
        <v>59.2672</v>
      </c>
      <c r="O659" s="20" t="str">
        <f t="shared" si="2"/>
        <v>Avoid</v>
      </c>
      <c r="P659" s="21" t="str">
        <f t="shared" si="3"/>
        <v>30 DMA</v>
      </c>
      <c r="Q659" s="21" t="str">
        <f t="shared" si="4"/>
        <v/>
      </c>
      <c r="R659" s="22" t="str">
        <f>IFERROR(__xludf.DUMMYFUNCTION("GOOGLEFINANCE(B659, ""pe"")
"),"#N/A")</f>
        <v>#N/A</v>
      </c>
    </row>
    <row r="660">
      <c r="A660" s="9" t="s">
        <v>672</v>
      </c>
      <c r="B660" s="11" t="str">
        <f t="shared" si="1"/>
        <v>NSE:RTNPOWER</v>
      </c>
      <c r="C660" s="12">
        <f>IFERROR(__xludf.DUMMYFUNCTION("GOOGLEFINANCE(B660,""marketcap"")/10000000"),7018.7270711)</f>
        <v>7018.727071</v>
      </c>
      <c r="D660" s="13">
        <f>IFERROR(__xludf.DUMMYFUNCTION("GOOGLEFINANCE(B660,""price"")"),13.07)</f>
        <v>13.07</v>
      </c>
      <c r="E660" s="14">
        <f>IFERROR(__xludf.DUMMYFUNCTION("GOOGLEFINANCE(B660,""Volume"")"),3.4036657E7)</f>
        <v>34036657</v>
      </c>
      <c r="F660" s="14">
        <f t="array" ref="F660">F659</f>
        <v>14</v>
      </c>
      <c r="G660" s="15" t="str">
        <f>IFERROR(__xludf.DUMMYFUNCTION("IF(E660&gt;AVERAGE(INDEX(GOOGLEFINANCE(B660,""volume"",WORKDAY(TODAY(),-$F$1),TODAY()),,2)),""Breakout"","""")"),"")</f>
        <v/>
      </c>
      <c r="H660" s="16">
        <f>IFERROR(__xludf.DUMMYFUNCTION("GOOGLEFINANCE(B660,""price"")"),13.07)</f>
        <v>13.07</v>
      </c>
      <c r="I660" s="17">
        <f>IFERROR(__xludf.DUMMYFUNCTION("AVERAGE(QUERY(SORT(GOOGLEFINANCE(B660,""price"",TODAY()-365,TODAY()),1,0),""select Col2 limit 10""))"),14.86)</f>
        <v>14.86</v>
      </c>
      <c r="J660" s="17">
        <f>IFERROR(__xludf.DUMMYFUNCTION("AVERAGE(QUERY(SORT(GOOGLEFINANCE(B660,""price"",TODAY()-365,TODAY()),1,0),""select Col2 limit 30""))"),14.710333333333331)</f>
        <v>14.71033333</v>
      </c>
      <c r="K660" s="18">
        <f>IFERROR(__xludf.DUMMYFUNCTION("AVERAGE(QUERY(SORT(GOOGLEFINANCE(B660,""price"",TODAY()-365,TODAY()),1,0),""select Col2 limit 60""))"),12.999333333333333)</f>
        <v>12.99933333</v>
      </c>
      <c r="L660" s="17">
        <f>IFERROR(__xludf.DUMMYFUNCTION("AVERAGE(QUERY(SORT(GOOGLEFINANCE(B660,""price"",TODAY()-365,TODAY()),1,0),""select Col2 limit 90""))"),12.046333333333331)</f>
        <v>12.04633333</v>
      </c>
      <c r="M660" s="17">
        <f>IFERROR(__xludf.DUMMYFUNCTION("AVERAGE(QUERY(SORT(GOOGLEFINANCE(B660,""price"",TODAY()-365,TODAY()),1,0),""select Col2 limit 120""))"),11.53416666666666)</f>
        <v>11.53416667</v>
      </c>
      <c r="N660" s="19">
        <f>IFERROR(__xludf.DUMMYFUNCTION("AVERAGE(QUERY(SORT(GOOGLEFINANCE(B660,""price"",TODAY()-365,TODAY()),1,0),""select Col2 limit 200""))"),12.395399999999997)</f>
        <v>12.3954</v>
      </c>
      <c r="O660" s="20" t="str">
        <f t="shared" si="2"/>
        <v>Avoid</v>
      </c>
      <c r="P660" s="21" t="str">
        <f t="shared" si="3"/>
        <v/>
      </c>
      <c r="Q660" s="21" t="str">
        <f t="shared" si="4"/>
        <v/>
      </c>
      <c r="R660" s="22">
        <f>IFERROR(__xludf.DUMMYFUNCTION("GOOGLEFINANCE(B660, ""pe"")
"),60.14)</f>
        <v>60.14</v>
      </c>
    </row>
    <row r="661">
      <c r="A661" s="9" t="s">
        <v>673</v>
      </c>
      <c r="B661" s="11" t="str">
        <f t="shared" si="1"/>
        <v>NSE:CCL</v>
      </c>
      <c r="C661" s="12">
        <f>IFERROR(__xludf.DUMMYFUNCTION("GOOGLEFINANCE(B661,""marketcap"")/10000000"),11212.1382791)</f>
        <v>11212.13828</v>
      </c>
      <c r="D661" s="13">
        <f>IFERROR(__xludf.DUMMYFUNCTION("GOOGLEFINANCE(B661,""price"")"),843.9)</f>
        <v>843.9</v>
      </c>
      <c r="E661" s="14">
        <f>IFERROR(__xludf.DUMMYFUNCTION("GOOGLEFINANCE(B661,""Volume"")"),50341.0)</f>
        <v>50341</v>
      </c>
      <c r="F661" s="14">
        <f t="array" ref="F661">F660</f>
        <v>14</v>
      </c>
      <c r="G661" s="15" t="str">
        <f>IFERROR(__xludf.DUMMYFUNCTION("IF(E661&gt;AVERAGE(INDEX(GOOGLEFINANCE(B661,""volume"",WORKDAY(TODAY(),-$F$1),TODAY()),,2)),""Breakout"","""")"),"")</f>
        <v/>
      </c>
      <c r="H661" s="16">
        <f>IFERROR(__xludf.DUMMYFUNCTION("GOOGLEFINANCE(B661,""price"")"),843.9)</f>
        <v>843.9</v>
      </c>
      <c r="I661" s="17">
        <f>IFERROR(__xludf.DUMMYFUNCTION("AVERAGE(QUERY(SORT(GOOGLEFINANCE(B661,""price"",TODAY()-365,TODAY()),1,0),""select Col2 limit 10""))"),867.3000000000002)</f>
        <v>867.3</v>
      </c>
      <c r="J661" s="17">
        <f>IFERROR(__xludf.DUMMYFUNCTION("AVERAGE(QUERY(SORT(GOOGLEFINANCE(B661,""price"",TODAY()-365,TODAY()),1,0),""select Col2 limit 30""))"),853.9733333333334)</f>
        <v>853.9733333</v>
      </c>
      <c r="K661" s="18">
        <f>IFERROR(__xludf.DUMMYFUNCTION("AVERAGE(QUERY(SORT(GOOGLEFINANCE(B661,""price"",TODAY()-365,TODAY()),1,0),""select Col2 limit 60""))"),827.4774999999997)</f>
        <v>827.4775</v>
      </c>
      <c r="L661" s="17">
        <f>IFERROR(__xludf.DUMMYFUNCTION("AVERAGE(QUERY(SORT(GOOGLEFINANCE(B661,""price"",TODAY()-365,TODAY()),1,0),""select Col2 limit 90""))"),747.3727777777776)</f>
        <v>747.3727778</v>
      </c>
      <c r="M661" s="17">
        <f>IFERROR(__xludf.DUMMYFUNCTION("AVERAGE(QUERY(SORT(GOOGLEFINANCE(B661,""price"",TODAY()-365,TODAY()),1,0),""select Col2 limit 120""))"),711.8470833333328)</f>
        <v>711.8470833</v>
      </c>
      <c r="N661" s="19">
        <f>IFERROR(__xludf.DUMMYFUNCTION("AVERAGE(QUERY(SORT(GOOGLEFINANCE(B661,""price"",TODAY()-365,TODAY()),1,0),""select Col2 limit 200""))"),707.1152499999998)</f>
        <v>707.11525</v>
      </c>
      <c r="O661" s="20" t="str">
        <f t="shared" si="2"/>
        <v>Avoid</v>
      </c>
      <c r="P661" s="21" t="str">
        <f t="shared" si="3"/>
        <v/>
      </c>
      <c r="Q661" s="21" t="str">
        <f t="shared" si="4"/>
        <v/>
      </c>
      <c r="R661" s="22">
        <f>IFERROR(__xludf.DUMMYFUNCTION("GOOGLEFINANCE(B661, ""pe"")
"),36.32)</f>
        <v>36.32</v>
      </c>
    </row>
    <row r="662">
      <c r="A662" s="9" t="s">
        <v>674</v>
      </c>
      <c r="B662" s="11" t="str">
        <f t="shared" si="1"/>
        <v>NSE:SYRMA</v>
      </c>
      <c r="C662" s="12">
        <f>IFERROR(__xludf.DUMMYFUNCTION("GOOGLEFINANCE(B662,""marketcap"")/10000000"),13204.8636061)</f>
        <v>13204.86361</v>
      </c>
      <c r="D662" s="13">
        <f>IFERROR(__xludf.DUMMYFUNCTION("GOOGLEFINANCE(B662,""price"")"),740.95)</f>
        <v>740.95</v>
      </c>
      <c r="E662" s="14">
        <f>IFERROR(__xludf.DUMMYFUNCTION("GOOGLEFINANCE(B662,""Volume"")"),1817929.0)</f>
        <v>1817929</v>
      </c>
      <c r="F662" s="14">
        <f t="array" ref="F662">F661</f>
        <v>14</v>
      </c>
      <c r="G662" s="15" t="str">
        <f>IFERROR(__xludf.DUMMYFUNCTION("IF(E662&gt;AVERAGE(INDEX(GOOGLEFINANCE(B662,""volume"",WORKDAY(TODAY(),-$F$1),TODAY()),,2)),""Breakout"","""")"),"")</f>
        <v/>
      </c>
      <c r="H662" s="16">
        <f>IFERROR(__xludf.DUMMYFUNCTION("GOOGLEFINANCE(B662,""price"")"),740.95)</f>
        <v>740.95</v>
      </c>
      <c r="I662" s="17">
        <f>IFERROR(__xludf.DUMMYFUNCTION("AVERAGE(QUERY(SORT(GOOGLEFINANCE(B662,""price"",TODAY()-365,TODAY()),1,0),""select Col2 limit 10""))"),704.5649999999999)</f>
        <v>704.565</v>
      </c>
      <c r="J662" s="17">
        <f>IFERROR(__xludf.DUMMYFUNCTION("AVERAGE(QUERY(SORT(GOOGLEFINANCE(B662,""price"",TODAY()-365,TODAY()),1,0),""select Col2 limit 30""))"),616.9300000000001)</f>
        <v>616.93</v>
      </c>
      <c r="K662" s="18">
        <f>IFERROR(__xludf.DUMMYFUNCTION("AVERAGE(QUERY(SORT(GOOGLEFINANCE(B662,""price"",TODAY()-365,TODAY()),1,0),""select Col2 limit 60""))"),571.6983333333333)</f>
        <v>571.6983333</v>
      </c>
      <c r="L662" s="17">
        <f>IFERROR(__xludf.DUMMYFUNCTION("AVERAGE(QUERY(SORT(GOOGLEFINANCE(B662,""price"",TODAY()-365,TODAY()),1,0),""select Col2 limit 90""))"),538.5677777777777)</f>
        <v>538.5677778</v>
      </c>
      <c r="M662" s="17">
        <f>IFERROR(__xludf.DUMMYFUNCTION("AVERAGE(QUERY(SORT(GOOGLEFINANCE(B662,""price"",TODAY()-365,TODAY()),1,0),""select Col2 limit 120""))"),520.1820833333331)</f>
        <v>520.1820833</v>
      </c>
      <c r="N662" s="19">
        <f>IFERROR(__xludf.DUMMYFUNCTION("AVERAGE(QUERY(SORT(GOOGLEFINANCE(B662,""price"",TODAY()-365,TODAY()),1,0),""select Col2 limit 200""))"),521.5932499999997)</f>
        <v>521.59325</v>
      </c>
      <c r="O662" s="20" t="str">
        <f t="shared" si="2"/>
        <v>Avoid</v>
      </c>
      <c r="P662" s="21" t="str">
        <f t="shared" si="3"/>
        <v/>
      </c>
      <c r="Q662" s="21" t="str">
        <f t="shared" si="4"/>
        <v/>
      </c>
      <c r="R662" s="22">
        <f>IFERROR(__xludf.DUMMYFUNCTION("GOOGLEFINANCE(B662, ""pe"")
"),65.94)</f>
        <v>65.94</v>
      </c>
    </row>
    <row r="663">
      <c r="A663" s="9" t="s">
        <v>675</v>
      </c>
      <c r="B663" s="11" t="str">
        <f t="shared" si="1"/>
        <v>NSE:FDC</v>
      </c>
      <c r="C663" s="12">
        <f>IFERROR(__xludf.DUMMYFUNCTION("GOOGLEFINANCE(B663,""marketcap"")/10000000"),7993.1571487)</f>
        <v>7993.157149</v>
      </c>
      <c r="D663" s="13">
        <f>IFERROR(__xludf.DUMMYFUNCTION("GOOGLEFINANCE(B663,""price"")"),490.2)</f>
        <v>490.2</v>
      </c>
      <c r="E663" s="14">
        <f>IFERROR(__xludf.DUMMYFUNCTION("GOOGLEFINANCE(B663,""Volume"")"),25957.0)</f>
        <v>25957</v>
      </c>
      <c r="F663" s="14">
        <f t="array" ref="F663">F662</f>
        <v>14</v>
      </c>
      <c r="G663" s="15" t="str">
        <f>IFERROR(__xludf.DUMMYFUNCTION("IF(E663&gt;AVERAGE(INDEX(GOOGLEFINANCE(B663,""volume"",WORKDAY(TODAY(),-$F$1),TODAY()),,2)),""Breakout"","""")"),"")</f>
        <v/>
      </c>
      <c r="H663" s="16">
        <f>IFERROR(__xludf.DUMMYFUNCTION("GOOGLEFINANCE(B663,""price"")"),490.2)</f>
        <v>490.2</v>
      </c>
      <c r="I663" s="17">
        <f>IFERROR(__xludf.DUMMYFUNCTION("AVERAGE(QUERY(SORT(GOOGLEFINANCE(B663,""price"",TODAY()-365,TODAY()),1,0),""select Col2 limit 10""))"),492.83000000000004)</f>
        <v>492.83</v>
      </c>
      <c r="J663" s="17">
        <f>IFERROR(__xludf.DUMMYFUNCTION("AVERAGE(QUERY(SORT(GOOGLEFINANCE(B663,""price"",TODAY()-365,TODAY()),1,0),""select Col2 limit 30""))"),487.00833333333327)</f>
        <v>487.0083333</v>
      </c>
      <c r="K663" s="18">
        <f>IFERROR(__xludf.DUMMYFUNCTION("AVERAGE(QUERY(SORT(GOOGLEFINANCE(B663,""price"",TODAY()-365,TODAY()),1,0),""select Col2 limit 60""))"),466.07666666666665)</f>
        <v>466.0766667</v>
      </c>
      <c r="L663" s="17">
        <f>IFERROR(__xludf.DUMMYFUNCTION("AVERAGE(QUERY(SORT(GOOGLEFINANCE(B663,""price"",TODAY()-365,TODAY()),1,0),""select Col2 limit 90""))"),448.6611111111112)</f>
        <v>448.6611111</v>
      </c>
      <c r="M663" s="17">
        <f>IFERROR(__xludf.DUMMYFUNCTION("AVERAGE(QUERY(SORT(GOOGLEFINANCE(B663,""price"",TODAY()-365,TODAY()),1,0),""select Col2 limit 120""))"),441.9279166666666)</f>
        <v>441.9279167</v>
      </c>
      <c r="N663" s="19">
        <f>IFERROR(__xludf.DUMMYFUNCTION("AVERAGE(QUERY(SORT(GOOGLEFINANCE(B663,""price"",TODAY()-365,TODAY()),1,0),""select Col2 limit 200""))"),468.16324999999966)</f>
        <v>468.16325</v>
      </c>
      <c r="O663" s="20" t="str">
        <f t="shared" si="2"/>
        <v>Avoid</v>
      </c>
      <c r="P663" s="21" t="str">
        <f t="shared" si="3"/>
        <v>10 DMA</v>
      </c>
      <c r="Q663" s="21" t="str">
        <f t="shared" si="4"/>
        <v/>
      </c>
      <c r="R663" s="22">
        <f>IFERROR(__xludf.DUMMYFUNCTION("GOOGLEFINANCE(B663, ""pe"")
"),29.91)</f>
        <v>29.91</v>
      </c>
    </row>
    <row r="664">
      <c r="A664" s="9" t="s">
        <v>676</v>
      </c>
      <c r="B664" s="11" t="str">
        <f t="shared" si="1"/>
        <v>NSE:MAXESTATES</v>
      </c>
      <c r="C664" s="12">
        <f>IFERROR(__xludf.DUMMYFUNCTION("GOOGLEFINANCE(B664,""marketcap"")/10000000"),8070.7335805)</f>
        <v>8070.733581</v>
      </c>
      <c r="D664" s="13">
        <f>IFERROR(__xludf.DUMMYFUNCTION("GOOGLEFINANCE(B664,""price"")"),501.5)</f>
        <v>501.5</v>
      </c>
      <c r="E664" s="14">
        <f>IFERROR(__xludf.DUMMYFUNCTION("GOOGLEFINANCE(B664,""Volume"")"),51879.0)</f>
        <v>51879</v>
      </c>
      <c r="F664" s="14">
        <f t="array" ref="F664">F663</f>
        <v>14</v>
      </c>
      <c r="G664" s="15" t="str">
        <f>IFERROR(__xludf.DUMMYFUNCTION("IF(E664&gt;AVERAGE(INDEX(GOOGLEFINANCE(B664,""volume"",WORKDAY(TODAY(),-$F$1),TODAY()),,2)),""Breakout"","""")"),"")</f>
        <v/>
      </c>
      <c r="H664" s="16">
        <f>IFERROR(__xludf.DUMMYFUNCTION("GOOGLEFINANCE(B664,""price"")"),501.5)</f>
        <v>501.5</v>
      </c>
      <c r="I664" s="17">
        <f>IFERROR(__xludf.DUMMYFUNCTION("AVERAGE(QUERY(SORT(GOOGLEFINANCE(B664,""price"",TODAY()-365,TODAY()),1,0),""select Col2 limit 10""))"),529.605)</f>
        <v>529.605</v>
      </c>
      <c r="J664" s="17">
        <f>IFERROR(__xludf.DUMMYFUNCTION("AVERAGE(QUERY(SORT(GOOGLEFINANCE(B664,""price"",TODAY()-365,TODAY()),1,0),""select Col2 limit 30""))"),509.43833333333333)</f>
        <v>509.4383333</v>
      </c>
      <c r="K664" s="18">
        <f>IFERROR(__xludf.DUMMYFUNCTION("AVERAGE(QUERY(SORT(GOOGLEFINANCE(B664,""price"",TODAY()-365,TODAY()),1,0),""select Col2 limit 60""))"),490.9941666666665)</f>
        <v>490.9941667</v>
      </c>
      <c r="L664" s="17">
        <f>IFERROR(__xludf.DUMMYFUNCTION("AVERAGE(QUERY(SORT(GOOGLEFINANCE(B664,""price"",TODAY()-365,TODAY()),1,0),""select Col2 limit 90""))"),459.04444444444437)</f>
        <v>459.0444444</v>
      </c>
      <c r="M664" s="17">
        <f>IFERROR(__xludf.DUMMYFUNCTION("AVERAGE(QUERY(SORT(GOOGLEFINANCE(B664,""price"",TODAY()-365,TODAY()),1,0),""select Col2 limit 120""))"),457.4120833333332)</f>
        <v>457.4120833</v>
      </c>
      <c r="N664" s="19">
        <f>IFERROR(__xludf.DUMMYFUNCTION("AVERAGE(QUERY(SORT(GOOGLEFINANCE(B664,""price"",TODAY()-365,TODAY()),1,0),""select Col2 limit 200""))"),500.8392499999998)</f>
        <v>500.83925</v>
      </c>
      <c r="O664" s="20" t="str">
        <f t="shared" si="2"/>
        <v>Avoid</v>
      </c>
      <c r="P664" s="21" t="str">
        <f t="shared" si="3"/>
        <v/>
      </c>
      <c r="Q664" s="21" t="str">
        <f t="shared" si="4"/>
        <v/>
      </c>
      <c r="R664" s="22">
        <f>IFERROR(__xludf.DUMMYFUNCTION("GOOGLEFINANCE(B664, ""pe"")
"),294.71)</f>
        <v>294.71</v>
      </c>
    </row>
    <row r="665">
      <c r="A665" s="9" t="s">
        <v>677</v>
      </c>
      <c r="B665" s="11" t="str">
        <f t="shared" si="1"/>
        <v>NSE:MEDPLUS</v>
      </c>
      <c r="C665" s="12">
        <f>IFERROR(__xludf.DUMMYFUNCTION("GOOGLEFINANCE(B665,""marketcap"")/10000000"),10771.965)</f>
        <v>10771.965</v>
      </c>
      <c r="D665" s="13">
        <f>IFERROR(__xludf.DUMMYFUNCTION("GOOGLEFINANCE(B665,""price"")"),900.0)</f>
        <v>900</v>
      </c>
      <c r="E665" s="14">
        <f>IFERROR(__xludf.DUMMYFUNCTION("GOOGLEFINANCE(B665,""Volume"")"),43021.0)</f>
        <v>43021</v>
      </c>
      <c r="F665" s="14">
        <f t="array" ref="F665">F664</f>
        <v>14</v>
      </c>
      <c r="G665" s="15" t="str">
        <f>IFERROR(__xludf.DUMMYFUNCTION("IF(E665&gt;AVERAGE(INDEX(GOOGLEFINANCE(B665,""volume"",WORKDAY(TODAY(),-$F$1),TODAY()),,2)),""Breakout"","""")"),"")</f>
        <v/>
      </c>
      <c r="H665" s="16">
        <f>IFERROR(__xludf.DUMMYFUNCTION("GOOGLEFINANCE(B665,""price"")"),900.0)</f>
        <v>900</v>
      </c>
      <c r="I665" s="17" t="str">
        <f>IFERROR(__xludf.DUMMYFUNCTION("AVERAGE(QUERY(SORT(GOOGLEFINANCE(B665,""price"",TODAY()-365,TODAY()),1,0),""select Col2 limit 10""))"),"#N/A")</f>
        <v>#N/A</v>
      </c>
      <c r="J665" s="17" t="str">
        <f>IFERROR(__xludf.DUMMYFUNCTION("AVERAGE(QUERY(SORT(GOOGLEFINANCE(B665,""price"",TODAY()-365,TODAY()),1,0),""select Col2 limit 30""))"),"#N/A")</f>
        <v>#N/A</v>
      </c>
      <c r="K665" s="18" t="str">
        <f>IFERROR(__xludf.DUMMYFUNCTION("AVERAGE(QUERY(SORT(GOOGLEFINANCE(B665,""price"",TODAY()-365,TODAY()),1,0),""select Col2 limit 60""))"),"#N/A")</f>
        <v>#N/A</v>
      </c>
      <c r="L665" s="17" t="str">
        <f>IFERROR(__xludf.DUMMYFUNCTION("AVERAGE(QUERY(SORT(GOOGLEFINANCE(B665,""price"",TODAY()-365,TODAY()),1,0),""select Col2 limit 90""))"),"#N/A")</f>
        <v>#N/A</v>
      </c>
      <c r="M665" s="17" t="str">
        <f>IFERROR(__xludf.DUMMYFUNCTION("AVERAGE(QUERY(SORT(GOOGLEFINANCE(B665,""price"",TODAY()-365,TODAY()),1,0),""select Col2 limit 120""))"),"#N/A")</f>
        <v>#N/A</v>
      </c>
      <c r="N665" s="19" t="str">
        <f>IFERROR(__xludf.DUMMYFUNCTION("AVERAGE(QUERY(SORT(GOOGLEFINANCE(B665,""price"",TODAY()-365,TODAY()),1,0),""select Col2 limit 200""))"),"#N/A")</f>
        <v>#N/A</v>
      </c>
      <c r="O665" s="20" t="str">
        <f t="shared" si="2"/>
        <v>#N/A</v>
      </c>
      <c r="P665" s="21" t="str">
        <f t="shared" si="3"/>
        <v>#N/A</v>
      </c>
      <c r="Q665" s="21" t="str">
        <f t="shared" si="4"/>
        <v>#N/A</v>
      </c>
      <c r="R665" s="22">
        <f>IFERROR(__xludf.DUMMYFUNCTION("GOOGLEFINANCE(B665, ""pe"")
"),71.88)</f>
        <v>71.88</v>
      </c>
    </row>
    <row r="666">
      <c r="A666" s="9" t="s">
        <v>678</v>
      </c>
      <c r="B666" s="11" t="str">
        <f t="shared" si="1"/>
        <v>NSE:PRSMJOHNSN</v>
      </c>
      <c r="C666" s="12">
        <f>IFERROR(__xludf.DUMMYFUNCTION("GOOGLEFINANCE(B666,""marketcap"")/10000000"),7997.3299065)</f>
        <v>7997.329907</v>
      </c>
      <c r="D666" s="13">
        <f>IFERROR(__xludf.DUMMYFUNCTION("GOOGLEFINANCE(B666,""price"")"),158.7)</f>
        <v>158.7</v>
      </c>
      <c r="E666" s="14">
        <f>IFERROR(__xludf.DUMMYFUNCTION("GOOGLEFINANCE(B666,""Volume"")"),148271.0)</f>
        <v>148271</v>
      </c>
      <c r="F666" s="14">
        <f t="array" ref="F666">F665</f>
        <v>14</v>
      </c>
      <c r="G666" s="15" t="str">
        <f>IFERROR(__xludf.DUMMYFUNCTION("IF(E666&gt;AVERAGE(INDEX(GOOGLEFINANCE(B666,""volume"",WORKDAY(TODAY(),-$F$1),TODAY()),,2)),""Breakout"","""")"),"")</f>
        <v/>
      </c>
      <c r="H666" s="16">
        <f>IFERROR(__xludf.DUMMYFUNCTION("GOOGLEFINANCE(B666,""price"")"),158.7)</f>
        <v>158.7</v>
      </c>
      <c r="I666" s="17">
        <f>IFERROR(__xludf.DUMMYFUNCTION("AVERAGE(QUERY(SORT(GOOGLEFINANCE(B666,""price"",TODAY()-365,TODAY()),1,0),""select Col2 limit 10""))"),160.178)</f>
        <v>160.178</v>
      </c>
      <c r="J666" s="17">
        <f>IFERROR(__xludf.DUMMYFUNCTION("AVERAGE(QUERY(SORT(GOOGLEFINANCE(B666,""price"",TODAY()-365,TODAY()),1,0),""select Col2 limit 30""))"),156.465)</f>
        <v>156.465</v>
      </c>
      <c r="K666" s="18">
        <f>IFERROR(__xludf.DUMMYFUNCTION("AVERAGE(QUERY(SORT(GOOGLEFINANCE(B666,""price"",TODAY()-365,TODAY()),1,0),""select Col2 limit 60""))"),147.674)</f>
        <v>147.674</v>
      </c>
      <c r="L666" s="17">
        <f>IFERROR(__xludf.DUMMYFUNCTION("AVERAGE(QUERY(SORT(GOOGLEFINANCE(B666,""price"",TODAY()-365,TODAY()),1,0),""select Col2 limit 90""))"),141.85)</f>
        <v>141.85</v>
      </c>
      <c r="M666" s="17">
        <f>IFERROR(__xludf.DUMMYFUNCTION("AVERAGE(QUERY(SORT(GOOGLEFINANCE(B666,""price"",TODAY()-365,TODAY()),1,0),""select Col2 limit 120""))"),137.63325)</f>
        <v>137.63325</v>
      </c>
      <c r="N666" s="19">
        <f>IFERROR(__xludf.DUMMYFUNCTION("AVERAGE(QUERY(SORT(GOOGLEFINANCE(B666,""price"",TODAY()-365,TODAY()),1,0),""select Col2 limit 200""))"),153.7732)</f>
        <v>153.7732</v>
      </c>
      <c r="O666" s="20" t="str">
        <f t="shared" si="2"/>
        <v>Avoid</v>
      </c>
      <c r="P666" s="21" t="str">
        <f t="shared" si="3"/>
        <v>10 DMA</v>
      </c>
      <c r="Q666" s="21" t="str">
        <f t="shared" si="4"/>
        <v/>
      </c>
      <c r="R666" s="22">
        <f>IFERROR(__xludf.DUMMYFUNCTION("GOOGLEFINANCE(B666, ""pe"")
"),100.01)</f>
        <v>100.01</v>
      </c>
    </row>
    <row r="667">
      <c r="A667" s="9" t="s">
        <v>679</v>
      </c>
      <c r="B667" s="11" t="str">
        <f t="shared" si="1"/>
        <v>NSE:CHEMPLASTS</v>
      </c>
      <c r="C667" s="12">
        <f>IFERROR(__xludf.DUMMYFUNCTION("GOOGLEFINANCE(B667,""marketcap"")/10000000"),6812.147904)</f>
        <v>6812.147904</v>
      </c>
      <c r="D667" s="13">
        <f>IFERROR(__xludf.DUMMYFUNCTION("GOOGLEFINANCE(B667,""price"")"),431.0)</f>
        <v>431</v>
      </c>
      <c r="E667" s="14">
        <f>IFERROR(__xludf.DUMMYFUNCTION("GOOGLEFINANCE(B667,""Volume"")"),28623.0)</f>
        <v>28623</v>
      </c>
      <c r="F667" s="14">
        <f t="array" ref="F667">F666</f>
        <v>14</v>
      </c>
      <c r="G667" s="15" t="str">
        <f>IFERROR(__xludf.DUMMYFUNCTION("IF(E667&gt;AVERAGE(INDEX(GOOGLEFINANCE(B667,""volume"",WORKDAY(TODAY(),-$F$1),TODAY()),,2)),""Breakout"","""")"),"#N/A")</f>
        <v>#N/A</v>
      </c>
      <c r="H667" s="16">
        <f>IFERROR(__xludf.DUMMYFUNCTION("GOOGLEFINANCE(B667,""price"")"),431.0)</f>
        <v>431</v>
      </c>
      <c r="I667" s="17">
        <f>IFERROR(__xludf.DUMMYFUNCTION("AVERAGE(QUERY(SORT(GOOGLEFINANCE(B667,""price"",TODAY()-365,TODAY()),1,0),""select Col2 limit 10""))"),444.895)</f>
        <v>444.895</v>
      </c>
      <c r="J667" s="17">
        <f>IFERROR(__xludf.DUMMYFUNCTION("AVERAGE(QUERY(SORT(GOOGLEFINANCE(B667,""price"",TODAY()-365,TODAY()),1,0),""select Col2 limit 30""))"),432.5666666666667)</f>
        <v>432.5666667</v>
      </c>
      <c r="K667" s="18">
        <f>IFERROR(__xludf.DUMMYFUNCTION("AVERAGE(QUERY(SORT(GOOGLEFINANCE(B667,""price"",TODAY()-365,TODAY()),1,0),""select Col2 limit 60""))"),427.53666666666675)</f>
        <v>427.5366667</v>
      </c>
      <c r="L667" s="17">
        <f>IFERROR(__xludf.DUMMYFUNCTION("AVERAGE(QUERY(SORT(GOOGLEFINANCE(B667,""price"",TODAY()-365,TODAY()),1,0),""select Col2 limit 90""))"),429.7661111111112)</f>
        <v>429.7661111</v>
      </c>
      <c r="M667" s="17">
        <f>IFERROR(__xludf.DUMMYFUNCTION("AVERAGE(QUERY(SORT(GOOGLEFINANCE(B667,""price"",TODAY()-365,TODAY()),1,0),""select Col2 limit 120""))"),430.6608333333332)</f>
        <v>430.6608333</v>
      </c>
      <c r="N667" s="19">
        <f>IFERROR(__xludf.DUMMYFUNCTION("AVERAGE(QUERY(SORT(GOOGLEFINANCE(B667,""price"",TODAY()-365,TODAY()),1,0),""select Col2 limit 200""))"),453.30674999999974)</f>
        <v>453.30675</v>
      </c>
      <c r="O667" s="20" t="str">
        <f t="shared" si="2"/>
        <v>Avoid</v>
      </c>
      <c r="P667" s="21" t="str">
        <f t="shared" si="3"/>
        <v>30 DMA</v>
      </c>
      <c r="Q667" s="21" t="str">
        <f t="shared" si="4"/>
        <v/>
      </c>
      <c r="R667" s="22" t="str">
        <f>IFERROR(__xludf.DUMMYFUNCTION("GOOGLEFINANCE(B667, ""pe"")
"),"#N/A")</f>
        <v>#N/A</v>
      </c>
    </row>
    <row r="668">
      <c r="A668" s="9" t="s">
        <v>680</v>
      </c>
      <c r="B668" s="11" t="str">
        <f t="shared" si="1"/>
        <v>NSE:INDIASHLTR</v>
      </c>
      <c r="C668" s="12">
        <f>IFERROR(__xludf.DUMMYFUNCTION("GOOGLEFINANCE(B668,""marketcap"")/10000000"),9866.47599)</f>
        <v>9866.47599</v>
      </c>
      <c r="D668" s="13">
        <f>IFERROR(__xludf.DUMMYFUNCTION("GOOGLEFINANCE(B668,""price"")"),907.6)</f>
        <v>907.6</v>
      </c>
      <c r="E668" s="14">
        <f>IFERROR(__xludf.DUMMYFUNCTION("GOOGLEFINANCE(B668,""Volume"")"),112975.0)</f>
        <v>112975</v>
      </c>
      <c r="F668" s="14">
        <f t="array" ref="F668">F667</f>
        <v>14</v>
      </c>
      <c r="G668" s="15" t="str">
        <f>IFERROR(__xludf.DUMMYFUNCTION("IF(E668&gt;AVERAGE(INDEX(GOOGLEFINANCE(B668,""volume"",WORKDAY(TODAY(),-$F$1),TODAY()),,2)),""Breakout"","""")"),"")</f>
        <v/>
      </c>
      <c r="H668" s="16">
        <f>IFERROR(__xludf.DUMMYFUNCTION("GOOGLEFINANCE(B668,""price"")"),907.6)</f>
        <v>907.6</v>
      </c>
      <c r="I668" s="17">
        <f>IFERROR(__xludf.DUMMYFUNCTION("AVERAGE(QUERY(SORT(GOOGLEFINANCE(B668,""price"",TODAY()-365,TODAY()),1,0),""select Col2 limit 10""))"),963.6949999999999)</f>
        <v>963.695</v>
      </c>
      <c r="J668" s="17">
        <f>IFERROR(__xludf.DUMMYFUNCTION("AVERAGE(QUERY(SORT(GOOGLEFINANCE(B668,""price"",TODAY()-365,TODAY()),1,0),""select Col2 limit 30""))"),913.485)</f>
        <v>913.485</v>
      </c>
      <c r="K668" s="18">
        <f>IFERROR(__xludf.DUMMYFUNCTION("AVERAGE(QUERY(SORT(GOOGLEFINANCE(B668,""price"",TODAY()-365,TODAY()),1,0),""select Col2 limit 60""))"),893.6425000000002)</f>
        <v>893.6425</v>
      </c>
      <c r="L668" s="17">
        <f>IFERROR(__xludf.DUMMYFUNCTION("AVERAGE(QUERY(SORT(GOOGLEFINANCE(B668,""price"",TODAY()-365,TODAY()),1,0),""select Col2 limit 90""))"),874.8738888888892)</f>
        <v>874.8738889</v>
      </c>
      <c r="M668" s="17">
        <f>IFERROR(__xludf.DUMMYFUNCTION("AVERAGE(QUERY(SORT(GOOGLEFINANCE(B668,""price"",TODAY()-365,TODAY()),1,0),""select Col2 limit 120""))"),829.9766666666669)</f>
        <v>829.9766667</v>
      </c>
      <c r="N668" s="19">
        <f>IFERROR(__xludf.DUMMYFUNCTION("AVERAGE(QUERY(SORT(GOOGLEFINANCE(B668,""price"",TODAY()-365,TODAY()),1,0),""select Col2 limit 200""))"),770.6955000000005)</f>
        <v>770.6955</v>
      </c>
      <c r="O668" s="20" t="str">
        <f t="shared" si="2"/>
        <v>Avoid</v>
      </c>
      <c r="P668" s="21" t="str">
        <f t="shared" si="3"/>
        <v>30 DMA</v>
      </c>
      <c r="Q668" s="21" t="str">
        <f t="shared" si="4"/>
        <v/>
      </c>
      <c r="R668" s="22">
        <f>IFERROR(__xludf.DUMMYFUNCTION("GOOGLEFINANCE(B668, ""pe"")
"),26.93)</f>
        <v>26.93</v>
      </c>
    </row>
    <row r="669">
      <c r="A669" s="9" t="s">
        <v>681</v>
      </c>
      <c r="B669" s="11" t="str">
        <f t="shared" si="1"/>
        <v>NSE:SYMPHONY</v>
      </c>
      <c r="C669" s="12">
        <f>IFERROR(__xludf.DUMMYFUNCTION("GOOGLEFINANCE(B669,""marketcap"")/10000000"),7664.7559506)</f>
        <v>7664.755951</v>
      </c>
      <c r="D669" s="13">
        <f>IFERROR(__xludf.DUMMYFUNCTION("GOOGLEFINANCE(B669,""price"")"),1119.3)</f>
        <v>1119.3</v>
      </c>
      <c r="E669" s="14">
        <f>IFERROR(__xludf.DUMMYFUNCTION("GOOGLEFINANCE(B669,""Volume"")"),18142.0)</f>
        <v>18142</v>
      </c>
      <c r="F669" s="14">
        <f t="array" ref="F669">F668</f>
        <v>14</v>
      </c>
      <c r="G669" s="15" t="str">
        <f>IFERROR(__xludf.DUMMYFUNCTION("IF(E669&gt;AVERAGE(INDEX(GOOGLEFINANCE(B669,""volume"",WORKDAY(TODAY(),-$F$1),TODAY()),,2)),""Breakout"","""")"),"")</f>
        <v/>
      </c>
      <c r="H669" s="16">
        <f>IFERROR(__xludf.DUMMYFUNCTION("GOOGLEFINANCE(B669,""price"")"),1119.3)</f>
        <v>1119.3</v>
      </c>
      <c r="I669" s="17">
        <f>IFERROR(__xludf.DUMMYFUNCTION("AVERAGE(QUERY(SORT(GOOGLEFINANCE(B669,""price"",TODAY()-365,TODAY()),1,0),""select Col2 limit 10""))"),1153.71)</f>
        <v>1153.71</v>
      </c>
      <c r="J669" s="17">
        <f>IFERROR(__xludf.DUMMYFUNCTION("AVERAGE(QUERY(SORT(GOOGLEFINANCE(B669,""price"",TODAY()-365,TODAY()),1,0),""select Col2 limit 30""))"),1126.436666666667)</f>
        <v>1126.436667</v>
      </c>
      <c r="K669" s="18">
        <f>IFERROR(__xludf.DUMMYFUNCTION("AVERAGE(QUERY(SORT(GOOGLEFINANCE(B669,""price"",TODAY()-365,TODAY()),1,0),""select Col2 limit 60""))"),1176.5)</f>
        <v>1176.5</v>
      </c>
      <c r="L669" s="17">
        <f>IFERROR(__xludf.DUMMYFUNCTION("AVERAGE(QUERY(SORT(GOOGLEFINANCE(B669,""price"",TODAY()-365,TODAY()),1,0),""select Col2 limit 90""))"),1167.7827777777775)</f>
        <v>1167.782778</v>
      </c>
      <c r="M669" s="17">
        <f>IFERROR(__xludf.DUMMYFUNCTION("AVERAGE(QUERY(SORT(GOOGLEFINANCE(B669,""price"",TODAY()-365,TODAY()),1,0),""select Col2 limit 120""))"),1169.8891666666666)</f>
        <v>1169.889167</v>
      </c>
      <c r="N669" s="19">
        <f>IFERROR(__xludf.DUMMYFUNCTION("AVERAGE(QUERY(SORT(GOOGLEFINANCE(B669,""price"",TODAY()-365,TODAY()),1,0),""select Col2 limit 200""))"),1277.99175)</f>
        <v>1277.99175</v>
      </c>
      <c r="O669" s="20" t="str">
        <f t="shared" si="2"/>
        <v>Avoid</v>
      </c>
      <c r="P669" s="21" t="str">
        <f t="shared" si="3"/>
        <v>30 DMA</v>
      </c>
      <c r="Q669" s="21" t="str">
        <f t="shared" si="4"/>
        <v/>
      </c>
      <c r="R669" s="22">
        <f>IFERROR(__xludf.DUMMYFUNCTION("GOOGLEFINANCE(B669, ""pe"")
"),36.3)</f>
        <v>36.3</v>
      </c>
    </row>
    <row r="670">
      <c r="A670" s="9" t="s">
        <v>682</v>
      </c>
      <c r="B670" s="11" t="str">
        <f t="shared" si="1"/>
        <v>NSE:RELIGARE</v>
      </c>
      <c r="C670" s="12">
        <f>IFERROR(__xludf.DUMMYFUNCTION("GOOGLEFINANCE(B670,""marketcap"")/10000000"),9053.2951643)</f>
        <v>9053.295164</v>
      </c>
      <c r="D670" s="13">
        <f>IFERROR(__xludf.DUMMYFUNCTION("GOOGLEFINANCE(B670,""price"")"),272.9)</f>
        <v>272.9</v>
      </c>
      <c r="E670" s="14">
        <f>IFERROR(__xludf.DUMMYFUNCTION("GOOGLEFINANCE(B670,""Volume"")"),1093473.0)</f>
        <v>1093473</v>
      </c>
      <c r="F670" s="14">
        <f t="array" ref="F670">F669</f>
        <v>14</v>
      </c>
      <c r="G670" s="15" t="str">
        <f>IFERROR(__xludf.DUMMYFUNCTION("IF(E670&gt;AVERAGE(INDEX(GOOGLEFINANCE(B670,""volume"",WORKDAY(TODAY(),-$F$1),TODAY()),,2)),""Breakout"","""")"),"")</f>
        <v/>
      </c>
      <c r="H670" s="16">
        <f>IFERROR(__xludf.DUMMYFUNCTION("GOOGLEFINANCE(B670,""price"")"),272.9)</f>
        <v>272.9</v>
      </c>
      <c r="I670" s="17">
        <f>IFERROR(__xludf.DUMMYFUNCTION("AVERAGE(QUERY(SORT(GOOGLEFINANCE(B670,""price"",TODAY()-365,TODAY()),1,0),""select Col2 limit 10""))"),274.43399999999997)</f>
        <v>274.434</v>
      </c>
      <c r="J670" s="17">
        <f>IFERROR(__xludf.DUMMYFUNCTION("AVERAGE(QUERY(SORT(GOOGLEFINANCE(B670,""price"",TODAY()-365,TODAY()),1,0),""select Col2 limit 30""))"),244.00866666666664)</f>
        <v>244.0086667</v>
      </c>
      <c r="K670" s="18">
        <f>IFERROR(__xludf.DUMMYFUNCTION("AVERAGE(QUERY(SORT(GOOGLEFINANCE(B670,""price"",TODAY()-365,TODAY()),1,0),""select Col2 limit 60""))"),234.48233333333337)</f>
        <v>234.4823333</v>
      </c>
      <c r="L670" s="17">
        <f>IFERROR(__xludf.DUMMYFUNCTION("AVERAGE(QUERY(SORT(GOOGLEFINANCE(B670,""price"",TODAY()-365,TODAY()),1,0),""select Col2 limit 90""))"),231.4697777777779)</f>
        <v>231.4697778</v>
      </c>
      <c r="M670" s="17">
        <f>IFERROR(__xludf.DUMMYFUNCTION("AVERAGE(QUERY(SORT(GOOGLEFINANCE(B670,""price"",TODAY()-365,TODAY()),1,0),""select Col2 limit 120""))"),233.48641666666666)</f>
        <v>233.4864167</v>
      </c>
      <c r="N670" s="19">
        <f>IFERROR(__xludf.DUMMYFUNCTION("AVERAGE(QUERY(SORT(GOOGLEFINANCE(B670,""price"",TODAY()-365,TODAY()),1,0),""select Col2 limit 200""))"),247.44839999999996)</f>
        <v>247.4484</v>
      </c>
      <c r="O670" s="20" t="str">
        <f t="shared" si="2"/>
        <v>Avoid</v>
      </c>
      <c r="P670" s="21" t="str">
        <f t="shared" si="3"/>
        <v>10 DMA</v>
      </c>
      <c r="Q670" s="21" t="str">
        <f t="shared" si="4"/>
        <v/>
      </c>
      <c r="R670" s="22">
        <f>IFERROR(__xludf.DUMMYFUNCTION("GOOGLEFINANCE(B670, ""pe"")
"),72.48)</f>
        <v>72.48</v>
      </c>
    </row>
    <row r="671">
      <c r="A671" s="9" t="s">
        <v>683</v>
      </c>
      <c r="B671" s="11" t="str">
        <f t="shared" si="1"/>
        <v>NSE:AURIONPRO</v>
      </c>
      <c r="C671" s="12">
        <f>IFERROR(__xludf.DUMMYFUNCTION("GOOGLEFINANCE(B671,""marketcap"")/10000000"),7680.200632)</f>
        <v>7680.200632</v>
      </c>
      <c r="D671" s="13">
        <f>IFERROR(__xludf.DUMMYFUNCTION("GOOGLEFINANCE(B671,""price"")"),1390.5)</f>
        <v>1390.5</v>
      </c>
      <c r="E671" s="14">
        <f>IFERROR(__xludf.DUMMYFUNCTION("GOOGLEFINANCE(B671,""Volume"")"),62252.0)</f>
        <v>62252</v>
      </c>
      <c r="F671" s="14">
        <f t="array" ref="F671">F670</f>
        <v>14</v>
      </c>
      <c r="G671" s="15" t="str">
        <f>IFERROR(__xludf.DUMMYFUNCTION("IF(E671&gt;AVERAGE(INDEX(GOOGLEFINANCE(B671,""volume"",WORKDAY(TODAY(),-$F$1),TODAY()),,2)),""Breakout"","""")"),"")</f>
        <v/>
      </c>
      <c r="H671" s="16">
        <f>IFERROR(__xludf.DUMMYFUNCTION("GOOGLEFINANCE(B671,""price"")"),1390.5)</f>
        <v>1390.5</v>
      </c>
      <c r="I671" s="17">
        <f>IFERROR(__xludf.DUMMYFUNCTION("AVERAGE(QUERY(SORT(GOOGLEFINANCE(B671,""price"",TODAY()-365,TODAY()),1,0),""select Col2 limit 10""))"),1541.35)</f>
        <v>1541.35</v>
      </c>
      <c r="J671" s="17">
        <f>IFERROR(__xludf.DUMMYFUNCTION("AVERAGE(QUERY(SORT(GOOGLEFINANCE(B671,""price"",TODAY()-365,TODAY()),1,0),""select Col2 limit 30""))"),1472.9599999999998)</f>
        <v>1472.96</v>
      </c>
      <c r="K671" s="18">
        <f>IFERROR(__xludf.DUMMYFUNCTION("AVERAGE(QUERY(SORT(GOOGLEFINANCE(B671,""price"",TODAY()-365,TODAY()),1,0),""select Col2 limit 60""))"),1424.343333333334)</f>
        <v>1424.343333</v>
      </c>
      <c r="L671" s="17">
        <f>IFERROR(__xludf.DUMMYFUNCTION("AVERAGE(QUERY(SORT(GOOGLEFINANCE(B671,""price"",TODAY()-365,TODAY()),1,0),""select Col2 limit 90""))"),1447.4527777777776)</f>
        <v>1447.452778</v>
      </c>
      <c r="M671" s="17">
        <f>IFERROR(__xludf.DUMMYFUNCTION("AVERAGE(QUERY(SORT(GOOGLEFINANCE(B671,""price"",TODAY()-365,TODAY()),1,0),""select Col2 limit 120""))"),1439.6779166666663)</f>
        <v>1439.677917</v>
      </c>
      <c r="N671" s="19">
        <f>IFERROR(__xludf.DUMMYFUNCTION("AVERAGE(QUERY(SORT(GOOGLEFINANCE(B671,""price"",TODAY()-365,TODAY()),1,0),""select Col2 limit 200""))"),1523.5277499999997)</f>
        <v>1523.52775</v>
      </c>
      <c r="O671" s="20" t="str">
        <f t="shared" si="2"/>
        <v>Avoid</v>
      </c>
      <c r="P671" s="21" t="str">
        <f t="shared" si="3"/>
        <v/>
      </c>
      <c r="Q671" s="21" t="str">
        <f t="shared" si="4"/>
        <v/>
      </c>
      <c r="R671" s="22">
        <f>IFERROR(__xludf.DUMMYFUNCTION("GOOGLEFINANCE(B671, ""pe"")
"),39.31)</f>
        <v>39.31</v>
      </c>
    </row>
    <row r="672">
      <c r="A672" s="9" t="s">
        <v>684</v>
      </c>
      <c r="B672" s="11" t="str">
        <f t="shared" si="1"/>
        <v>NSE:SHAKTIPUMP</v>
      </c>
      <c r="C672" s="12">
        <f>IFERROR(__xludf.DUMMYFUNCTION("GOOGLEFINANCE(B672,""marketcap"")/10000000"),10778.1897261)</f>
        <v>10778.18973</v>
      </c>
      <c r="D672" s="13">
        <f>IFERROR(__xludf.DUMMYFUNCTION("GOOGLEFINANCE(B672,""price"")"),875.15)</f>
        <v>875.15</v>
      </c>
      <c r="E672" s="14">
        <f>IFERROR(__xludf.DUMMYFUNCTION("GOOGLEFINANCE(B672,""Volume"")"),416598.0)</f>
        <v>416598</v>
      </c>
      <c r="F672" s="14">
        <f t="array" ref="F672">F671</f>
        <v>14</v>
      </c>
      <c r="G672" s="15" t="str">
        <f>IFERROR(__xludf.DUMMYFUNCTION("IF(E672&gt;AVERAGE(INDEX(GOOGLEFINANCE(B672,""volume"",WORKDAY(TODAY(),-$F$1),TODAY()),,2)),""Breakout"","""")"),"Breakout")</f>
        <v>Breakout</v>
      </c>
      <c r="H672" s="16">
        <f>IFERROR(__xludf.DUMMYFUNCTION("GOOGLEFINANCE(B672,""price"")"),875.15)</f>
        <v>875.15</v>
      </c>
      <c r="I672" s="17">
        <f>IFERROR(__xludf.DUMMYFUNCTION("AVERAGE(QUERY(SORT(GOOGLEFINANCE(B672,""price"",TODAY()-365,TODAY()),1,0),""select Col2 limit 10""))"),920.71)</f>
        <v>920.71</v>
      </c>
      <c r="J672" s="17">
        <f>IFERROR(__xludf.DUMMYFUNCTION("AVERAGE(QUERY(SORT(GOOGLEFINANCE(B672,""price"",TODAY()-365,TODAY()),1,0),""select Col2 limit 30""))"),941.8550000000001)</f>
        <v>941.855</v>
      </c>
      <c r="K672" s="18">
        <f>IFERROR(__xludf.DUMMYFUNCTION("AVERAGE(QUERY(SORT(GOOGLEFINANCE(B672,""price"",TODAY()-365,TODAY()),1,0),""select Col2 limit 60""))"),914.0041666666671)</f>
        <v>914.0041667</v>
      </c>
      <c r="L672" s="17">
        <f>IFERROR(__xludf.DUMMYFUNCTION("AVERAGE(QUERY(SORT(GOOGLEFINANCE(B672,""price"",TODAY()-365,TODAY()),1,0),""select Col2 limit 90""))"),923.3633333333333)</f>
        <v>923.3633333</v>
      </c>
      <c r="M672" s="17">
        <f>IFERROR(__xludf.DUMMYFUNCTION("AVERAGE(QUERY(SORT(GOOGLEFINANCE(B672,""price"",TODAY()-365,TODAY()),1,0),""select Col2 limit 120""))"),913.5399999999998)</f>
        <v>913.54</v>
      </c>
      <c r="N672" s="19">
        <f>IFERROR(__xludf.DUMMYFUNCTION("AVERAGE(QUERY(SORT(GOOGLEFINANCE(B672,""price"",TODAY()-365,TODAY()),1,0),""select Col2 limit 200""))"),911.9187999999999)</f>
        <v>911.9188</v>
      </c>
      <c r="O672" s="20" t="str">
        <f t="shared" si="2"/>
        <v>Avoid</v>
      </c>
      <c r="P672" s="21" t="str">
        <f t="shared" si="3"/>
        <v/>
      </c>
      <c r="Q672" s="21" t="str">
        <f t="shared" si="4"/>
        <v/>
      </c>
      <c r="R672" s="22">
        <f>IFERROR(__xludf.DUMMYFUNCTION("GOOGLEFINANCE(B672, ""pe"")
"),25.76)</f>
        <v>25.76</v>
      </c>
    </row>
    <row r="673">
      <c r="A673" s="9" t="s">
        <v>685</v>
      </c>
      <c r="B673" s="11" t="str">
        <f t="shared" si="1"/>
        <v>NSE:VIJAYA</v>
      </c>
      <c r="C673" s="12">
        <f>IFERROR(__xludf.DUMMYFUNCTION("GOOGLEFINANCE(B673,""marketcap"")/10000000"),10893.5607527)</f>
        <v>10893.56075</v>
      </c>
      <c r="D673" s="13">
        <f>IFERROR(__xludf.DUMMYFUNCTION("GOOGLEFINANCE(B673,""price"")"),1060.85)</f>
        <v>1060.85</v>
      </c>
      <c r="E673" s="14">
        <f>IFERROR(__xludf.DUMMYFUNCTION("GOOGLEFINANCE(B673,""Volume"")"),147154.0)</f>
        <v>147154</v>
      </c>
      <c r="F673" s="14">
        <f t="array" ref="F673">F672</f>
        <v>14</v>
      </c>
      <c r="G673" s="15" t="str">
        <f>IFERROR(__xludf.DUMMYFUNCTION("IF(E673&gt;AVERAGE(INDEX(GOOGLEFINANCE(B673,""volume"",WORKDAY(TODAY(),-$F$1),TODAY()),,2)),""Breakout"","""")"),"")</f>
        <v/>
      </c>
      <c r="H673" s="16">
        <f>IFERROR(__xludf.DUMMYFUNCTION("GOOGLEFINANCE(B673,""price"")"),1060.85)</f>
        <v>1060.85</v>
      </c>
      <c r="I673" s="17" t="str">
        <f>IFERROR(__xludf.DUMMYFUNCTION("AVERAGE(QUERY(SORT(GOOGLEFINANCE(B673,""price"",TODAY()-365,TODAY()),1,0),""select Col2 limit 10""))"),"#N/A")</f>
        <v>#N/A</v>
      </c>
      <c r="J673" s="17" t="str">
        <f>IFERROR(__xludf.DUMMYFUNCTION("AVERAGE(QUERY(SORT(GOOGLEFINANCE(B673,""price"",TODAY()-365,TODAY()),1,0),""select Col2 limit 30""))"),"#N/A")</f>
        <v>#N/A</v>
      </c>
      <c r="K673" s="18" t="str">
        <f>IFERROR(__xludf.DUMMYFUNCTION("AVERAGE(QUERY(SORT(GOOGLEFINANCE(B673,""price"",TODAY()-365,TODAY()),1,0),""select Col2 limit 60""))"),"#N/A")</f>
        <v>#N/A</v>
      </c>
      <c r="L673" s="17" t="str">
        <f>IFERROR(__xludf.DUMMYFUNCTION("AVERAGE(QUERY(SORT(GOOGLEFINANCE(B673,""price"",TODAY()-365,TODAY()),1,0),""select Col2 limit 90""))"),"#N/A")</f>
        <v>#N/A</v>
      </c>
      <c r="M673" s="17" t="str">
        <f>IFERROR(__xludf.DUMMYFUNCTION("AVERAGE(QUERY(SORT(GOOGLEFINANCE(B673,""price"",TODAY()-365,TODAY()),1,0),""select Col2 limit 120""))"),"#N/A")</f>
        <v>#N/A</v>
      </c>
      <c r="N673" s="19" t="str">
        <f>IFERROR(__xludf.DUMMYFUNCTION("AVERAGE(QUERY(SORT(GOOGLEFINANCE(B673,""price"",TODAY()-365,TODAY()),1,0),""select Col2 limit 200""))"),"#N/A")</f>
        <v>#N/A</v>
      </c>
      <c r="O673" s="20" t="str">
        <f t="shared" si="2"/>
        <v>#N/A</v>
      </c>
      <c r="P673" s="21" t="str">
        <f t="shared" si="3"/>
        <v>#N/A</v>
      </c>
      <c r="Q673" s="21" t="str">
        <f t="shared" si="4"/>
        <v>#N/A</v>
      </c>
      <c r="R673" s="22">
        <f>IFERROR(__xludf.DUMMYFUNCTION("GOOGLEFINANCE(B673, ""pe"")
"),76.21)</f>
        <v>76.21</v>
      </c>
    </row>
    <row r="674">
      <c r="A674" s="9" t="s">
        <v>686</v>
      </c>
      <c r="B674" s="11" t="str">
        <f t="shared" si="1"/>
        <v>NSE:JSWHL</v>
      </c>
      <c r="C674" s="12">
        <f>IFERROR(__xludf.DUMMYFUNCTION("GOOGLEFINANCE(B674,""marketcap"")/10000000"),23450.074)</f>
        <v>23450.074</v>
      </c>
      <c r="D674" s="13">
        <f>IFERROR(__xludf.DUMMYFUNCTION("GOOGLEFINANCE(B674,""price"")"),21125.0)</f>
        <v>21125</v>
      </c>
      <c r="E674" s="14">
        <f>IFERROR(__xludf.DUMMYFUNCTION("GOOGLEFINANCE(B674,""Volume"")"),161.0)</f>
        <v>161</v>
      </c>
      <c r="F674" s="14">
        <f t="array" ref="F674">F673</f>
        <v>14</v>
      </c>
      <c r="G674" s="15" t="str">
        <f>IFERROR(__xludf.DUMMYFUNCTION("IF(E674&gt;AVERAGE(INDEX(GOOGLEFINANCE(B674,""volume"",WORKDAY(TODAY(),-$F$1),TODAY()),,2)),""Breakout"","""")"),"")</f>
        <v/>
      </c>
      <c r="H674" s="16">
        <f>IFERROR(__xludf.DUMMYFUNCTION("GOOGLEFINANCE(B674,""price"")"),21125.0)</f>
        <v>21125</v>
      </c>
      <c r="I674" s="17">
        <f>IFERROR(__xludf.DUMMYFUNCTION("AVERAGE(QUERY(SORT(GOOGLEFINANCE(B674,""price"",TODAY()-365,TODAY()),1,0),""select Col2 limit 10""))"),21921.5)</f>
        <v>21921.5</v>
      </c>
      <c r="J674" s="17">
        <f>IFERROR(__xludf.DUMMYFUNCTION("AVERAGE(QUERY(SORT(GOOGLEFINANCE(B674,""price"",TODAY()-365,TODAY()),1,0),""select Col2 limit 30""))"),21824.666666666668)</f>
        <v>21824.66667</v>
      </c>
      <c r="K674" s="18">
        <f>IFERROR(__xludf.DUMMYFUNCTION("AVERAGE(QUERY(SORT(GOOGLEFINANCE(B674,""price"",TODAY()-365,TODAY()),1,0),""select Col2 limit 60""))"),22538.583333333332)</f>
        <v>22538.58333</v>
      </c>
      <c r="L674" s="17">
        <f>IFERROR(__xludf.DUMMYFUNCTION("AVERAGE(QUERY(SORT(GOOGLEFINANCE(B674,""price"",TODAY()-365,TODAY()),1,0),""select Col2 limit 90""))"),22996.202777777784)</f>
        <v>22996.20278</v>
      </c>
      <c r="M674" s="17">
        <f>IFERROR(__xludf.DUMMYFUNCTION("AVERAGE(QUERY(SORT(GOOGLEFINANCE(B674,""price"",TODAY()-365,TODAY()),1,0),""select Col2 limit 120""))"),21487.70583333333)</f>
        <v>21487.70583</v>
      </c>
      <c r="N674" s="19">
        <f>IFERROR(__xludf.DUMMYFUNCTION("AVERAGE(QUERY(SORT(GOOGLEFINANCE(B674,""price"",TODAY()-365,TODAY()),1,0),""select Col2 limit 200""))"),18596.199250000005)</f>
        <v>18596.19925</v>
      </c>
      <c r="O674" s="20" t="str">
        <f t="shared" si="2"/>
        <v>Sell Below 200 DMA</v>
      </c>
      <c r="P674" s="21" t="str">
        <f t="shared" si="3"/>
        <v/>
      </c>
      <c r="Q674" s="21" t="str">
        <f t="shared" si="4"/>
        <v/>
      </c>
      <c r="R674" s="22">
        <f>IFERROR(__xludf.DUMMYFUNCTION("GOOGLEFINANCE(B674, ""pe"")
"),119.77)</f>
        <v>119.77</v>
      </c>
    </row>
    <row r="675">
      <c r="A675" s="9" t="s">
        <v>687</v>
      </c>
      <c r="B675" s="11" t="str">
        <f t="shared" si="1"/>
        <v>NSE:WABAG</v>
      </c>
      <c r="C675" s="12">
        <f>IFERROR(__xludf.DUMMYFUNCTION("GOOGLEFINANCE(B675,""marketcap"")/10000000"),9954.4992)</f>
        <v>9954.4992</v>
      </c>
      <c r="D675" s="13">
        <f>IFERROR(__xludf.DUMMYFUNCTION("GOOGLEFINANCE(B675,""price"")"),1594.7)</f>
        <v>1594.7</v>
      </c>
      <c r="E675" s="14">
        <f>IFERROR(__xludf.DUMMYFUNCTION("GOOGLEFINANCE(B675,""Volume"")"),261744.0)</f>
        <v>261744</v>
      </c>
      <c r="F675" s="14">
        <f t="array" ref="F675">F674</f>
        <v>14</v>
      </c>
      <c r="G675" s="15" t="str">
        <f>IFERROR(__xludf.DUMMYFUNCTION("IF(E675&gt;AVERAGE(INDEX(GOOGLEFINANCE(B675,""volume"",WORKDAY(TODAY(),-$F$1),TODAY()),,2)),""Breakout"","""")"),"")</f>
        <v/>
      </c>
      <c r="H675" s="16">
        <f>IFERROR(__xludf.DUMMYFUNCTION("GOOGLEFINANCE(B675,""price"")"),1594.7)</f>
        <v>1594.7</v>
      </c>
      <c r="I675" s="17">
        <f>IFERROR(__xludf.DUMMYFUNCTION("AVERAGE(QUERY(SORT(GOOGLEFINANCE(B675,""price"",TODAY()-365,TODAY()),1,0),""select Col2 limit 10""))"),1532.8400000000001)</f>
        <v>1532.84</v>
      </c>
      <c r="J675" s="17">
        <f>IFERROR(__xludf.DUMMYFUNCTION("AVERAGE(QUERY(SORT(GOOGLEFINANCE(B675,""price"",TODAY()-365,TODAY()),1,0),""select Col2 limit 30""))"),1499.8100000000002)</f>
        <v>1499.81</v>
      </c>
      <c r="K675" s="18">
        <f>IFERROR(__xludf.DUMMYFUNCTION("AVERAGE(QUERY(SORT(GOOGLEFINANCE(B675,""price"",TODAY()-365,TODAY()),1,0),""select Col2 limit 60""))"),1495.9766666666665)</f>
        <v>1495.976667</v>
      </c>
      <c r="L675" s="17">
        <f>IFERROR(__xludf.DUMMYFUNCTION("AVERAGE(QUERY(SORT(GOOGLEFINANCE(B675,""price"",TODAY()-365,TODAY()),1,0),""select Col2 limit 90""))"),1466.6355555555554)</f>
        <v>1466.635556</v>
      </c>
      <c r="M675" s="17">
        <f>IFERROR(__xludf.DUMMYFUNCTION("AVERAGE(QUERY(SORT(GOOGLEFINANCE(B675,""price"",TODAY()-365,TODAY()),1,0),""select Col2 limit 120""))"),1440.9112499999997)</f>
        <v>1440.91125</v>
      </c>
      <c r="N675" s="19">
        <f>IFERROR(__xludf.DUMMYFUNCTION("AVERAGE(QUERY(SORT(GOOGLEFINANCE(B675,""price"",TODAY()-365,TODAY()),1,0),""select Col2 limit 200""))"),1524.543750000001)</f>
        <v>1524.54375</v>
      </c>
      <c r="O675" s="20" t="str">
        <f t="shared" si="2"/>
        <v>Avoid</v>
      </c>
      <c r="P675" s="21" t="str">
        <f t="shared" si="3"/>
        <v/>
      </c>
      <c r="Q675" s="21" t="str">
        <f t="shared" si="4"/>
        <v/>
      </c>
      <c r="R675" s="22">
        <f>IFERROR(__xludf.DUMMYFUNCTION("GOOGLEFINANCE(B675, ""pe"")
"),34.18)</f>
        <v>34.18</v>
      </c>
    </row>
    <row r="676">
      <c r="A676" s="9" t="s">
        <v>688</v>
      </c>
      <c r="B676" s="11" t="str">
        <f t="shared" si="1"/>
        <v>NSE:HCC</v>
      </c>
      <c r="C676" s="12">
        <f>IFERROR(__xludf.DUMMYFUNCTION("GOOGLEFINANCE(B676,""marketcap"")/10000000"),4901.4178991)</f>
        <v>4901.417899</v>
      </c>
      <c r="D676" s="13">
        <f>IFERROR(__xludf.DUMMYFUNCTION("GOOGLEFINANCE(B676,""price"")"),26.82)</f>
        <v>26.82</v>
      </c>
      <c r="E676" s="14">
        <f>IFERROR(__xludf.DUMMYFUNCTION("GOOGLEFINANCE(B676,""Volume"")"),1669739.0)</f>
        <v>1669739</v>
      </c>
      <c r="F676" s="14">
        <f t="array" ref="F676">F675</f>
        <v>14</v>
      </c>
      <c r="G676" s="15" t="str">
        <f>IFERROR(__xludf.DUMMYFUNCTION("IF(E676&gt;AVERAGE(INDEX(GOOGLEFINANCE(B676,""volume"",WORKDAY(TODAY(),-$F$1),TODAY()),,2)),""Breakout"","""")"),"")</f>
        <v/>
      </c>
      <c r="H676" s="16">
        <f>IFERROR(__xludf.DUMMYFUNCTION("GOOGLEFINANCE(B676,""price"")"),26.82)</f>
        <v>26.82</v>
      </c>
      <c r="I676" s="17" t="str">
        <f>IFERROR(__xludf.DUMMYFUNCTION("AVERAGE(QUERY(SORT(GOOGLEFINANCE(B676,""price"",TODAY()-365,TODAY()),1,0),""select Col2 limit 10""))"),"#N/A")</f>
        <v>#N/A</v>
      </c>
      <c r="J676" s="17" t="str">
        <f>IFERROR(__xludf.DUMMYFUNCTION("AVERAGE(QUERY(SORT(GOOGLEFINANCE(B676,""price"",TODAY()-365,TODAY()),1,0),""select Col2 limit 30""))"),"#N/A")</f>
        <v>#N/A</v>
      </c>
      <c r="K676" s="18" t="str">
        <f>IFERROR(__xludf.DUMMYFUNCTION("AVERAGE(QUERY(SORT(GOOGLEFINANCE(B676,""price"",TODAY()-365,TODAY()),1,0),""select Col2 limit 60""))"),"#N/A")</f>
        <v>#N/A</v>
      </c>
      <c r="L676" s="17" t="str">
        <f>IFERROR(__xludf.DUMMYFUNCTION("AVERAGE(QUERY(SORT(GOOGLEFINANCE(B676,""price"",TODAY()-365,TODAY()),1,0),""select Col2 limit 90""))"),"#N/A")</f>
        <v>#N/A</v>
      </c>
      <c r="M676" s="17" t="str">
        <f>IFERROR(__xludf.DUMMYFUNCTION("AVERAGE(QUERY(SORT(GOOGLEFINANCE(B676,""price"",TODAY()-365,TODAY()),1,0),""select Col2 limit 120""))"),"#N/A")</f>
        <v>#N/A</v>
      </c>
      <c r="N676" s="19" t="str">
        <f>IFERROR(__xludf.DUMMYFUNCTION("AVERAGE(QUERY(SORT(GOOGLEFINANCE(B676,""price"",TODAY()-365,TODAY()),1,0),""select Col2 limit 200""))"),"#N/A")</f>
        <v>#N/A</v>
      </c>
      <c r="O676" s="20" t="str">
        <f t="shared" si="2"/>
        <v>#N/A</v>
      </c>
      <c r="P676" s="21" t="str">
        <f t="shared" si="3"/>
        <v>#N/A</v>
      </c>
      <c r="Q676" s="21" t="str">
        <f t="shared" si="4"/>
        <v>#N/A</v>
      </c>
      <c r="R676" s="22">
        <f>IFERROR(__xludf.DUMMYFUNCTION("GOOGLEFINANCE(B676, ""pe"")
"),41.04)</f>
        <v>41.04</v>
      </c>
    </row>
    <row r="677">
      <c r="A677" s="9" t="s">
        <v>689</v>
      </c>
      <c r="B677" s="11" t="str">
        <f t="shared" si="1"/>
        <v>NSE:DHANUKA</v>
      </c>
      <c r="C677" s="12">
        <f>IFERROR(__xludf.DUMMYFUNCTION("GOOGLEFINANCE(B677,""marketcap"")/10000000"),7944.6032268)</f>
        <v>7944.603227</v>
      </c>
      <c r="D677" s="13">
        <f>IFERROR(__xludf.DUMMYFUNCTION("GOOGLEFINANCE(B677,""price"")"),1758.9)</f>
        <v>1758.9</v>
      </c>
      <c r="E677" s="14">
        <f>IFERROR(__xludf.DUMMYFUNCTION("GOOGLEFINANCE(B677,""Volume"")"),47834.0)</f>
        <v>47834</v>
      </c>
      <c r="F677" s="14">
        <f t="array" ref="F677">F676</f>
        <v>14</v>
      </c>
      <c r="G677" s="15" t="str">
        <f>IFERROR(__xludf.DUMMYFUNCTION("IF(E677&gt;AVERAGE(INDEX(GOOGLEFINANCE(B677,""volume"",WORKDAY(TODAY(),-$F$1),TODAY()),,2)),""Breakout"","""")"),"")</f>
        <v/>
      </c>
      <c r="H677" s="16">
        <f>IFERROR(__xludf.DUMMYFUNCTION("GOOGLEFINANCE(B677,""price"")"),1758.9)</f>
        <v>1758.9</v>
      </c>
      <c r="I677" s="17">
        <f>IFERROR(__xludf.DUMMYFUNCTION("AVERAGE(QUERY(SORT(GOOGLEFINANCE(B677,""price"",TODAY()-365,TODAY()),1,0),""select Col2 limit 10""))"),1723.83)</f>
        <v>1723.83</v>
      </c>
      <c r="J677" s="17">
        <f>IFERROR(__xludf.DUMMYFUNCTION("AVERAGE(QUERY(SORT(GOOGLEFINANCE(B677,""price"",TODAY()-365,TODAY()),1,0),""select Col2 limit 30""))"),1698.6233333333332)</f>
        <v>1698.623333</v>
      </c>
      <c r="K677" s="18">
        <f>IFERROR(__xludf.DUMMYFUNCTION("AVERAGE(QUERY(SORT(GOOGLEFINANCE(B677,""price"",TODAY()-365,TODAY()),1,0),""select Col2 limit 60""))"),1632.481666666667)</f>
        <v>1632.481667</v>
      </c>
      <c r="L677" s="17">
        <f>IFERROR(__xludf.DUMMYFUNCTION("AVERAGE(QUERY(SORT(GOOGLEFINANCE(B677,""price"",TODAY()-365,TODAY()),1,0),""select Col2 limit 90""))"),1521.1927777777776)</f>
        <v>1521.192778</v>
      </c>
      <c r="M677" s="17">
        <f>IFERROR(__xludf.DUMMYFUNCTION("AVERAGE(QUERY(SORT(GOOGLEFINANCE(B677,""price"",TODAY()-365,TODAY()),1,0),""select Col2 limit 120""))"),1472.7974999999997)</f>
        <v>1472.7975</v>
      </c>
      <c r="N677" s="19">
        <f>IFERROR(__xludf.DUMMYFUNCTION("AVERAGE(QUERY(SORT(GOOGLEFINANCE(B677,""price"",TODAY()-365,TODAY()),1,0),""select Col2 limit 200""))"),1482.5994999999996)</f>
        <v>1482.5995</v>
      </c>
      <c r="O677" s="20" t="str">
        <f t="shared" si="2"/>
        <v>Avoid</v>
      </c>
      <c r="P677" s="21" t="str">
        <f t="shared" si="3"/>
        <v/>
      </c>
      <c r="Q677" s="21" t="str">
        <f t="shared" si="4"/>
        <v/>
      </c>
      <c r="R677" s="22">
        <f>IFERROR(__xludf.DUMMYFUNCTION("GOOGLEFINANCE(B677, ""pe"")
"),26.85)</f>
        <v>26.85</v>
      </c>
    </row>
    <row r="678">
      <c r="A678" s="9" t="s">
        <v>690</v>
      </c>
      <c r="B678" s="11" t="str">
        <f t="shared" si="1"/>
        <v>NSE:TIMETECHNO</v>
      </c>
      <c r="C678" s="12">
        <f>IFERROR(__xludf.DUMMYFUNCTION("GOOGLEFINANCE(B678,""marketcap"")/10000000"),10037.0738159)</f>
        <v>10037.07382</v>
      </c>
      <c r="D678" s="13">
        <f>IFERROR(__xludf.DUMMYFUNCTION("GOOGLEFINANCE(B678,""price"")"),442.0)</f>
        <v>442</v>
      </c>
      <c r="E678" s="14">
        <f>IFERROR(__xludf.DUMMYFUNCTION("GOOGLEFINANCE(B678,""Volume"")"),300385.0)</f>
        <v>300385</v>
      </c>
      <c r="F678" s="14">
        <f t="array" ref="F678">F677</f>
        <v>14</v>
      </c>
      <c r="G678" s="15" t="str">
        <f>IFERROR(__xludf.DUMMYFUNCTION("IF(E678&gt;AVERAGE(INDEX(GOOGLEFINANCE(B678,""volume"",WORKDAY(TODAY(),-$F$1),TODAY()),,2)),""Breakout"","""")"),"")</f>
        <v/>
      </c>
      <c r="H678" s="16">
        <f>IFERROR(__xludf.DUMMYFUNCTION("GOOGLEFINANCE(B678,""price"")"),442.0)</f>
        <v>442</v>
      </c>
      <c r="I678" s="17">
        <f>IFERROR(__xludf.DUMMYFUNCTION("AVERAGE(QUERY(SORT(GOOGLEFINANCE(B678,""price"",TODAY()-365,TODAY()),1,0),""select Col2 limit 10""))"),461.485)</f>
        <v>461.485</v>
      </c>
      <c r="J678" s="17">
        <f>IFERROR(__xludf.DUMMYFUNCTION("AVERAGE(QUERY(SORT(GOOGLEFINANCE(B678,""price"",TODAY()-365,TODAY()),1,0),""select Col2 limit 30""))"),449.8466666666666)</f>
        <v>449.8466667</v>
      </c>
      <c r="K678" s="18">
        <f>IFERROR(__xludf.DUMMYFUNCTION("AVERAGE(QUERY(SORT(GOOGLEFINANCE(B678,""price"",TODAY()-365,TODAY()),1,0),""select Col2 limit 60""))"),412.53249999999986)</f>
        <v>412.5325</v>
      </c>
      <c r="L678" s="17">
        <f>IFERROR(__xludf.DUMMYFUNCTION("AVERAGE(QUERY(SORT(GOOGLEFINANCE(B678,""price"",TODAY()-365,TODAY()),1,0),""select Col2 limit 90""))"),400.566111111111)</f>
        <v>400.5661111</v>
      </c>
      <c r="M678" s="17">
        <f>IFERROR(__xludf.DUMMYFUNCTION("AVERAGE(QUERY(SORT(GOOGLEFINANCE(B678,""price"",TODAY()-365,TODAY()),1,0),""select Col2 limit 120""))"),396.4179166666666)</f>
        <v>396.4179167</v>
      </c>
      <c r="N678" s="19">
        <f>IFERROR(__xludf.DUMMYFUNCTION("AVERAGE(QUERY(SORT(GOOGLEFINANCE(B678,""price"",TODAY()-365,TODAY()),1,0),""select Col2 limit 200""))"),410.63699999999983)</f>
        <v>410.637</v>
      </c>
      <c r="O678" s="20" t="str">
        <f t="shared" si="2"/>
        <v>Avoid</v>
      </c>
      <c r="P678" s="21" t="str">
        <f t="shared" si="3"/>
        <v/>
      </c>
      <c r="Q678" s="21" t="str">
        <f t="shared" si="4"/>
        <v/>
      </c>
      <c r="R678" s="22">
        <f>IFERROR(__xludf.DUMMYFUNCTION("GOOGLEFINANCE(B678, ""pe"")
"),25.88)</f>
        <v>25.88</v>
      </c>
    </row>
    <row r="679">
      <c r="A679" s="9" t="s">
        <v>691</v>
      </c>
      <c r="B679" s="11" t="str">
        <f t="shared" si="1"/>
        <v>NSE:IONEXCHANG</v>
      </c>
      <c r="C679" s="12">
        <f>IFERROR(__xludf.DUMMYFUNCTION("GOOGLEFINANCE(B679,""marketcap"")/10000000"),5681.2283609)</f>
        <v>5681.228361</v>
      </c>
      <c r="D679" s="13">
        <f>IFERROR(__xludf.DUMMYFUNCTION("GOOGLEFINANCE(B679,""price"")"),462.65)</f>
        <v>462.65</v>
      </c>
      <c r="E679" s="14">
        <f>IFERROR(__xludf.DUMMYFUNCTION("GOOGLEFINANCE(B679,""Volume"")"),108499.0)</f>
        <v>108499</v>
      </c>
      <c r="F679" s="14">
        <f t="array" ref="F679">F678</f>
        <v>14</v>
      </c>
      <c r="G679" s="15" t="str">
        <f>IFERROR(__xludf.DUMMYFUNCTION("IF(E679&gt;AVERAGE(INDEX(GOOGLEFINANCE(B679,""volume"",WORKDAY(TODAY(),-$F$1),TODAY()),,2)),""Breakout"","""")"),"")</f>
        <v/>
      </c>
      <c r="H679" s="16">
        <f>IFERROR(__xludf.DUMMYFUNCTION("GOOGLEFINANCE(B679,""price"")"),462.65)</f>
        <v>462.65</v>
      </c>
      <c r="I679" s="17">
        <f>IFERROR(__xludf.DUMMYFUNCTION("AVERAGE(QUERY(SORT(GOOGLEFINANCE(B679,""price"",TODAY()-365,TODAY()),1,0),""select Col2 limit 10""))"),531.2450000000001)</f>
        <v>531.245</v>
      </c>
      <c r="J679" s="17">
        <f>IFERROR(__xludf.DUMMYFUNCTION("AVERAGE(QUERY(SORT(GOOGLEFINANCE(B679,""price"",TODAY()-365,TODAY()),1,0),""select Col2 limit 30""))"),534.0266666666668)</f>
        <v>534.0266667</v>
      </c>
      <c r="K679" s="18">
        <f>IFERROR(__xludf.DUMMYFUNCTION("AVERAGE(QUERY(SORT(GOOGLEFINANCE(B679,""price"",TODAY()-365,TODAY()),1,0),""select Col2 limit 60""))"),539.7374999999998)</f>
        <v>539.7375</v>
      </c>
      <c r="L679" s="17">
        <f>IFERROR(__xludf.DUMMYFUNCTION("AVERAGE(QUERY(SORT(GOOGLEFINANCE(B679,""price"",TODAY()-365,TODAY()),1,0),""select Col2 limit 90""))"),524.0316666666663)</f>
        <v>524.0316667</v>
      </c>
      <c r="M679" s="17">
        <f>IFERROR(__xludf.DUMMYFUNCTION("AVERAGE(QUERY(SORT(GOOGLEFINANCE(B679,""price"",TODAY()-365,TODAY()),1,0),""select Col2 limit 120""))"),523.0329166666664)</f>
        <v>523.0329167</v>
      </c>
      <c r="N679" s="19">
        <f>IFERROR(__xludf.DUMMYFUNCTION("AVERAGE(QUERY(SORT(GOOGLEFINANCE(B679,""price"",TODAY()-365,TODAY()),1,0),""select Col2 limit 200""))"),575.9385)</f>
        <v>575.9385</v>
      </c>
      <c r="O679" s="20" t="str">
        <f t="shared" si="2"/>
        <v>Avoid</v>
      </c>
      <c r="P679" s="21" t="str">
        <f t="shared" si="3"/>
        <v/>
      </c>
      <c r="Q679" s="21" t="str">
        <f t="shared" si="4"/>
        <v/>
      </c>
      <c r="R679" s="22">
        <f>IFERROR(__xludf.DUMMYFUNCTION("GOOGLEFINANCE(B679, ""pe"")
"),26.39)</f>
        <v>26.39</v>
      </c>
    </row>
    <row r="680">
      <c r="A680" s="9" t="s">
        <v>692</v>
      </c>
      <c r="B680" s="11" t="str">
        <f t="shared" si="1"/>
        <v>NSE:CHOICEIN</v>
      </c>
      <c r="C680" s="12">
        <f>IFERROR(__xludf.DUMMYFUNCTION("GOOGLEFINANCE(B680,""marketcap"")/10000000"),15233.923755)</f>
        <v>15233.92376</v>
      </c>
      <c r="D680" s="13">
        <f>IFERROR(__xludf.DUMMYFUNCTION("GOOGLEFINANCE(B680,""price"")"),738.15)</f>
        <v>738.15</v>
      </c>
      <c r="E680" s="14">
        <f>IFERROR(__xludf.DUMMYFUNCTION("GOOGLEFINANCE(B680,""Volume"")"),215518.0)</f>
        <v>215518</v>
      </c>
      <c r="F680" s="14">
        <f t="array" ref="F680">F679</f>
        <v>14</v>
      </c>
      <c r="G680" s="15" t="str">
        <f>IFERROR(__xludf.DUMMYFUNCTION("IF(E680&gt;AVERAGE(INDEX(GOOGLEFINANCE(B680,""volume"",WORKDAY(TODAY(),-$F$1),TODAY()),,2)),""Breakout"","""")"),"")</f>
        <v/>
      </c>
      <c r="H680" s="16">
        <f>IFERROR(__xludf.DUMMYFUNCTION("GOOGLEFINANCE(B680,""price"")"),738.15)</f>
        <v>738.15</v>
      </c>
      <c r="I680" s="17">
        <f>IFERROR(__xludf.DUMMYFUNCTION("AVERAGE(QUERY(SORT(GOOGLEFINANCE(B680,""price"",TODAY()-365,TODAY()),1,0),""select Col2 limit 10""))"),745.315)</f>
        <v>745.315</v>
      </c>
      <c r="J680" s="17">
        <f>IFERROR(__xludf.DUMMYFUNCTION("AVERAGE(QUERY(SORT(GOOGLEFINANCE(B680,""price"",TODAY()-365,TODAY()),1,0),""select Col2 limit 30""))"),716.6516666666666)</f>
        <v>716.6516667</v>
      </c>
      <c r="K680" s="18">
        <f>IFERROR(__xludf.DUMMYFUNCTION("AVERAGE(QUERY(SORT(GOOGLEFINANCE(B680,""price"",TODAY()-365,TODAY()),1,0),""select Col2 limit 60""))"),700.1191666666667)</f>
        <v>700.1191667</v>
      </c>
      <c r="L680" s="17">
        <f>IFERROR(__xludf.DUMMYFUNCTION("AVERAGE(QUERY(SORT(GOOGLEFINANCE(B680,""price"",TODAY()-365,TODAY()),1,0),""select Col2 limit 90""))"),645.2833333333332)</f>
        <v>645.2833333</v>
      </c>
      <c r="M680" s="17">
        <f>IFERROR(__xludf.DUMMYFUNCTION("AVERAGE(QUERY(SORT(GOOGLEFINANCE(B680,""price"",TODAY()-365,TODAY()),1,0),""select Col2 limit 120""))"),607.6008333333332)</f>
        <v>607.6008333</v>
      </c>
      <c r="N680" s="19">
        <f>IFERROR(__xludf.DUMMYFUNCTION("AVERAGE(QUERY(SORT(GOOGLEFINANCE(B680,""price"",TODAY()-365,TODAY()),1,0),""select Col2 limit 200""))"),572.5802499999998)</f>
        <v>572.58025</v>
      </c>
      <c r="O680" s="20" t="str">
        <f t="shared" si="2"/>
        <v>Avoid</v>
      </c>
      <c r="P680" s="21" t="str">
        <f t="shared" si="3"/>
        <v>10 DMA</v>
      </c>
      <c r="Q680" s="21" t="str">
        <f t="shared" si="4"/>
        <v/>
      </c>
      <c r="R680" s="22">
        <f>IFERROR(__xludf.DUMMYFUNCTION("GOOGLEFINANCE(B680, ""pe"")
"),84.56)</f>
        <v>84.56</v>
      </c>
    </row>
    <row r="681">
      <c r="A681" s="9" t="s">
        <v>693</v>
      </c>
      <c r="B681" s="11" t="str">
        <f t="shared" si="1"/>
        <v>NSE:JINDWORLD</v>
      </c>
      <c r="C681" s="12">
        <f>IFERROR(__xludf.DUMMYFUNCTION("GOOGLEFINANCE(B681,""marketcap"")/10000000"),3994.3623992)</f>
        <v>3994.362399</v>
      </c>
      <c r="D681" s="13">
        <f>IFERROR(__xludf.DUMMYFUNCTION("GOOGLEFINANCE(B681,""price"")"),39.89)</f>
        <v>39.89</v>
      </c>
      <c r="E681" s="14">
        <f>IFERROR(__xludf.DUMMYFUNCTION("GOOGLEFINANCE(B681,""Volume"")"),729570.0)</f>
        <v>729570</v>
      </c>
      <c r="F681" s="14">
        <f t="array" ref="F681">F680</f>
        <v>14</v>
      </c>
      <c r="G681" s="15" t="str">
        <f>IFERROR(__xludf.DUMMYFUNCTION("IF(E681&gt;AVERAGE(INDEX(GOOGLEFINANCE(B681,""volume"",WORKDAY(TODAY(),-$F$1),TODAY()),,2)),""Breakout"","""")"),"")</f>
        <v/>
      </c>
      <c r="H681" s="16">
        <f>IFERROR(__xludf.DUMMYFUNCTION("GOOGLEFINANCE(B681,""price"")"),39.89)</f>
        <v>39.89</v>
      </c>
      <c r="I681" s="17">
        <f>IFERROR(__xludf.DUMMYFUNCTION("AVERAGE(QUERY(SORT(GOOGLEFINANCE(B681,""price"",TODAY()-365,TODAY()),1,0),""select Col2 limit 10""))"),41.696999999999996)</f>
        <v>41.697</v>
      </c>
      <c r="J681" s="17">
        <f>IFERROR(__xludf.DUMMYFUNCTION("AVERAGE(QUERY(SORT(GOOGLEFINANCE(B681,""price"",TODAY()-365,TODAY()),1,0),""select Col2 limit 30""))"),49.25033333333333)</f>
        <v>49.25033333</v>
      </c>
      <c r="K681" s="18">
        <f>IFERROR(__xludf.DUMMYFUNCTION("AVERAGE(QUERY(SORT(GOOGLEFINANCE(B681,""price"",TODAY()-365,TODAY()),1,0),""select Col2 limit 60""))"),55.26733333333333)</f>
        <v>55.26733333</v>
      </c>
      <c r="L681" s="17">
        <f>IFERROR(__xludf.DUMMYFUNCTION("AVERAGE(QUERY(SORT(GOOGLEFINANCE(B681,""price"",TODAY()-365,TODAY()),1,0),""select Col2 limit 90""))"),58.92622222222222)</f>
        <v>58.92622222</v>
      </c>
      <c r="M681" s="17">
        <f>IFERROR(__xludf.DUMMYFUNCTION("AVERAGE(QUERY(SORT(GOOGLEFINANCE(B681,""price"",TODAY()-365,TODAY()),1,0),""select Col2 limit 120""))"),62.54974999999998)</f>
        <v>62.54975</v>
      </c>
      <c r="N681" s="19">
        <f>IFERROR(__xludf.DUMMYFUNCTION("AVERAGE(QUERY(SORT(GOOGLEFINANCE(B681,""price"",TODAY()-365,TODAY()),1,0),""select Col2 limit 200""))"),66.19435)</f>
        <v>66.19435</v>
      </c>
      <c r="O681" s="20" t="str">
        <f t="shared" si="2"/>
        <v>Avoid</v>
      </c>
      <c r="P681" s="21" t="str">
        <f t="shared" si="3"/>
        <v/>
      </c>
      <c r="Q681" s="21" t="str">
        <f t="shared" si="4"/>
        <v/>
      </c>
      <c r="R681" s="22">
        <f>IFERROR(__xludf.DUMMYFUNCTION("GOOGLEFINANCE(B681, ""pe"")
"),52.42)</f>
        <v>52.42</v>
      </c>
    </row>
    <row r="682">
      <c r="A682" s="9" t="s">
        <v>694</v>
      </c>
      <c r="B682" s="11" t="str">
        <f t="shared" si="1"/>
        <v>NSE:GANESHHOUC</v>
      </c>
      <c r="C682" s="12">
        <f>IFERROR(__xludf.DUMMYFUNCTION("GOOGLEFINANCE(B682,""marketcap"")/10000000"),7512.885786)</f>
        <v>7512.885786</v>
      </c>
      <c r="D682" s="13">
        <f>IFERROR(__xludf.DUMMYFUNCTION("GOOGLEFINANCE(B682,""price"")"),902.85)</f>
        <v>902.85</v>
      </c>
      <c r="E682" s="14">
        <f>IFERROR(__xludf.DUMMYFUNCTION("GOOGLEFINANCE(B682,""Volume"")"),40224.0)</f>
        <v>40224</v>
      </c>
      <c r="F682" s="14">
        <f t="array" ref="F682">F681</f>
        <v>14</v>
      </c>
      <c r="G682" s="15" t="str">
        <f>IFERROR(__xludf.DUMMYFUNCTION("IF(E682&gt;AVERAGE(INDEX(GOOGLEFINANCE(B682,""volume"",WORKDAY(TODAY(),-$F$1),TODAY()),,2)),""Breakout"","""")"),"")</f>
        <v/>
      </c>
      <c r="H682" s="16">
        <f>IFERROR(__xludf.DUMMYFUNCTION("GOOGLEFINANCE(B682,""price"")"),902.85)</f>
        <v>902.85</v>
      </c>
      <c r="I682" s="17">
        <f>IFERROR(__xludf.DUMMYFUNCTION("AVERAGE(QUERY(SORT(GOOGLEFINANCE(B682,""price"",TODAY()-365,TODAY()),1,0),""select Col2 limit 10""))"),951.5149999999998)</f>
        <v>951.515</v>
      </c>
      <c r="J682" s="17">
        <f>IFERROR(__xludf.DUMMYFUNCTION("AVERAGE(QUERY(SORT(GOOGLEFINANCE(B682,""price"",TODAY()-365,TODAY()),1,0),""select Col2 limit 30""))"),972.5333333333332)</f>
        <v>972.5333333</v>
      </c>
      <c r="K682" s="18">
        <f>IFERROR(__xludf.DUMMYFUNCTION("AVERAGE(QUERY(SORT(GOOGLEFINANCE(B682,""price"",TODAY()-365,TODAY()),1,0),""select Col2 limit 60""))"),996.8949999999999)</f>
        <v>996.895</v>
      </c>
      <c r="L682" s="17">
        <f>IFERROR(__xludf.DUMMYFUNCTION("AVERAGE(QUERY(SORT(GOOGLEFINANCE(B682,""price"",TODAY()-365,TODAY()),1,0),""select Col2 limit 90""))"),1021.4816666666666)</f>
        <v>1021.481667</v>
      </c>
      <c r="M682" s="17">
        <f>IFERROR(__xludf.DUMMYFUNCTION("AVERAGE(QUERY(SORT(GOOGLEFINANCE(B682,""price"",TODAY()-365,TODAY()),1,0),""select Col2 limit 120""))"),1074.0191666666665)</f>
        <v>1074.019167</v>
      </c>
      <c r="N682" s="19">
        <f>IFERROR(__xludf.DUMMYFUNCTION("AVERAGE(QUERY(SORT(GOOGLEFINANCE(B682,""price"",TODAY()-365,TODAY()),1,0),""select Col2 limit 200""))"),1108.1564999999996)</f>
        <v>1108.1565</v>
      </c>
      <c r="O682" s="20" t="str">
        <f t="shared" si="2"/>
        <v>Avoid</v>
      </c>
      <c r="P682" s="21" t="str">
        <f t="shared" si="3"/>
        <v/>
      </c>
      <c r="Q682" s="21" t="str">
        <f t="shared" si="4"/>
        <v/>
      </c>
      <c r="R682" s="22">
        <f>IFERROR(__xludf.DUMMYFUNCTION("GOOGLEFINANCE(B682, ""pe"")
"),13.04)</f>
        <v>13.04</v>
      </c>
    </row>
    <row r="683">
      <c r="A683" s="9" t="s">
        <v>695</v>
      </c>
      <c r="B683" s="11" t="str">
        <f t="shared" si="1"/>
        <v>NSE:BALAMINES</v>
      </c>
      <c r="C683" s="12">
        <f>IFERROR(__xludf.DUMMYFUNCTION("GOOGLEFINANCE(B683,""marketcap"")/10000000"),5407.4013002)</f>
        <v>5407.4013</v>
      </c>
      <c r="D683" s="13">
        <f>IFERROR(__xludf.DUMMYFUNCTION("GOOGLEFINANCE(B683,""price"")"),1674.9)</f>
        <v>1674.9</v>
      </c>
      <c r="E683" s="14">
        <f>IFERROR(__xludf.DUMMYFUNCTION("GOOGLEFINANCE(B683,""Volume"")"),22794.0)</f>
        <v>22794</v>
      </c>
      <c r="F683" s="14">
        <f t="array" ref="F683">F682</f>
        <v>14</v>
      </c>
      <c r="G683" s="15" t="str">
        <f>IFERROR(__xludf.DUMMYFUNCTION("IF(E683&gt;AVERAGE(INDEX(GOOGLEFINANCE(B683,""volume"",WORKDAY(TODAY(),-$F$1),TODAY()),,2)),""Breakout"","""")"),"")</f>
        <v/>
      </c>
      <c r="H683" s="16">
        <f>IFERROR(__xludf.DUMMYFUNCTION("GOOGLEFINANCE(B683,""price"")"),1674.9)</f>
        <v>1674.9</v>
      </c>
      <c r="I683" s="17">
        <f>IFERROR(__xludf.DUMMYFUNCTION("AVERAGE(QUERY(SORT(GOOGLEFINANCE(B683,""price"",TODAY()-365,TODAY()),1,0),""select Col2 limit 10""))"),1761.47)</f>
        <v>1761.47</v>
      </c>
      <c r="J683" s="17">
        <f>IFERROR(__xludf.DUMMYFUNCTION("AVERAGE(QUERY(SORT(GOOGLEFINANCE(B683,""price"",TODAY()-365,TODAY()),1,0),""select Col2 limit 30""))"),1675.5766666666666)</f>
        <v>1675.576667</v>
      </c>
      <c r="K683" s="18">
        <f>IFERROR(__xludf.DUMMYFUNCTION("AVERAGE(QUERY(SORT(GOOGLEFINANCE(B683,""price"",TODAY()-365,TODAY()),1,0),""select Col2 limit 60""))"),1529.77)</f>
        <v>1529.77</v>
      </c>
      <c r="L683" s="17">
        <f>IFERROR(__xludf.DUMMYFUNCTION("AVERAGE(QUERY(SORT(GOOGLEFINANCE(B683,""price"",TODAY()-365,TODAY()),1,0),""select Col2 limit 90""))"),1441.4694444444442)</f>
        <v>1441.469444</v>
      </c>
      <c r="M683" s="17">
        <f>IFERROR(__xludf.DUMMYFUNCTION("AVERAGE(QUERY(SORT(GOOGLEFINANCE(B683,""price"",TODAY()-365,TODAY()),1,0),""select Col2 limit 120""))"),1462.28375)</f>
        <v>1462.28375</v>
      </c>
      <c r="N683" s="19">
        <f>IFERROR(__xludf.DUMMYFUNCTION("AVERAGE(QUERY(SORT(GOOGLEFINANCE(B683,""price"",TODAY()-365,TODAY()),1,0),""select Col2 limit 200""))"),1683.2132499999998)</f>
        <v>1683.21325</v>
      </c>
      <c r="O683" s="20" t="str">
        <f t="shared" si="2"/>
        <v>Avoid</v>
      </c>
      <c r="P683" s="21" t="str">
        <f t="shared" si="3"/>
        <v>30 DMA</v>
      </c>
      <c r="Q683" s="21" t="str">
        <f t="shared" si="4"/>
        <v/>
      </c>
      <c r="R683" s="22">
        <f>IFERROR(__xludf.DUMMYFUNCTION("GOOGLEFINANCE(B683, ""pe"")
"),34.45)</f>
        <v>34.45</v>
      </c>
    </row>
    <row r="684">
      <c r="A684" s="9" t="s">
        <v>696</v>
      </c>
      <c r="B684" s="11" t="str">
        <f t="shared" si="1"/>
        <v>NSE:SPARC</v>
      </c>
      <c r="C684" s="12">
        <f>IFERROR(__xludf.DUMMYFUNCTION("GOOGLEFINANCE(B684,""marketcap"")/10000000"),4924.9396233)</f>
        <v>4924.939623</v>
      </c>
      <c r="D684" s="13">
        <f>IFERROR(__xludf.DUMMYFUNCTION("GOOGLEFINANCE(B684,""price"")"),151.5)</f>
        <v>151.5</v>
      </c>
      <c r="E684" s="14">
        <f>IFERROR(__xludf.DUMMYFUNCTION("GOOGLEFINANCE(B684,""Volume"")"),113543.0)</f>
        <v>113543</v>
      </c>
      <c r="F684" s="14">
        <f t="array" ref="F684">F683</f>
        <v>14</v>
      </c>
      <c r="G684" s="15" t="str">
        <f>IFERROR(__xludf.DUMMYFUNCTION("IF(E684&gt;AVERAGE(INDEX(GOOGLEFINANCE(B684,""volume"",WORKDAY(TODAY(),-$F$1),TODAY()),,2)),""Breakout"","""")"),"#N/A")</f>
        <v>#N/A</v>
      </c>
      <c r="H684" s="16">
        <f>IFERROR(__xludf.DUMMYFUNCTION("GOOGLEFINANCE(B684,""price"")"),151.5)</f>
        <v>151.5</v>
      </c>
      <c r="I684" s="17">
        <f>IFERROR(__xludf.DUMMYFUNCTION("AVERAGE(QUERY(SORT(GOOGLEFINANCE(B684,""price"",TODAY()-365,TODAY()),1,0),""select Col2 limit 10""))"),158.93099999999998)</f>
        <v>158.931</v>
      </c>
      <c r="J684" s="17">
        <f>IFERROR(__xludf.DUMMYFUNCTION("AVERAGE(QUERY(SORT(GOOGLEFINANCE(B684,""price"",TODAY()-365,TODAY()),1,0),""select Col2 limit 30""))"),158.64466666666667)</f>
        <v>158.6446667</v>
      </c>
      <c r="K684" s="18">
        <f>IFERROR(__xludf.DUMMYFUNCTION("AVERAGE(QUERY(SORT(GOOGLEFINANCE(B684,""price"",TODAY()-365,TODAY()),1,0),""select Col2 limit 60""))"),160.49916666666664)</f>
        <v>160.4991667</v>
      </c>
      <c r="L684" s="17">
        <f>IFERROR(__xludf.DUMMYFUNCTION("AVERAGE(QUERY(SORT(GOOGLEFINANCE(B684,""price"",TODAY()-365,TODAY()),1,0),""select Col2 limit 90""))"),155.79633333333337)</f>
        <v>155.7963333</v>
      </c>
      <c r="M684" s="17">
        <f>IFERROR(__xludf.DUMMYFUNCTION("AVERAGE(QUERY(SORT(GOOGLEFINANCE(B684,""price"",TODAY()-365,TODAY()),1,0),""select Col2 limit 120""))"),151.52025000000006)</f>
        <v>151.52025</v>
      </c>
      <c r="N684" s="19">
        <f>IFERROR(__xludf.DUMMYFUNCTION("AVERAGE(QUERY(SORT(GOOGLEFINANCE(B684,""price"",TODAY()-365,TODAY()),1,0),""select Col2 limit 200""))"),171.98155000000008)</f>
        <v>171.98155</v>
      </c>
      <c r="O684" s="20" t="str">
        <f t="shared" si="2"/>
        <v>Avoid</v>
      </c>
      <c r="P684" s="21" t="str">
        <f t="shared" si="3"/>
        <v>120 DMA</v>
      </c>
      <c r="Q684" s="21" t="str">
        <f t="shared" si="4"/>
        <v/>
      </c>
      <c r="R684" s="22" t="str">
        <f>IFERROR(__xludf.DUMMYFUNCTION("GOOGLEFINANCE(B684, ""pe"")
"),"#N/A")</f>
        <v>#N/A</v>
      </c>
    </row>
    <row r="685">
      <c r="A685" s="9" t="s">
        <v>697</v>
      </c>
      <c r="B685" s="11" t="str">
        <f t="shared" si="1"/>
        <v>NSE:GARFIBRES</v>
      </c>
      <c r="C685" s="12">
        <f>IFERROR(__xludf.DUMMYFUNCTION("GOOGLEFINANCE(B685,""marketcap"")/10000000"),9018.301564)</f>
        <v>9018.301564</v>
      </c>
      <c r="D685" s="13">
        <f>IFERROR(__xludf.DUMMYFUNCTION("GOOGLEFINANCE(B685,""price"")"),908.85)</f>
        <v>908.85</v>
      </c>
      <c r="E685" s="14">
        <f>IFERROR(__xludf.DUMMYFUNCTION("GOOGLEFINANCE(B685,""Volume"")"),22990.0)</f>
        <v>22990</v>
      </c>
      <c r="F685" s="14">
        <f t="array" ref="F685">F684</f>
        <v>14</v>
      </c>
      <c r="G685" s="15" t="str">
        <f>IFERROR(__xludf.DUMMYFUNCTION("IF(E685&gt;AVERAGE(INDEX(GOOGLEFINANCE(B685,""volume"",WORKDAY(TODAY(),-$F$1),TODAY()),,2)),""Breakout"","""")"),"")</f>
        <v/>
      </c>
      <c r="H685" s="16">
        <f>IFERROR(__xludf.DUMMYFUNCTION("GOOGLEFINANCE(B685,""price"")"),908.85)</f>
        <v>908.85</v>
      </c>
      <c r="I685" s="17">
        <f>IFERROR(__xludf.DUMMYFUNCTION("AVERAGE(QUERY(SORT(GOOGLEFINANCE(B685,""price"",TODAY()-365,TODAY()),1,0),""select Col2 limit 10""))"),929.96)</f>
        <v>929.96</v>
      </c>
      <c r="J685" s="17">
        <f>IFERROR(__xludf.DUMMYFUNCTION("AVERAGE(QUERY(SORT(GOOGLEFINANCE(B685,""price"",TODAY()-365,TODAY()),1,0),""select Col2 limit 30""))"),908.3716666666667)</f>
        <v>908.3716667</v>
      </c>
      <c r="K685" s="18">
        <f>IFERROR(__xludf.DUMMYFUNCTION("AVERAGE(QUERY(SORT(GOOGLEFINANCE(B685,""price"",TODAY()-365,TODAY()),1,0),""select Col2 limit 60""))"),898.7116666666668)</f>
        <v>898.7116667</v>
      </c>
      <c r="L685" s="17">
        <f>IFERROR(__xludf.DUMMYFUNCTION("AVERAGE(QUERY(SORT(GOOGLEFINANCE(B685,""price"",TODAY()-365,TODAY()),1,0),""select Col2 limit 90""))"),882.6094444444442)</f>
        <v>882.6094444</v>
      </c>
      <c r="M685" s="17">
        <f>IFERROR(__xludf.DUMMYFUNCTION("AVERAGE(QUERY(SORT(GOOGLEFINANCE(B685,""price"",TODAY()-365,TODAY()),1,0),""select Col2 limit 120""))"),855.8137499999995)</f>
        <v>855.81375</v>
      </c>
      <c r="N685" s="19">
        <f>IFERROR(__xludf.DUMMYFUNCTION("AVERAGE(QUERY(SORT(GOOGLEFINANCE(B685,""price"",TODAY()-365,TODAY()),1,0),""select Col2 limit 200""))"),853.9591999999998)</f>
        <v>853.9592</v>
      </c>
      <c r="O685" s="20" t="str">
        <f t="shared" si="2"/>
        <v>Avoid</v>
      </c>
      <c r="P685" s="21" t="str">
        <f t="shared" si="3"/>
        <v/>
      </c>
      <c r="Q685" s="21" t="str">
        <f t="shared" si="4"/>
        <v/>
      </c>
      <c r="R685" s="22">
        <f>IFERROR(__xludf.DUMMYFUNCTION("GOOGLEFINANCE(B685, ""pe"")
"),38.94)</f>
        <v>38.94</v>
      </c>
    </row>
    <row r="686">
      <c r="A686" s="9" t="s">
        <v>698</v>
      </c>
      <c r="B686" s="11" t="str">
        <f t="shared" si="1"/>
        <v>NSE:RESPONIND</v>
      </c>
      <c r="C686" s="12">
        <f>IFERROR(__xludf.DUMMYFUNCTION("GOOGLEFINANCE(B686,""marketcap"")/10000000"),6078.4073379)</f>
        <v>6078.407338</v>
      </c>
      <c r="D686" s="13">
        <f>IFERROR(__xludf.DUMMYFUNCTION("GOOGLEFINANCE(B686,""price"")"),227.55)</f>
        <v>227.55</v>
      </c>
      <c r="E686" s="14">
        <f>IFERROR(__xludf.DUMMYFUNCTION("GOOGLEFINANCE(B686,""Volume"")"),22152.0)</f>
        <v>22152</v>
      </c>
      <c r="F686" s="14">
        <f t="array" ref="F686">F685</f>
        <v>14</v>
      </c>
      <c r="G686" s="15" t="str">
        <f>IFERROR(__xludf.DUMMYFUNCTION("IF(E686&gt;AVERAGE(INDEX(GOOGLEFINANCE(B686,""volume"",WORKDAY(TODAY(),-$F$1),TODAY()),,2)),""Breakout"","""")"),"")</f>
        <v/>
      </c>
      <c r="H686" s="16">
        <f>IFERROR(__xludf.DUMMYFUNCTION("GOOGLEFINANCE(B686,""price"")"),227.55)</f>
        <v>227.55</v>
      </c>
      <c r="I686" s="17">
        <f>IFERROR(__xludf.DUMMYFUNCTION("AVERAGE(QUERY(SORT(GOOGLEFINANCE(B686,""price"",TODAY()-365,TODAY()),1,0),""select Col2 limit 10""))"),239.135)</f>
        <v>239.135</v>
      </c>
      <c r="J686" s="17">
        <f>IFERROR(__xludf.DUMMYFUNCTION("AVERAGE(QUERY(SORT(GOOGLEFINANCE(B686,""price"",TODAY()-365,TODAY()),1,0),""select Col2 limit 30""))"),229.90299999999996)</f>
        <v>229.903</v>
      </c>
      <c r="K686" s="18">
        <f>IFERROR(__xludf.DUMMYFUNCTION("AVERAGE(QUERY(SORT(GOOGLEFINANCE(B686,""price"",TODAY()-365,TODAY()),1,0),""select Col2 limit 60""))"),212.41566666666668)</f>
        <v>212.4156667</v>
      </c>
      <c r="L686" s="17">
        <f>IFERROR(__xludf.DUMMYFUNCTION("AVERAGE(QUERY(SORT(GOOGLEFINANCE(B686,""price"",TODAY()-365,TODAY()),1,0),""select Col2 limit 90""))"),205.45122222222224)</f>
        <v>205.4512222</v>
      </c>
      <c r="M686" s="17">
        <f>IFERROR(__xludf.DUMMYFUNCTION("AVERAGE(QUERY(SORT(GOOGLEFINANCE(B686,""price"",TODAY()-365,TODAY()),1,0),""select Col2 limit 120""))"),208.12316666666658)</f>
        <v>208.1231667</v>
      </c>
      <c r="N686" s="19">
        <f>IFERROR(__xludf.DUMMYFUNCTION("AVERAGE(QUERY(SORT(GOOGLEFINANCE(B686,""price"",TODAY()-365,TODAY()),1,0),""select Col2 limit 200""))"),229.68995000000004)</f>
        <v>229.68995</v>
      </c>
      <c r="O686" s="20" t="str">
        <f t="shared" si="2"/>
        <v>Avoid</v>
      </c>
      <c r="P686" s="21" t="str">
        <f t="shared" si="3"/>
        <v>200 DMA</v>
      </c>
      <c r="Q686" s="21" t="str">
        <f t="shared" si="4"/>
        <v/>
      </c>
      <c r="R686" s="22">
        <f>IFERROR(__xludf.DUMMYFUNCTION("GOOGLEFINANCE(B686, ""pe"")
"),30.56)</f>
        <v>30.56</v>
      </c>
    </row>
    <row r="687">
      <c r="A687" s="9" t="s">
        <v>699</v>
      </c>
      <c r="B687" s="11" t="str">
        <f t="shared" si="1"/>
        <v>NSE:PRINCEPIPE</v>
      </c>
      <c r="C687" s="12">
        <f>IFERROR(__xludf.DUMMYFUNCTION("GOOGLEFINANCE(B687,""marketcap"")/10000000"),3683.8926549)</f>
        <v>3683.892655</v>
      </c>
      <c r="D687" s="13">
        <f>IFERROR(__xludf.DUMMYFUNCTION("GOOGLEFINANCE(B687,""price"")"),333.2)</f>
        <v>333.2</v>
      </c>
      <c r="E687" s="14">
        <f>IFERROR(__xludf.DUMMYFUNCTION("GOOGLEFINANCE(B687,""Volume"")"),108763.0)</f>
        <v>108763</v>
      </c>
      <c r="F687" s="14">
        <f t="array" ref="F687">F686</f>
        <v>14</v>
      </c>
      <c r="G687" s="15" t="str">
        <f>IFERROR(__xludf.DUMMYFUNCTION("IF(E687&gt;AVERAGE(INDEX(GOOGLEFINANCE(B687,""volume"",WORKDAY(TODAY(),-$F$1),TODAY()),,2)),""Breakout"","""")"),"")</f>
        <v/>
      </c>
      <c r="H687" s="16">
        <f>IFERROR(__xludf.DUMMYFUNCTION("GOOGLEFINANCE(B687,""price"")"),333.2)</f>
        <v>333.2</v>
      </c>
      <c r="I687" s="17">
        <f>IFERROR(__xludf.DUMMYFUNCTION("AVERAGE(QUERY(SORT(GOOGLEFINANCE(B687,""price"",TODAY()-365,TODAY()),1,0),""select Col2 limit 10""))"),348.63499999999993)</f>
        <v>348.635</v>
      </c>
      <c r="J687" s="17">
        <f>IFERROR(__xludf.DUMMYFUNCTION("AVERAGE(QUERY(SORT(GOOGLEFINANCE(B687,""price"",TODAY()-365,TODAY()),1,0),""select Col2 limit 30""))"),354.87999999999994)</f>
        <v>354.88</v>
      </c>
      <c r="K687" s="18">
        <f>IFERROR(__xludf.DUMMYFUNCTION("AVERAGE(QUERY(SORT(GOOGLEFINANCE(B687,""price"",TODAY()-365,TODAY()),1,0),""select Col2 limit 60""))"),330.32)</f>
        <v>330.32</v>
      </c>
      <c r="L687" s="17">
        <f>IFERROR(__xludf.DUMMYFUNCTION("AVERAGE(QUERY(SORT(GOOGLEFINANCE(B687,""price"",TODAY()-365,TODAY()),1,0),""select Col2 limit 90""))"),304.7761111111111)</f>
        <v>304.7761111</v>
      </c>
      <c r="M687" s="17">
        <f>IFERROR(__xludf.DUMMYFUNCTION("AVERAGE(QUERY(SORT(GOOGLEFINANCE(B687,""price"",TODAY()-365,TODAY()),1,0),""select Col2 limit 120""))"),304.6979166666667)</f>
        <v>304.6979167</v>
      </c>
      <c r="N687" s="19">
        <f>IFERROR(__xludf.DUMMYFUNCTION("AVERAGE(QUERY(SORT(GOOGLEFINANCE(B687,""price"",TODAY()-365,TODAY()),1,0),""select Col2 limit 200""))"),362.62575000000027)</f>
        <v>362.62575</v>
      </c>
      <c r="O687" s="20" t="str">
        <f t="shared" si="2"/>
        <v>Avoid</v>
      </c>
      <c r="P687" s="21" t="str">
        <f t="shared" si="3"/>
        <v/>
      </c>
      <c r="Q687" s="21" t="str">
        <f t="shared" si="4"/>
        <v/>
      </c>
      <c r="R687" s="22">
        <f>IFERROR(__xludf.DUMMYFUNCTION("GOOGLEFINANCE(B687, ""pe"")
"),85.18)</f>
        <v>85.18</v>
      </c>
    </row>
    <row r="688">
      <c r="A688" s="9" t="s">
        <v>700</v>
      </c>
      <c r="B688" s="11" t="str">
        <f t="shared" si="1"/>
        <v>NSE:RELINFRA</v>
      </c>
      <c r="C688" s="12">
        <f>IFERROR(__xludf.DUMMYFUNCTION("GOOGLEFINANCE(B688,""marketcap"")/10000000"),13814.8864432)</f>
        <v>13814.88644</v>
      </c>
      <c r="D688" s="13">
        <f>IFERROR(__xludf.DUMMYFUNCTION("GOOGLEFINANCE(B688,""price"")"),338.95)</f>
        <v>338.95</v>
      </c>
      <c r="E688" s="14">
        <f>IFERROR(__xludf.DUMMYFUNCTION("GOOGLEFINANCE(B688,""Volume"")"),3705608.0)</f>
        <v>3705608</v>
      </c>
      <c r="F688" s="14">
        <f t="array" ref="F688">F687</f>
        <v>14</v>
      </c>
      <c r="G688" s="15" t="str">
        <f>IFERROR(__xludf.DUMMYFUNCTION("IF(E688&gt;AVERAGE(INDEX(GOOGLEFINANCE(B688,""volume"",WORKDAY(TODAY(),-$F$1),TODAY()),,2)),""Breakout"","""")"),"Breakout")</f>
        <v>Breakout</v>
      </c>
      <c r="H688" s="16">
        <f>IFERROR(__xludf.DUMMYFUNCTION("GOOGLEFINANCE(B688,""price"")"),338.95)</f>
        <v>338.95</v>
      </c>
      <c r="I688" s="17">
        <f>IFERROR(__xludf.DUMMYFUNCTION("AVERAGE(QUERY(SORT(GOOGLEFINANCE(B688,""price"",TODAY()-365,TODAY()),1,0),""select Col2 limit 10""))"),380.4)</f>
        <v>380.4</v>
      </c>
      <c r="J688" s="17">
        <f>IFERROR(__xludf.DUMMYFUNCTION("AVERAGE(QUERY(SORT(GOOGLEFINANCE(B688,""price"",TODAY()-365,TODAY()),1,0),""select Col2 limit 30""))"),383.8966666666666)</f>
        <v>383.8966667</v>
      </c>
      <c r="K688" s="18">
        <f>IFERROR(__xludf.DUMMYFUNCTION("AVERAGE(QUERY(SORT(GOOGLEFINANCE(B688,""price"",TODAY()-365,TODAY()),1,0),""select Col2 limit 60""))"),347.2)</f>
        <v>347.2</v>
      </c>
      <c r="L688" s="17">
        <f>IFERROR(__xludf.DUMMYFUNCTION("AVERAGE(QUERY(SORT(GOOGLEFINANCE(B688,""price"",TODAY()-365,TODAY()),1,0),""select Col2 limit 90""))"),315.2394444444443)</f>
        <v>315.2394444</v>
      </c>
      <c r="M688" s="17">
        <f>IFERROR(__xludf.DUMMYFUNCTION("AVERAGE(QUERY(SORT(GOOGLEFINANCE(B688,""price"",TODAY()-365,TODAY()),1,0),""select Col2 limit 120""))"),297.5578333333332)</f>
        <v>297.5578333</v>
      </c>
      <c r="N688" s="19">
        <f>IFERROR(__xludf.DUMMYFUNCTION("AVERAGE(QUERY(SORT(GOOGLEFINANCE(B688,""price"",TODAY()-365,TODAY()),1,0),""select Col2 limit 200""))"),292.19294999999994)</f>
        <v>292.19295</v>
      </c>
      <c r="O688" s="20" t="str">
        <f t="shared" si="2"/>
        <v>Avoid</v>
      </c>
      <c r="P688" s="21" t="str">
        <f t="shared" si="3"/>
        <v/>
      </c>
      <c r="Q688" s="21" t="str">
        <f t="shared" si="4"/>
        <v/>
      </c>
      <c r="R688" s="22">
        <f>IFERROR(__xludf.DUMMYFUNCTION("GOOGLEFINANCE(B688, ""pe"")
"),2.81)</f>
        <v>2.81</v>
      </c>
    </row>
    <row r="689">
      <c r="A689" s="9" t="s">
        <v>701</v>
      </c>
      <c r="B689" s="11" t="str">
        <f t="shared" si="1"/>
        <v>NSE:SENCO</v>
      </c>
      <c r="C689" s="12">
        <f>IFERROR(__xludf.DUMMYFUNCTION("GOOGLEFINANCE(B689,""marketcap"")/10000000"),5526.688865)</f>
        <v>5526.688865</v>
      </c>
      <c r="D689" s="13">
        <f>IFERROR(__xludf.DUMMYFUNCTION("GOOGLEFINANCE(B689,""price"")"),337.5)</f>
        <v>337.5</v>
      </c>
      <c r="E689" s="14">
        <f>IFERROR(__xludf.DUMMYFUNCTION("GOOGLEFINANCE(B689,""Volume"")"),186619.0)</f>
        <v>186619</v>
      </c>
      <c r="F689" s="14">
        <f t="array" ref="F689">F688</f>
        <v>14</v>
      </c>
      <c r="G689" s="15" t="str">
        <f>IFERROR(__xludf.DUMMYFUNCTION("IF(E689&gt;AVERAGE(INDEX(GOOGLEFINANCE(B689,""volume"",WORKDAY(TODAY(),-$F$1),TODAY()),,2)),""Breakout"","""")"),"")</f>
        <v/>
      </c>
      <c r="H689" s="16">
        <f>IFERROR(__xludf.DUMMYFUNCTION("GOOGLEFINANCE(B689,""price"")"),337.5)</f>
        <v>337.5</v>
      </c>
      <c r="I689" s="17">
        <f>IFERROR(__xludf.DUMMYFUNCTION("AVERAGE(QUERY(SORT(GOOGLEFINANCE(B689,""price"",TODAY()-365,TODAY()),1,0),""select Col2 limit 10""))"),355.25999999999993)</f>
        <v>355.26</v>
      </c>
      <c r="J689" s="17">
        <f>IFERROR(__xludf.DUMMYFUNCTION("AVERAGE(QUERY(SORT(GOOGLEFINANCE(B689,""price"",TODAY()-365,TODAY()),1,0),""select Col2 limit 30""))"),348.84999999999997)</f>
        <v>348.85</v>
      </c>
      <c r="K689" s="18">
        <f>IFERROR(__xludf.DUMMYFUNCTION("AVERAGE(QUERY(SORT(GOOGLEFINANCE(B689,""price"",TODAY()-365,TODAY()),1,0),""select Col2 limit 60""))"),354.2174999999999)</f>
        <v>354.2175</v>
      </c>
      <c r="L689" s="17">
        <f>IFERROR(__xludf.DUMMYFUNCTION("AVERAGE(QUERY(SORT(GOOGLEFINANCE(B689,""price"",TODAY()-365,TODAY()),1,0),""select Col2 limit 90""))"),342.19611111111095)</f>
        <v>342.1961111</v>
      </c>
      <c r="M689" s="17">
        <f>IFERROR(__xludf.DUMMYFUNCTION("AVERAGE(QUERY(SORT(GOOGLEFINANCE(B689,""price"",TODAY()-365,TODAY()),1,0),""select Col2 limit 120""))"),352.60458333333304)</f>
        <v>352.6045833</v>
      </c>
      <c r="N689" s="19">
        <f>IFERROR(__xludf.DUMMYFUNCTION("AVERAGE(QUERY(SORT(GOOGLEFINANCE(B689,""price"",TODAY()-365,TODAY()),1,0),""select Col2 limit 200""))"),441.3809499999998)</f>
        <v>441.38095</v>
      </c>
      <c r="O689" s="20" t="str">
        <f t="shared" si="2"/>
        <v>Avoid</v>
      </c>
      <c r="P689" s="21" t="str">
        <f t="shared" si="3"/>
        <v/>
      </c>
      <c r="Q689" s="21" t="str">
        <f t="shared" si="4"/>
        <v/>
      </c>
      <c r="R689" s="22">
        <f>IFERROR(__xludf.DUMMYFUNCTION("GOOGLEFINANCE(B689, ""pe"")
"),33.48)</f>
        <v>33.48</v>
      </c>
    </row>
    <row r="690">
      <c r="A690" s="9" t="s">
        <v>702</v>
      </c>
      <c r="B690" s="11" t="str">
        <f t="shared" si="1"/>
        <v>NSE:DBL</v>
      </c>
      <c r="C690" s="12">
        <f>IFERROR(__xludf.DUMMYFUNCTION("GOOGLEFINANCE(B690,""marketcap"")/10000000"),7576.4253728)</f>
        <v>7576.425373</v>
      </c>
      <c r="D690" s="13">
        <f>IFERROR(__xludf.DUMMYFUNCTION("GOOGLEFINANCE(B690,""price"")"),466.4)</f>
        <v>466.4</v>
      </c>
      <c r="E690" s="14">
        <f>IFERROR(__xludf.DUMMYFUNCTION("GOOGLEFINANCE(B690,""Volume"")"),43275.0)</f>
        <v>43275</v>
      </c>
      <c r="F690" s="14">
        <f t="array" ref="F690">F689</f>
        <v>14</v>
      </c>
      <c r="G690" s="15" t="str">
        <f>IFERROR(__xludf.DUMMYFUNCTION("IF(E690&gt;AVERAGE(INDEX(GOOGLEFINANCE(B690,""volume"",WORKDAY(TODAY(),-$F$1),TODAY()),,2)),""Breakout"","""")"),"")</f>
        <v/>
      </c>
      <c r="H690" s="16">
        <f>IFERROR(__xludf.DUMMYFUNCTION("GOOGLEFINANCE(B690,""price"")"),466.4)</f>
        <v>466.4</v>
      </c>
      <c r="I690" s="17">
        <f>IFERROR(__xludf.DUMMYFUNCTION("AVERAGE(QUERY(SORT(GOOGLEFINANCE(B690,""price"",TODAY()-365,TODAY()),1,0),""select Col2 limit 10""))"),486.75499999999994)</f>
        <v>486.755</v>
      </c>
      <c r="J690" s="17">
        <f>IFERROR(__xludf.DUMMYFUNCTION("AVERAGE(QUERY(SORT(GOOGLEFINANCE(B690,""price"",TODAY()-365,TODAY()),1,0),""select Col2 limit 30""))"),497.6266666666668)</f>
        <v>497.6266667</v>
      </c>
      <c r="K690" s="18">
        <f>IFERROR(__xludf.DUMMYFUNCTION("AVERAGE(QUERY(SORT(GOOGLEFINANCE(B690,""price"",TODAY()-365,TODAY()),1,0),""select Col2 limit 60""))"),489.85166666666674)</f>
        <v>489.8516667</v>
      </c>
      <c r="L690" s="17">
        <f>IFERROR(__xludf.DUMMYFUNCTION("AVERAGE(QUERY(SORT(GOOGLEFINANCE(B690,""price"",TODAY()-365,TODAY()),1,0),""select Col2 limit 90""))"),477.78999999999996)</f>
        <v>477.79</v>
      </c>
      <c r="M690" s="17">
        <f>IFERROR(__xludf.DUMMYFUNCTION("AVERAGE(QUERY(SORT(GOOGLEFINANCE(B690,""price"",TODAY()-365,TODAY()),1,0),""select Col2 limit 120""))"),466.33875)</f>
        <v>466.33875</v>
      </c>
      <c r="N690" s="19">
        <f>IFERROR(__xludf.DUMMYFUNCTION("AVERAGE(QUERY(SORT(GOOGLEFINANCE(B690,""price"",TODAY()-365,TODAY()),1,0),""select Col2 limit 200""))"),467.0784999999999)</f>
        <v>467.0785</v>
      </c>
      <c r="O690" s="20" t="str">
        <f t="shared" si="2"/>
        <v>Avoid</v>
      </c>
      <c r="P690" s="21" t="str">
        <f t="shared" si="3"/>
        <v>200 DMA</v>
      </c>
      <c r="Q690" s="21" t="str">
        <f t="shared" si="4"/>
        <v/>
      </c>
      <c r="R690" s="22">
        <f>IFERROR(__xludf.DUMMYFUNCTION("GOOGLEFINANCE(B690, ""pe"")
"),9.02)</f>
        <v>9.02</v>
      </c>
    </row>
    <row r="691">
      <c r="A691" s="9" t="s">
        <v>703</v>
      </c>
      <c r="B691" s="11" t="str">
        <f t="shared" si="1"/>
        <v>NSE:ICIL</v>
      </c>
      <c r="C691" s="12">
        <f>IFERROR(__xludf.DUMMYFUNCTION("GOOGLEFINANCE(B691,""marketcap"")/10000000"),5789.1269472)</f>
        <v>5789.126947</v>
      </c>
      <c r="D691" s="13">
        <f>IFERROR(__xludf.DUMMYFUNCTION("GOOGLEFINANCE(B691,""price"")"),292.85)</f>
        <v>292.85</v>
      </c>
      <c r="E691" s="14">
        <f>IFERROR(__xludf.DUMMYFUNCTION("GOOGLEFINANCE(B691,""Volume"")"),120854.0)</f>
        <v>120854</v>
      </c>
      <c r="F691" s="14">
        <f t="array" ref="F691">F690</f>
        <v>14</v>
      </c>
      <c r="G691" s="15" t="str">
        <f>IFERROR(__xludf.DUMMYFUNCTION("IF(E691&gt;AVERAGE(INDEX(GOOGLEFINANCE(B691,""volume"",WORKDAY(TODAY(),-$F$1),TODAY()),,2)),""Breakout"","""")"),"")</f>
        <v/>
      </c>
      <c r="H691" s="16">
        <f>IFERROR(__xludf.DUMMYFUNCTION("GOOGLEFINANCE(B691,""price"")"),292.85)</f>
        <v>292.85</v>
      </c>
      <c r="I691" s="17">
        <f>IFERROR(__xludf.DUMMYFUNCTION("AVERAGE(QUERY(SORT(GOOGLEFINANCE(B691,""price"",TODAY()-365,TODAY()),1,0),""select Col2 limit 10""))"),298.145)</f>
        <v>298.145</v>
      </c>
      <c r="J691" s="17">
        <f>IFERROR(__xludf.DUMMYFUNCTION("AVERAGE(QUERY(SORT(GOOGLEFINANCE(B691,""price"",TODAY()-365,TODAY()),1,0),""select Col2 limit 30""))"),289.2916666666667)</f>
        <v>289.2916667</v>
      </c>
      <c r="K691" s="18">
        <f>IFERROR(__xludf.DUMMYFUNCTION("AVERAGE(QUERY(SORT(GOOGLEFINANCE(B691,""price"",TODAY()-365,TODAY()),1,0),""select Col2 limit 60""))"),297.95083333333343)</f>
        <v>297.9508333</v>
      </c>
      <c r="L691" s="17">
        <f>IFERROR(__xludf.DUMMYFUNCTION("AVERAGE(QUERY(SORT(GOOGLEFINANCE(B691,""price"",TODAY()-365,TODAY()),1,0),""select Col2 limit 90""))"),292.3950000000001)</f>
        <v>292.395</v>
      </c>
      <c r="M691" s="17">
        <f>IFERROR(__xludf.DUMMYFUNCTION("AVERAGE(QUERY(SORT(GOOGLEFINANCE(B691,""price"",TODAY()-365,TODAY()),1,0),""select Col2 limit 120""))"),291.6179166666668)</f>
        <v>291.6179167</v>
      </c>
      <c r="N691" s="19">
        <f>IFERROR(__xludf.DUMMYFUNCTION("AVERAGE(QUERY(SORT(GOOGLEFINANCE(B691,""price"",TODAY()-365,TODAY()),1,0),""select Col2 limit 200""))"),314.98075)</f>
        <v>314.98075</v>
      </c>
      <c r="O691" s="20" t="str">
        <f t="shared" si="2"/>
        <v>Avoid</v>
      </c>
      <c r="P691" s="21" t="str">
        <f t="shared" si="3"/>
        <v/>
      </c>
      <c r="Q691" s="21" t="str">
        <f t="shared" si="4"/>
        <v/>
      </c>
      <c r="R691" s="22">
        <f>IFERROR(__xludf.DUMMYFUNCTION("GOOGLEFINANCE(B691, ""pe"")
"),23.53)</f>
        <v>23.53</v>
      </c>
    </row>
    <row r="692">
      <c r="A692" s="9" t="s">
        <v>704</v>
      </c>
      <c r="B692" s="11" t="str">
        <f t="shared" si="1"/>
        <v>NSE:GALLANTT</v>
      </c>
      <c r="C692" s="12">
        <f>IFERROR(__xludf.DUMMYFUNCTION("GOOGLEFINANCE(B692,""marketcap"")/10000000"),16245.4494354)</f>
        <v>16245.44944</v>
      </c>
      <c r="D692" s="13">
        <f>IFERROR(__xludf.DUMMYFUNCTION("GOOGLEFINANCE(B692,""price"")"),673.3)</f>
        <v>673.3</v>
      </c>
      <c r="E692" s="14">
        <f>IFERROR(__xludf.DUMMYFUNCTION("GOOGLEFINANCE(B692,""Volume"")"),426186.0)</f>
        <v>426186</v>
      </c>
      <c r="F692" s="14">
        <f t="array" ref="F692">F691</f>
        <v>14</v>
      </c>
      <c r="G692" s="15" t="str">
        <f>IFERROR(__xludf.DUMMYFUNCTION("IF(E692&gt;AVERAGE(INDEX(GOOGLEFINANCE(B692,""volume"",WORKDAY(TODAY(),-$F$1),TODAY()),,2)),""Breakout"","""")"),"Breakout")</f>
        <v>Breakout</v>
      </c>
      <c r="H692" s="16">
        <f>IFERROR(__xludf.DUMMYFUNCTION("GOOGLEFINANCE(B692,""price"")"),673.3)</f>
        <v>673.3</v>
      </c>
      <c r="I692" s="17">
        <f>IFERROR(__xludf.DUMMYFUNCTION("AVERAGE(QUERY(SORT(GOOGLEFINANCE(B692,""price"",TODAY()-365,TODAY()),1,0),""select Col2 limit 10""))"),608.6)</f>
        <v>608.6</v>
      </c>
      <c r="J692" s="17">
        <f>IFERROR(__xludf.DUMMYFUNCTION("AVERAGE(QUERY(SORT(GOOGLEFINANCE(B692,""price"",TODAY()-365,TODAY()),1,0),""select Col2 limit 30""))"),552.8366666666666)</f>
        <v>552.8366667</v>
      </c>
      <c r="K692" s="18">
        <f>IFERROR(__xludf.DUMMYFUNCTION("AVERAGE(QUERY(SORT(GOOGLEFINANCE(B692,""price"",TODAY()-365,TODAY()),1,0),""select Col2 limit 60""))"),505.22499999999997)</f>
        <v>505.225</v>
      </c>
      <c r="L692" s="17">
        <f>IFERROR(__xludf.DUMMYFUNCTION("AVERAGE(QUERY(SORT(GOOGLEFINANCE(B692,""price"",TODAY()-365,TODAY()),1,0),""select Col2 limit 90""))"),472.98055555555555)</f>
        <v>472.9805556</v>
      </c>
      <c r="M692" s="17">
        <f>IFERROR(__xludf.DUMMYFUNCTION("AVERAGE(QUERY(SORT(GOOGLEFINANCE(B692,""price"",TODAY()-365,TODAY()),1,0),""select Col2 limit 120""))"),435.2558333333334)</f>
        <v>435.2558333</v>
      </c>
      <c r="N692" s="19">
        <f>IFERROR(__xludf.DUMMYFUNCTION("AVERAGE(QUERY(SORT(GOOGLEFINANCE(B692,""price"",TODAY()-365,TODAY()),1,0),""select Col2 limit 200""))"),396.50950000000006)</f>
        <v>396.5095</v>
      </c>
      <c r="O692" s="20" t="str">
        <f t="shared" si="2"/>
        <v>Avoid</v>
      </c>
      <c r="P692" s="21" t="str">
        <f t="shared" si="3"/>
        <v/>
      </c>
      <c r="Q692" s="21" t="str">
        <f t="shared" si="4"/>
        <v/>
      </c>
      <c r="R692" s="22">
        <f>IFERROR(__xludf.DUMMYFUNCTION("GOOGLEFINANCE(B692, ""pe"")
"),40.82)</f>
        <v>40.82</v>
      </c>
    </row>
    <row r="693">
      <c r="A693" s="9" t="s">
        <v>705</v>
      </c>
      <c r="B693" s="11" t="str">
        <f t="shared" si="1"/>
        <v>NSE:TCI</v>
      </c>
      <c r="C693" s="12">
        <f>IFERROR(__xludf.DUMMYFUNCTION("GOOGLEFINANCE(B693,""marketcap"")/10000000"),9017.307065)</f>
        <v>9017.307065</v>
      </c>
      <c r="D693" s="13">
        <f>IFERROR(__xludf.DUMMYFUNCTION("GOOGLEFINANCE(B693,""price"")"),1175.7)</f>
        <v>1175.7</v>
      </c>
      <c r="E693" s="14">
        <f>IFERROR(__xludf.DUMMYFUNCTION("GOOGLEFINANCE(B693,""Volume"")"),8583.0)</f>
        <v>8583</v>
      </c>
      <c r="F693" s="14">
        <f t="array" ref="F693">F692</f>
        <v>14</v>
      </c>
      <c r="G693" s="15" t="str">
        <f>IFERROR(__xludf.DUMMYFUNCTION("IF(E693&gt;AVERAGE(INDEX(GOOGLEFINANCE(B693,""volume"",WORKDAY(TODAY(),-$F$1),TODAY()),,2)),""Breakout"","""")"),"")</f>
        <v/>
      </c>
      <c r="H693" s="16">
        <f>IFERROR(__xludf.DUMMYFUNCTION("GOOGLEFINANCE(B693,""price"")"),1175.7)</f>
        <v>1175.7</v>
      </c>
      <c r="I693" s="17">
        <f>IFERROR(__xludf.DUMMYFUNCTION("AVERAGE(QUERY(SORT(GOOGLEFINANCE(B693,""price"",TODAY()-365,TODAY()),1,0),""select Col2 limit 10""))"),1228.66)</f>
        <v>1228.66</v>
      </c>
      <c r="J693" s="17">
        <f>IFERROR(__xludf.DUMMYFUNCTION("AVERAGE(QUERY(SORT(GOOGLEFINANCE(B693,""price"",TODAY()-365,TODAY()),1,0),""select Col2 limit 30""))"),1170.6733333333334)</f>
        <v>1170.673333</v>
      </c>
      <c r="K693" s="18">
        <f>IFERROR(__xludf.DUMMYFUNCTION("AVERAGE(QUERY(SORT(GOOGLEFINANCE(B693,""price"",TODAY()-365,TODAY()),1,0),""select Col2 limit 60""))"),1146.675)</f>
        <v>1146.675</v>
      </c>
      <c r="L693" s="17">
        <f>IFERROR(__xludf.DUMMYFUNCTION("AVERAGE(QUERY(SORT(GOOGLEFINANCE(B693,""price"",TODAY()-365,TODAY()),1,0),""select Col2 limit 90""))"),1123.929444444445)</f>
        <v>1123.929444</v>
      </c>
      <c r="M693" s="17">
        <f>IFERROR(__xludf.DUMMYFUNCTION("AVERAGE(QUERY(SORT(GOOGLEFINANCE(B693,""price"",TODAY()-365,TODAY()),1,0),""select Col2 limit 120""))"),1094.790416666667)</f>
        <v>1094.790417</v>
      </c>
      <c r="N693" s="19">
        <f>IFERROR(__xludf.DUMMYFUNCTION("AVERAGE(QUERY(SORT(GOOGLEFINANCE(B693,""price"",TODAY()-365,TODAY()),1,0),""select Col2 limit 200""))"),1096.9850000000001)</f>
        <v>1096.985</v>
      </c>
      <c r="O693" s="20" t="str">
        <f t="shared" si="2"/>
        <v>Avoid</v>
      </c>
      <c r="P693" s="21" t="str">
        <f t="shared" si="3"/>
        <v/>
      </c>
      <c r="Q693" s="21" t="str">
        <f t="shared" si="4"/>
        <v/>
      </c>
      <c r="R693" s="22">
        <f>IFERROR(__xludf.DUMMYFUNCTION("GOOGLEFINANCE(B693, ""pe"")
"),22.05)</f>
        <v>22.05</v>
      </c>
    </row>
    <row r="694">
      <c r="A694" s="9" t="s">
        <v>706</v>
      </c>
      <c r="B694" s="11" t="str">
        <f t="shared" si="1"/>
        <v>NSE:ASKAUTOLTD</v>
      </c>
      <c r="C694" s="12">
        <f>IFERROR(__xludf.DUMMYFUNCTION("GOOGLEFINANCE(B694,""marketcap"")/10000000"),9883.7443713)</f>
        <v>9883.744371</v>
      </c>
      <c r="D694" s="13">
        <f>IFERROR(__xludf.DUMMYFUNCTION("GOOGLEFINANCE(B694,""price"")"),502.7)</f>
        <v>502.7</v>
      </c>
      <c r="E694" s="14">
        <f>IFERROR(__xludf.DUMMYFUNCTION("GOOGLEFINANCE(B694,""Volume"")"),44135.0)</f>
        <v>44135</v>
      </c>
      <c r="F694" s="14">
        <f t="array" ref="F694">F693</f>
        <v>14</v>
      </c>
      <c r="G694" s="15" t="str">
        <f>IFERROR(__xludf.DUMMYFUNCTION("IF(E694&gt;AVERAGE(INDEX(GOOGLEFINANCE(B694,""volume"",WORKDAY(TODAY(),-$F$1),TODAY()),,2)),""Breakout"","""")"),"")</f>
        <v/>
      </c>
      <c r="H694" s="16">
        <f>IFERROR(__xludf.DUMMYFUNCTION("GOOGLEFINANCE(B694,""price"")"),502.7)</f>
        <v>502.7</v>
      </c>
      <c r="I694" s="17">
        <f>IFERROR(__xludf.DUMMYFUNCTION("AVERAGE(QUERY(SORT(GOOGLEFINANCE(B694,""price"",TODAY()-365,TODAY()),1,0),""select Col2 limit 10""))"),527.635)</f>
        <v>527.635</v>
      </c>
      <c r="J694" s="17">
        <f>IFERROR(__xludf.DUMMYFUNCTION("AVERAGE(QUERY(SORT(GOOGLEFINANCE(B694,""price"",TODAY()-365,TODAY()),1,0),""select Col2 limit 30""))"),509.5733333333333)</f>
        <v>509.5733333</v>
      </c>
      <c r="K694" s="18">
        <f>IFERROR(__xludf.DUMMYFUNCTION("AVERAGE(QUERY(SORT(GOOGLEFINANCE(B694,""price"",TODAY()-365,TODAY()),1,0),""select Col2 limit 60""))"),473.7583333333333)</f>
        <v>473.7583333</v>
      </c>
      <c r="L694" s="17">
        <f>IFERROR(__xludf.DUMMYFUNCTION("AVERAGE(QUERY(SORT(GOOGLEFINANCE(B694,""price"",TODAY()-365,TODAY()),1,0),""select Col2 limit 90""))"),458.15277777777777)</f>
        <v>458.1527778</v>
      </c>
      <c r="M694" s="17">
        <f>IFERROR(__xludf.DUMMYFUNCTION("AVERAGE(QUERY(SORT(GOOGLEFINANCE(B694,""price"",TODAY()-365,TODAY()),1,0),""select Col2 limit 120""))"),447.5566666666665)</f>
        <v>447.5566667</v>
      </c>
      <c r="N694" s="19">
        <f>IFERROR(__xludf.DUMMYFUNCTION("AVERAGE(QUERY(SORT(GOOGLEFINANCE(B694,""price"",TODAY()-365,TODAY()),1,0),""select Col2 limit 200""))"),447.0904999999999)</f>
        <v>447.0905</v>
      </c>
      <c r="O694" s="20" t="str">
        <f t="shared" si="2"/>
        <v>Avoid</v>
      </c>
      <c r="P694" s="21" t="str">
        <f t="shared" si="3"/>
        <v/>
      </c>
      <c r="Q694" s="21" t="str">
        <f t="shared" si="4"/>
        <v/>
      </c>
      <c r="R694" s="22">
        <f>IFERROR(__xludf.DUMMYFUNCTION("GOOGLEFINANCE(B694, ""pe"")
"),40.02)</f>
        <v>40.02</v>
      </c>
    </row>
    <row r="695">
      <c r="A695" s="9" t="s">
        <v>707</v>
      </c>
      <c r="B695" s="11" t="str">
        <f t="shared" si="1"/>
        <v>NSE:SANSERA</v>
      </c>
      <c r="C695" s="12">
        <f>IFERROR(__xludf.DUMMYFUNCTION("GOOGLEFINANCE(B695,""marketcap"")/10000000"),8388.5150191)</f>
        <v>8388.515019</v>
      </c>
      <c r="D695" s="13">
        <f>IFERROR(__xludf.DUMMYFUNCTION("GOOGLEFINANCE(B695,""price"")"),1350.7)</f>
        <v>1350.7</v>
      </c>
      <c r="E695" s="14">
        <f>IFERROR(__xludf.DUMMYFUNCTION("GOOGLEFINANCE(B695,""Volume"")"),17522.0)</f>
        <v>17522</v>
      </c>
      <c r="F695" s="14">
        <f t="array" ref="F695">F694</f>
        <v>14</v>
      </c>
      <c r="G695" s="15" t="str">
        <f>IFERROR(__xludf.DUMMYFUNCTION("IF(E695&gt;AVERAGE(INDEX(GOOGLEFINANCE(B695,""volume"",WORKDAY(TODAY(),-$F$1),TODAY()),,2)),""Breakout"","""")"),"")</f>
        <v/>
      </c>
      <c r="H695" s="16">
        <f>IFERROR(__xludf.DUMMYFUNCTION("GOOGLEFINANCE(B695,""price"")"),1350.7)</f>
        <v>1350.7</v>
      </c>
      <c r="I695" s="17">
        <f>IFERROR(__xludf.DUMMYFUNCTION("AVERAGE(QUERY(SORT(GOOGLEFINANCE(B695,""price"",TODAY()-365,TODAY()),1,0),""select Col2 limit 10""))"),1363.88)</f>
        <v>1363.88</v>
      </c>
      <c r="J695" s="17">
        <f>IFERROR(__xludf.DUMMYFUNCTION("AVERAGE(QUERY(SORT(GOOGLEFINANCE(B695,""price"",TODAY()-365,TODAY()),1,0),""select Col2 limit 30""))"),1363.326666666667)</f>
        <v>1363.326667</v>
      </c>
      <c r="K695" s="18">
        <f>IFERROR(__xludf.DUMMYFUNCTION("AVERAGE(QUERY(SORT(GOOGLEFINANCE(B695,""price"",TODAY()-365,TODAY()),1,0),""select Col2 limit 60""))"),1309.8283333333331)</f>
        <v>1309.828333</v>
      </c>
      <c r="L695" s="17">
        <f>IFERROR(__xludf.DUMMYFUNCTION("AVERAGE(QUERY(SORT(GOOGLEFINANCE(B695,""price"",TODAY()-365,TODAY()),1,0),""select Col2 limit 90""))"),1256.021111111111)</f>
        <v>1256.021111</v>
      </c>
      <c r="M695" s="17">
        <f>IFERROR(__xludf.DUMMYFUNCTION("AVERAGE(QUERY(SORT(GOOGLEFINANCE(B695,""price"",TODAY()-365,TODAY()),1,0),""select Col2 limit 120""))"),1237.9679166666667)</f>
        <v>1237.967917</v>
      </c>
      <c r="N695" s="19">
        <f>IFERROR(__xludf.DUMMYFUNCTION("AVERAGE(QUERY(SORT(GOOGLEFINANCE(B695,""price"",TODAY()-365,TODAY()),1,0),""select Col2 limit 200""))"),1339.16975)</f>
        <v>1339.16975</v>
      </c>
      <c r="O695" s="20" t="str">
        <f t="shared" si="2"/>
        <v>Avoid</v>
      </c>
      <c r="P695" s="21" t="str">
        <f t="shared" si="3"/>
        <v>10 DMA</v>
      </c>
      <c r="Q695" s="21" t="str">
        <f t="shared" si="4"/>
        <v/>
      </c>
      <c r="R695" s="22">
        <f>IFERROR(__xludf.DUMMYFUNCTION("GOOGLEFINANCE(B695, ""pe"")
"),36.37)</f>
        <v>36.37</v>
      </c>
    </row>
    <row r="696">
      <c r="A696" s="9" t="s">
        <v>708</v>
      </c>
      <c r="B696" s="11" t="str">
        <f t="shared" si="1"/>
        <v>NSE:TMB</v>
      </c>
      <c r="C696" s="12">
        <f>IFERROR(__xludf.DUMMYFUNCTION("GOOGLEFINANCE(B696,""marketcap"")/10000000"),7151.1493206)</f>
        <v>7151.149321</v>
      </c>
      <c r="D696" s="13">
        <f>IFERROR(__xludf.DUMMYFUNCTION("GOOGLEFINANCE(B696,""price"")"),452.0)</f>
        <v>452</v>
      </c>
      <c r="E696" s="14">
        <f>IFERROR(__xludf.DUMMYFUNCTION("GOOGLEFINANCE(B696,""Volume"")"),76432.0)</f>
        <v>76432</v>
      </c>
      <c r="F696" s="14">
        <f t="array" ref="F696">F695</f>
        <v>14</v>
      </c>
      <c r="G696" s="15" t="str">
        <f>IFERROR(__xludf.DUMMYFUNCTION("IF(E696&gt;AVERAGE(INDEX(GOOGLEFINANCE(B696,""volume"",WORKDAY(TODAY(),-$F$1),TODAY()),,2)),""Breakout"","""")"),"Breakout")</f>
        <v>Breakout</v>
      </c>
      <c r="H696" s="16">
        <f>IFERROR(__xludf.DUMMYFUNCTION("GOOGLEFINANCE(B696,""price"")"),452.0)</f>
        <v>452</v>
      </c>
      <c r="I696" s="17">
        <f>IFERROR(__xludf.DUMMYFUNCTION("AVERAGE(QUERY(SORT(GOOGLEFINANCE(B696,""price"",TODAY()-365,TODAY()),1,0),""select Col2 limit 10""))"),454.36500000000007)</f>
        <v>454.365</v>
      </c>
      <c r="J696" s="17">
        <f>IFERROR(__xludf.DUMMYFUNCTION("AVERAGE(QUERY(SORT(GOOGLEFINANCE(B696,""price"",TODAY()-365,TODAY()),1,0),""select Col2 limit 30""))"),447.93500000000006)</f>
        <v>447.935</v>
      </c>
      <c r="K696" s="18">
        <f>IFERROR(__xludf.DUMMYFUNCTION("AVERAGE(QUERY(SORT(GOOGLEFINANCE(B696,""price"",TODAY()-365,TODAY()),1,0),""select Col2 limit 60""))"),449.2708333333333)</f>
        <v>449.2708333</v>
      </c>
      <c r="L696" s="17">
        <f>IFERROR(__xludf.DUMMYFUNCTION("AVERAGE(QUERY(SORT(GOOGLEFINANCE(B696,""price"",TODAY()-365,TODAY()),1,0),""select Col2 limit 90""))"),442.0905555555555)</f>
        <v>442.0905556</v>
      </c>
      <c r="M696" s="17">
        <f>IFERROR(__xludf.DUMMYFUNCTION("AVERAGE(QUERY(SORT(GOOGLEFINANCE(B696,""price"",TODAY()-365,TODAY()),1,0),""select Col2 limit 120""))"),437.2637499999999)</f>
        <v>437.26375</v>
      </c>
      <c r="N696" s="19">
        <f>IFERROR(__xludf.DUMMYFUNCTION("AVERAGE(QUERY(SORT(GOOGLEFINANCE(B696,""price"",TODAY()-365,TODAY()),1,0),""select Col2 limit 200""))"),443.9135)</f>
        <v>443.9135</v>
      </c>
      <c r="O696" s="20" t="str">
        <f t="shared" si="2"/>
        <v>Avoid</v>
      </c>
      <c r="P696" s="21" t="str">
        <f t="shared" si="3"/>
        <v>10 DMA</v>
      </c>
      <c r="Q696" s="21" t="str">
        <f t="shared" si="4"/>
        <v/>
      </c>
      <c r="R696" s="22">
        <f>IFERROR(__xludf.DUMMYFUNCTION("GOOGLEFINANCE(B696, ""pe"")
"),6.05)</f>
        <v>6.05</v>
      </c>
    </row>
    <row r="697">
      <c r="A697" s="9" t="s">
        <v>709</v>
      </c>
      <c r="B697" s="11" t="str">
        <f t="shared" si="1"/>
        <v>NSE:SHARDAMOTR</v>
      </c>
      <c r="C697" s="12">
        <f>IFERROR(__xludf.DUMMYFUNCTION("GOOGLEFINANCE(B697,""marketcap"")/10000000"),6039.29004)</f>
        <v>6039.29004</v>
      </c>
      <c r="D697" s="13">
        <f>IFERROR(__xludf.DUMMYFUNCTION("GOOGLEFINANCE(B697,""price"")"),1052.0)</f>
        <v>1052</v>
      </c>
      <c r="E697" s="14">
        <f>IFERROR(__xludf.DUMMYFUNCTION("GOOGLEFINANCE(B697,""Volume"")"),71473.0)</f>
        <v>71473</v>
      </c>
      <c r="F697" s="14">
        <f t="array" ref="F697">F696</f>
        <v>14</v>
      </c>
      <c r="G697" s="15" t="str">
        <f>IFERROR(__xludf.DUMMYFUNCTION("IF(E697&gt;AVERAGE(INDEX(GOOGLEFINANCE(B697,""volume"",WORKDAY(TODAY(),-$F$1),TODAY()),,2)),""Breakout"","""")"),"")</f>
        <v/>
      </c>
      <c r="H697" s="16">
        <f>IFERROR(__xludf.DUMMYFUNCTION("GOOGLEFINANCE(B697,""price"")"),1052.0)</f>
        <v>1052</v>
      </c>
      <c r="I697" s="17">
        <f>IFERROR(__xludf.DUMMYFUNCTION("AVERAGE(QUERY(SORT(GOOGLEFINANCE(B697,""price"",TODAY()-365,TODAY()),1,0),""select Col2 limit 10""))"),1093.6)</f>
        <v>1093.6</v>
      </c>
      <c r="J697" s="17">
        <f>IFERROR(__xludf.DUMMYFUNCTION("AVERAGE(QUERY(SORT(GOOGLEFINANCE(B697,""price"",TODAY()-365,TODAY()),1,0),""select Col2 limit 30""))"),1527.7266666666665)</f>
        <v>1527.726667</v>
      </c>
      <c r="K697" s="18">
        <f>IFERROR(__xludf.DUMMYFUNCTION("AVERAGE(QUERY(SORT(GOOGLEFINANCE(B697,""price"",TODAY()-365,TODAY()),1,0),""select Col2 limit 60""))"),1663.4199999999994)</f>
        <v>1663.42</v>
      </c>
      <c r="L697" s="17">
        <f>IFERROR(__xludf.DUMMYFUNCTION("AVERAGE(QUERY(SORT(GOOGLEFINANCE(B697,""price"",TODAY()-365,TODAY()),1,0),""select Col2 limit 90""))"),1628.5761111111108)</f>
        <v>1628.576111</v>
      </c>
      <c r="M697" s="17">
        <f>IFERROR(__xludf.DUMMYFUNCTION("AVERAGE(QUERY(SORT(GOOGLEFINANCE(B697,""price"",TODAY()-365,TODAY()),1,0),""select Col2 limit 120""))"),1637.5066666666667)</f>
        <v>1637.506667</v>
      </c>
      <c r="N697" s="19">
        <f>IFERROR(__xludf.DUMMYFUNCTION("AVERAGE(QUERY(SORT(GOOGLEFINANCE(B697,""price"",TODAY()-365,TODAY()),1,0),""select Col2 limit 200""))"),1792.8369999999995)</f>
        <v>1792.837</v>
      </c>
      <c r="O697" s="20" t="str">
        <f t="shared" si="2"/>
        <v>Avoid</v>
      </c>
      <c r="P697" s="21" t="str">
        <f t="shared" si="3"/>
        <v/>
      </c>
      <c r="Q697" s="21" t="str">
        <f t="shared" si="4"/>
        <v/>
      </c>
      <c r="R697" s="22">
        <f>IFERROR(__xludf.DUMMYFUNCTION("GOOGLEFINANCE(B697, ""pe"")
"),19.18)</f>
        <v>19.18</v>
      </c>
    </row>
    <row r="698">
      <c r="A698" s="9" t="s">
        <v>710</v>
      </c>
      <c r="B698" s="11" t="str">
        <f t="shared" si="1"/>
        <v>NSE:EMUDHRA</v>
      </c>
      <c r="C698" s="12">
        <f>IFERROR(__xludf.DUMMYFUNCTION("GOOGLEFINANCE(B698,""marketcap"")/10000000"),6638.2274812)</f>
        <v>6638.227481</v>
      </c>
      <c r="D698" s="13">
        <f>IFERROR(__xludf.DUMMYFUNCTION("GOOGLEFINANCE(B698,""price"")"),815.4)</f>
        <v>815.4</v>
      </c>
      <c r="E698" s="14">
        <f>IFERROR(__xludf.DUMMYFUNCTION("GOOGLEFINANCE(B698,""Volume"")"),36353.0)</f>
        <v>36353</v>
      </c>
      <c r="F698" s="14">
        <f t="array" ref="F698">F697</f>
        <v>14</v>
      </c>
      <c r="G698" s="15" t="str">
        <f>IFERROR(__xludf.DUMMYFUNCTION("IF(E698&gt;AVERAGE(INDEX(GOOGLEFINANCE(B698,""volume"",WORKDAY(TODAY(),-$F$1),TODAY()),,2)),""Breakout"","""")"),"")</f>
        <v/>
      </c>
      <c r="H698" s="16">
        <f>IFERROR(__xludf.DUMMYFUNCTION("GOOGLEFINANCE(B698,""price"")"),815.4)</f>
        <v>815.4</v>
      </c>
      <c r="I698" s="17">
        <f>IFERROR(__xludf.DUMMYFUNCTION("AVERAGE(QUERY(SORT(GOOGLEFINANCE(B698,""price"",TODAY()-365,TODAY()),1,0),""select Col2 limit 10""))"),814.0699999999999)</f>
        <v>814.07</v>
      </c>
      <c r="J698" s="17">
        <f>IFERROR(__xludf.DUMMYFUNCTION("AVERAGE(QUERY(SORT(GOOGLEFINANCE(B698,""price"",TODAY()-365,TODAY()),1,0),""select Col2 limit 30""))"),774.5266666666668)</f>
        <v>774.5266667</v>
      </c>
      <c r="K698" s="18">
        <f>IFERROR(__xludf.DUMMYFUNCTION("AVERAGE(QUERY(SORT(GOOGLEFINANCE(B698,""price"",TODAY()-365,TODAY()),1,0),""select Col2 limit 60""))"),762.0891666666669)</f>
        <v>762.0891667</v>
      </c>
      <c r="L698" s="17">
        <f>IFERROR(__xludf.DUMMYFUNCTION("AVERAGE(QUERY(SORT(GOOGLEFINANCE(B698,""price"",TODAY()-365,TODAY()),1,0),""select Col2 limit 90""))"),786.1350000000001)</f>
        <v>786.135</v>
      </c>
      <c r="M698" s="17">
        <f>IFERROR(__xludf.DUMMYFUNCTION("AVERAGE(QUERY(SORT(GOOGLEFINANCE(B698,""price"",TODAY()-365,TODAY()),1,0),""select Col2 limit 120""))"),775.6866666666672)</f>
        <v>775.6866667</v>
      </c>
      <c r="N698" s="19">
        <f>IFERROR(__xludf.DUMMYFUNCTION("AVERAGE(QUERY(SORT(GOOGLEFINANCE(B698,""price"",TODAY()-365,TODAY()),1,0),""select Col2 limit 200""))"),831.5260000000006)</f>
        <v>831.526</v>
      </c>
      <c r="O698" s="20" t="str">
        <f t="shared" si="2"/>
        <v>Buy Above 200 DMA</v>
      </c>
      <c r="P698" s="21" t="str">
        <f t="shared" si="3"/>
        <v/>
      </c>
      <c r="Q698" s="21" t="str">
        <f t="shared" si="4"/>
        <v/>
      </c>
      <c r="R698" s="22">
        <f>IFERROR(__xludf.DUMMYFUNCTION("GOOGLEFINANCE(B698, ""pe"")
"),74.4)</f>
        <v>74.4</v>
      </c>
    </row>
    <row r="699">
      <c r="A699" s="9" t="s">
        <v>711</v>
      </c>
      <c r="B699" s="11" t="str">
        <f t="shared" si="1"/>
        <v>NSE:DODLA</v>
      </c>
      <c r="C699" s="12">
        <f>IFERROR(__xludf.DUMMYFUNCTION("GOOGLEFINANCE(B699,""marketcap"")/10000000"),7861.3167738)</f>
        <v>7861.316774</v>
      </c>
      <c r="D699" s="13">
        <f>IFERROR(__xludf.DUMMYFUNCTION("GOOGLEFINANCE(B699,""price"")"),1303.1)</f>
        <v>1303.1</v>
      </c>
      <c r="E699" s="14">
        <f>IFERROR(__xludf.DUMMYFUNCTION("GOOGLEFINANCE(B699,""Volume"")"),28786.0)</f>
        <v>28786</v>
      </c>
      <c r="F699" s="14">
        <f t="array" ref="F699">F698</f>
        <v>14</v>
      </c>
      <c r="G699" s="15" t="str">
        <f>IFERROR(__xludf.DUMMYFUNCTION("IF(E699&gt;AVERAGE(INDEX(GOOGLEFINANCE(B699,""volume"",WORKDAY(TODAY(),-$F$1),TODAY()),,2)),""Breakout"","""")"),"")</f>
        <v/>
      </c>
      <c r="H699" s="16">
        <f>IFERROR(__xludf.DUMMYFUNCTION("GOOGLEFINANCE(B699,""price"")"),1303.1)</f>
        <v>1303.1</v>
      </c>
      <c r="I699" s="17">
        <f>IFERROR(__xludf.DUMMYFUNCTION("AVERAGE(QUERY(SORT(GOOGLEFINANCE(B699,""price"",TODAY()-365,TODAY()),1,0),""select Col2 limit 10""))"),1389.7900000000002)</f>
        <v>1389.79</v>
      </c>
      <c r="J699" s="17">
        <f>IFERROR(__xludf.DUMMYFUNCTION("AVERAGE(QUERY(SORT(GOOGLEFINANCE(B699,""price"",TODAY()-365,TODAY()),1,0),""select Col2 limit 30""))"),1381.583333333333)</f>
        <v>1381.583333</v>
      </c>
      <c r="K699" s="18">
        <f>IFERROR(__xludf.DUMMYFUNCTION("AVERAGE(QUERY(SORT(GOOGLEFINANCE(B699,""price"",TODAY()-365,TODAY()),1,0),""select Col2 limit 60""))"),1260.6966666666667)</f>
        <v>1260.696667</v>
      </c>
      <c r="L699" s="17">
        <f>IFERROR(__xludf.DUMMYFUNCTION("AVERAGE(QUERY(SORT(GOOGLEFINANCE(B699,""price"",TODAY()-365,TODAY()),1,0),""select Col2 limit 90""))"),1213.513888888889)</f>
        <v>1213.513889</v>
      </c>
      <c r="M699" s="17">
        <f>IFERROR(__xludf.DUMMYFUNCTION("AVERAGE(QUERY(SORT(GOOGLEFINANCE(B699,""price"",TODAY()-365,TODAY()),1,0),""select Col2 limit 120""))"),1175.345)</f>
        <v>1175.345</v>
      </c>
      <c r="N699" s="19">
        <f>IFERROR(__xludf.DUMMYFUNCTION("AVERAGE(QUERY(SORT(GOOGLEFINANCE(B699,""price"",TODAY()-365,TODAY()),1,0),""select Col2 limit 200""))"),1191.7805)</f>
        <v>1191.7805</v>
      </c>
      <c r="O699" s="20" t="str">
        <f t="shared" si="2"/>
        <v>Avoid</v>
      </c>
      <c r="P699" s="21" t="str">
        <f t="shared" si="3"/>
        <v/>
      </c>
      <c r="Q699" s="21" t="str">
        <f t="shared" si="4"/>
        <v/>
      </c>
      <c r="R699" s="22">
        <f>IFERROR(__xludf.DUMMYFUNCTION("GOOGLEFINANCE(B699, ""pe"")
"),30.47)</f>
        <v>30.47</v>
      </c>
    </row>
    <row r="700">
      <c r="A700" s="9" t="s">
        <v>712</v>
      </c>
      <c r="B700" s="11" t="str">
        <f t="shared" si="1"/>
        <v>NSE:MANINFRA</v>
      </c>
      <c r="C700" s="12">
        <f>IFERROR(__xludf.DUMMYFUNCTION("GOOGLEFINANCE(B700,""marketcap"")/10000000"),7161.0434636)</f>
        <v>7161.043464</v>
      </c>
      <c r="D700" s="13">
        <f>IFERROR(__xludf.DUMMYFUNCTION("GOOGLEFINANCE(B700,""price"")"),175.6)</f>
        <v>175.6</v>
      </c>
      <c r="E700" s="14">
        <f>IFERROR(__xludf.DUMMYFUNCTION("GOOGLEFINANCE(B700,""Volume"")"),374954.0)</f>
        <v>374954</v>
      </c>
      <c r="F700" s="14">
        <f t="array" ref="F700">F699</f>
        <v>14</v>
      </c>
      <c r="G700" s="15" t="str">
        <f>IFERROR(__xludf.DUMMYFUNCTION("IF(E700&gt;AVERAGE(INDEX(GOOGLEFINANCE(B700,""volume"",WORKDAY(TODAY(),-$F$1),TODAY()),,2)),""Breakout"","""")"),"")</f>
        <v/>
      </c>
      <c r="H700" s="16">
        <f>IFERROR(__xludf.DUMMYFUNCTION("GOOGLEFINANCE(B700,""price"")"),175.6)</f>
        <v>175.6</v>
      </c>
      <c r="I700" s="17">
        <f>IFERROR(__xludf.DUMMYFUNCTION("AVERAGE(QUERY(SORT(GOOGLEFINANCE(B700,""price"",TODAY()-365,TODAY()),1,0),""select Col2 limit 10""))"),180.43900000000002)</f>
        <v>180.439</v>
      </c>
      <c r="J700" s="17">
        <f>IFERROR(__xludf.DUMMYFUNCTION("AVERAGE(QUERY(SORT(GOOGLEFINANCE(B700,""price"",TODAY()-365,TODAY()),1,0),""select Col2 limit 30""))"),178.16833333333335)</f>
        <v>178.1683333</v>
      </c>
      <c r="K700" s="18">
        <f>IFERROR(__xludf.DUMMYFUNCTION("AVERAGE(QUERY(SORT(GOOGLEFINANCE(B700,""price"",TODAY()-365,TODAY()),1,0),""select Col2 limit 60""))"),170.47833333333335)</f>
        <v>170.4783333</v>
      </c>
      <c r="L700" s="17">
        <f>IFERROR(__xludf.DUMMYFUNCTION("AVERAGE(QUERY(SORT(GOOGLEFINANCE(B700,""price"",TODAY()-365,TODAY()),1,0),""select Col2 limit 90""))"),164.70611111111108)</f>
        <v>164.7061111</v>
      </c>
      <c r="M700" s="17">
        <f>IFERROR(__xludf.DUMMYFUNCTION("AVERAGE(QUERY(SORT(GOOGLEFINANCE(B700,""price"",TODAY()-365,TODAY()),1,0),""select Col2 limit 120""))"),166.3176666666667)</f>
        <v>166.3176667</v>
      </c>
      <c r="N700" s="19">
        <f>IFERROR(__xludf.DUMMYFUNCTION("AVERAGE(QUERY(SORT(GOOGLEFINANCE(B700,""price"",TODAY()-365,TODAY()),1,0),""select Col2 limit 200""))"),184.41170000000002)</f>
        <v>184.4117</v>
      </c>
      <c r="O700" s="20" t="str">
        <f t="shared" si="2"/>
        <v>Avoid</v>
      </c>
      <c r="P700" s="21" t="str">
        <f t="shared" si="3"/>
        <v/>
      </c>
      <c r="Q700" s="21" t="str">
        <f t="shared" si="4"/>
        <v/>
      </c>
      <c r="R700" s="22">
        <f>IFERROR(__xludf.DUMMYFUNCTION("GOOGLEFINANCE(B700, ""pe"")
"),23.38)</f>
        <v>23.38</v>
      </c>
    </row>
    <row r="701">
      <c r="A701" s="9" t="s">
        <v>713</v>
      </c>
      <c r="B701" s="11" t="str">
        <f t="shared" si="1"/>
        <v>NSE:SUPRAJIT</v>
      </c>
      <c r="C701" s="12">
        <f>IFERROR(__xludf.DUMMYFUNCTION("GOOGLEFINANCE(B701,""marketcap"")/10000000"),6404.7292392)</f>
        <v>6404.729239</v>
      </c>
      <c r="D701" s="13">
        <f>IFERROR(__xludf.DUMMYFUNCTION("GOOGLEFINANCE(B701,""price"")"),466.55)</f>
        <v>466.55</v>
      </c>
      <c r="E701" s="14">
        <f>IFERROR(__xludf.DUMMYFUNCTION("GOOGLEFINANCE(B701,""Volume"")"),16894.0)</f>
        <v>16894</v>
      </c>
      <c r="F701" s="14">
        <f t="array" ref="F701">F700</f>
        <v>14</v>
      </c>
      <c r="G701" s="15" t="str">
        <f>IFERROR(__xludf.DUMMYFUNCTION("IF(E701&gt;AVERAGE(INDEX(GOOGLEFINANCE(B701,""volume"",WORKDAY(TODAY(),-$F$1),TODAY()),,2)),""Breakout"","""")"),"")</f>
        <v/>
      </c>
      <c r="H701" s="16">
        <f>IFERROR(__xludf.DUMMYFUNCTION("GOOGLEFINANCE(B701,""price"")"),466.55)</f>
        <v>466.55</v>
      </c>
      <c r="I701" s="17">
        <f>IFERROR(__xludf.DUMMYFUNCTION("AVERAGE(QUERY(SORT(GOOGLEFINANCE(B701,""price"",TODAY()-365,TODAY()),1,0),""select Col2 limit 10""))"),464.855)</f>
        <v>464.855</v>
      </c>
      <c r="J701" s="17">
        <f>IFERROR(__xludf.DUMMYFUNCTION("AVERAGE(QUERY(SORT(GOOGLEFINANCE(B701,""price"",TODAY()-365,TODAY()),1,0),""select Col2 limit 30""))"),462.6683333333333)</f>
        <v>462.6683333</v>
      </c>
      <c r="K701" s="18">
        <f>IFERROR(__xludf.DUMMYFUNCTION("AVERAGE(QUERY(SORT(GOOGLEFINANCE(B701,""price"",TODAY()-365,TODAY()),1,0),""select Col2 limit 60""))"),444.68750000000006)</f>
        <v>444.6875</v>
      </c>
      <c r="L701" s="17">
        <f>IFERROR(__xludf.DUMMYFUNCTION("AVERAGE(QUERY(SORT(GOOGLEFINANCE(B701,""price"",TODAY()-365,TODAY()),1,0),""select Col2 limit 90""))"),426.5238888888889)</f>
        <v>426.5238889</v>
      </c>
      <c r="M701" s="17">
        <f>IFERROR(__xludf.DUMMYFUNCTION("AVERAGE(QUERY(SORT(GOOGLEFINANCE(B701,""price"",TODAY()-365,TODAY()),1,0),""select Col2 limit 120""))"),421.69666666666666)</f>
        <v>421.6966667</v>
      </c>
      <c r="N701" s="19">
        <f>IFERROR(__xludf.DUMMYFUNCTION("AVERAGE(QUERY(SORT(GOOGLEFINANCE(B701,""price"",TODAY()-365,TODAY()),1,0),""select Col2 limit 200""))"),440.95074999999974)</f>
        <v>440.95075</v>
      </c>
      <c r="O701" s="20" t="str">
        <f t="shared" si="2"/>
        <v>Avoid</v>
      </c>
      <c r="P701" s="21" t="str">
        <f t="shared" si="3"/>
        <v/>
      </c>
      <c r="Q701" s="21" t="str">
        <f t="shared" si="4"/>
        <v/>
      </c>
      <c r="R701" s="22">
        <f>IFERROR(__xludf.DUMMYFUNCTION("GOOGLEFINANCE(B701, ""pe"")
"),64.87)</f>
        <v>64.87</v>
      </c>
    </row>
    <row r="702">
      <c r="A702" s="9" t="s">
        <v>714</v>
      </c>
      <c r="B702" s="11" t="str">
        <f t="shared" si="1"/>
        <v>NSE:GREENLAM</v>
      </c>
      <c r="C702" s="12">
        <f>IFERROR(__xludf.DUMMYFUNCTION("GOOGLEFINANCE(B702,""marketcap"")/10000000"),6141.9130583)</f>
        <v>6141.913058</v>
      </c>
      <c r="D702" s="13">
        <f>IFERROR(__xludf.DUMMYFUNCTION("GOOGLEFINANCE(B702,""price"")"),240.24)</f>
        <v>240.24</v>
      </c>
      <c r="E702" s="14">
        <f>IFERROR(__xludf.DUMMYFUNCTION("GOOGLEFINANCE(B702,""Volume"")"),33356.0)</f>
        <v>33356</v>
      </c>
      <c r="F702" s="14">
        <f t="array" ref="F702">F701</f>
        <v>14</v>
      </c>
      <c r="G702" s="15" t="str">
        <f>IFERROR(__xludf.DUMMYFUNCTION("IF(E702&gt;AVERAGE(INDEX(GOOGLEFINANCE(B702,""volume"",WORKDAY(TODAY(),-$F$1),TODAY()),,2)),""Breakout"","""")"),"#N/A")</f>
        <v>#N/A</v>
      </c>
      <c r="H702" s="16">
        <f>IFERROR(__xludf.DUMMYFUNCTION("GOOGLEFINANCE(B702,""price"")"),240.24)</f>
        <v>240.24</v>
      </c>
      <c r="I702" s="17">
        <f>IFERROR(__xludf.DUMMYFUNCTION("AVERAGE(QUERY(SORT(GOOGLEFINANCE(B702,""price"",TODAY()-365,TODAY()),1,0),""select Col2 limit 10""))"),247.901)</f>
        <v>247.901</v>
      </c>
      <c r="J702" s="17">
        <f>IFERROR(__xludf.DUMMYFUNCTION("AVERAGE(QUERY(SORT(GOOGLEFINANCE(B702,""price"",TODAY()-365,TODAY()),1,0),""select Col2 limit 30""))"),242.85000000000002)</f>
        <v>242.85</v>
      </c>
      <c r="K702" s="18">
        <f>IFERROR(__xludf.DUMMYFUNCTION("AVERAGE(QUERY(SORT(GOOGLEFINANCE(B702,""price"",TODAY()-365,TODAY()),1,0),""select Col2 limit 60""))"),243.84083333333336)</f>
        <v>243.8408333</v>
      </c>
      <c r="L702" s="17">
        <f>IFERROR(__xludf.DUMMYFUNCTION("AVERAGE(QUERY(SORT(GOOGLEFINANCE(B702,""price"",TODAY()-365,TODAY()),1,0),""select Col2 limit 90""))"),240.49155555555558)</f>
        <v>240.4915556</v>
      </c>
      <c r="M702" s="17">
        <f>IFERROR(__xludf.DUMMYFUNCTION("AVERAGE(QUERY(SORT(GOOGLEFINANCE(B702,""price"",TODAY()-365,TODAY()),1,0),""select Col2 limit 120""))"),245.42333333333335)</f>
        <v>245.4233333</v>
      </c>
      <c r="N702" s="19">
        <f>IFERROR(__xludf.DUMMYFUNCTION("AVERAGE(QUERY(SORT(GOOGLEFINANCE(B702,""price"",TODAY()-365,TODAY()),1,0),""select Col2 limit 200""))"),256.9518500000002)</f>
        <v>256.95185</v>
      </c>
      <c r="O702" s="20" t="str">
        <f t="shared" si="2"/>
        <v>Avoid</v>
      </c>
      <c r="P702" s="21" t="str">
        <f t="shared" si="3"/>
        <v>90 DMA</v>
      </c>
      <c r="Q702" s="21" t="str">
        <f t="shared" si="4"/>
        <v/>
      </c>
      <c r="R702" s="22">
        <f>IFERROR(__xludf.DUMMYFUNCTION("GOOGLEFINANCE(B702, ""pe"")
"),87.96)</f>
        <v>87.96</v>
      </c>
    </row>
    <row r="703">
      <c r="A703" s="9" t="s">
        <v>715</v>
      </c>
      <c r="B703" s="11" t="str">
        <f t="shared" si="1"/>
        <v>NSE:KRBL</v>
      </c>
      <c r="C703" s="12">
        <f>IFERROR(__xludf.DUMMYFUNCTION("GOOGLEFINANCE(B703,""marketcap"")/10000000"),8966.757915)</f>
        <v>8966.757915</v>
      </c>
      <c r="D703" s="13">
        <f>IFERROR(__xludf.DUMMYFUNCTION("GOOGLEFINANCE(B703,""price"")"),392.15)</f>
        <v>392.15</v>
      </c>
      <c r="E703" s="14">
        <f>IFERROR(__xludf.DUMMYFUNCTION("GOOGLEFINANCE(B703,""Volume"")"),166132.0)</f>
        <v>166132</v>
      </c>
      <c r="F703" s="14">
        <f t="array" ref="F703">F702</f>
        <v>14</v>
      </c>
      <c r="G703" s="15" t="str">
        <f>IFERROR(__xludf.DUMMYFUNCTION("IF(E703&gt;AVERAGE(INDEX(GOOGLEFINANCE(B703,""volume"",WORKDAY(TODAY(),-$F$1),TODAY()),,2)),""Breakout"","""")"),"")</f>
        <v/>
      </c>
      <c r="H703" s="16">
        <f>IFERROR(__xludf.DUMMYFUNCTION("GOOGLEFINANCE(B703,""price"")"),392.15)</f>
        <v>392.15</v>
      </c>
      <c r="I703" s="17">
        <f>IFERROR(__xludf.DUMMYFUNCTION("AVERAGE(QUERY(SORT(GOOGLEFINANCE(B703,""price"",TODAY()-365,TODAY()),1,0),""select Col2 limit 10""))"),399.035)</f>
        <v>399.035</v>
      </c>
      <c r="J703" s="17">
        <f>IFERROR(__xludf.DUMMYFUNCTION("AVERAGE(QUERY(SORT(GOOGLEFINANCE(B703,""price"",TODAY()-365,TODAY()),1,0),""select Col2 limit 30""))"),380.28499999999997)</f>
        <v>380.285</v>
      </c>
      <c r="K703" s="18">
        <f>IFERROR(__xludf.DUMMYFUNCTION("AVERAGE(QUERY(SORT(GOOGLEFINANCE(B703,""price"",TODAY()-365,TODAY()),1,0),""select Col2 limit 60""))"),363.07500000000005)</f>
        <v>363.075</v>
      </c>
      <c r="L703" s="17">
        <f>IFERROR(__xludf.DUMMYFUNCTION("AVERAGE(QUERY(SORT(GOOGLEFINANCE(B703,""price"",TODAY()-365,TODAY()),1,0),""select Col2 limit 90""))"),338.64444444444445)</f>
        <v>338.6444444</v>
      </c>
      <c r="M703" s="17">
        <f>IFERROR(__xludf.DUMMYFUNCTION("AVERAGE(QUERY(SORT(GOOGLEFINANCE(B703,""price"",TODAY()-365,TODAY()),1,0),""select Col2 limit 120""))"),322.12000000000006)</f>
        <v>322.12</v>
      </c>
      <c r="N703" s="19">
        <f>IFERROR(__xludf.DUMMYFUNCTION("AVERAGE(QUERY(SORT(GOOGLEFINANCE(B703,""price"",TODAY()-365,TODAY()),1,0),""select Col2 limit 200""))"),309.5327500000001)</f>
        <v>309.53275</v>
      </c>
      <c r="O703" s="20" t="str">
        <f t="shared" si="2"/>
        <v>Avoid</v>
      </c>
      <c r="P703" s="21" t="str">
        <f t="shared" si="3"/>
        <v/>
      </c>
      <c r="Q703" s="21" t="str">
        <f t="shared" si="4"/>
        <v/>
      </c>
      <c r="R703" s="22">
        <f>IFERROR(__xludf.DUMMYFUNCTION("GOOGLEFINANCE(B703, ""pe"")
"),18.83)</f>
        <v>18.83</v>
      </c>
    </row>
    <row r="704">
      <c r="A704" s="9" t="s">
        <v>716</v>
      </c>
      <c r="B704" s="11" t="str">
        <f t="shared" si="1"/>
        <v>NSE:NFL</v>
      </c>
      <c r="C704" s="12">
        <f>IFERROR(__xludf.DUMMYFUNCTION("GOOGLEFINANCE(B704,""marketcap"")/10000000"),4802.7626108)</f>
        <v>4802.762611</v>
      </c>
      <c r="D704" s="13">
        <f>IFERROR(__xludf.DUMMYFUNCTION("GOOGLEFINANCE(B704,""price"")"),98.0)</f>
        <v>98</v>
      </c>
      <c r="E704" s="14">
        <f>IFERROR(__xludf.DUMMYFUNCTION("GOOGLEFINANCE(B704,""Volume"")"),1340178.0)</f>
        <v>1340178</v>
      </c>
      <c r="F704" s="14">
        <f t="array" ref="F704">F703</f>
        <v>14</v>
      </c>
      <c r="G704" s="15" t="str">
        <f>IFERROR(__xludf.DUMMYFUNCTION("IF(E704&gt;AVERAGE(INDEX(GOOGLEFINANCE(B704,""volume"",WORKDAY(TODAY(),-$F$1),TODAY()),,2)),""Breakout"","""")"),"")</f>
        <v/>
      </c>
      <c r="H704" s="16">
        <f>IFERROR(__xludf.DUMMYFUNCTION("GOOGLEFINANCE(B704,""price"")"),98.0)</f>
        <v>98</v>
      </c>
      <c r="I704" s="17">
        <f>IFERROR(__xludf.DUMMYFUNCTION("AVERAGE(QUERY(SORT(GOOGLEFINANCE(B704,""price"",TODAY()-365,TODAY()),1,0),""select Col2 limit 10""))"),98.78200000000001)</f>
        <v>98.782</v>
      </c>
      <c r="J704" s="17">
        <f>IFERROR(__xludf.DUMMYFUNCTION("AVERAGE(QUERY(SORT(GOOGLEFINANCE(B704,""price"",TODAY()-365,TODAY()),1,0),""select Col2 limit 30""))"),99.26400000000002)</f>
        <v>99.264</v>
      </c>
      <c r="K704" s="18">
        <f>IFERROR(__xludf.DUMMYFUNCTION("AVERAGE(QUERY(SORT(GOOGLEFINANCE(B704,""price"",TODAY()-365,TODAY()),1,0),""select Col2 limit 60""))"),98.25683333333338)</f>
        <v>98.25683333</v>
      </c>
      <c r="L704" s="17">
        <f>IFERROR(__xludf.DUMMYFUNCTION("AVERAGE(QUERY(SORT(GOOGLEFINANCE(B704,""price"",TODAY()-365,TODAY()),1,0),""select Col2 limit 90""))"),93.07366666666668)</f>
        <v>93.07366667</v>
      </c>
      <c r="M704" s="17">
        <f>IFERROR(__xludf.DUMMYFUNCTION("AVERAGE(QUERY(SORT(GOOGLEFINANCE(B704,""price"",TODAY()-365,TODAY()),1,0),""select Col2 limit 120""))"),92.00091666666667)</f>
        <v>92.00091667</v>
      </c>
      <c r="N704" s="19">
        <f>IFERROR(__xludf.DUMMYFUNCTION("AVERAGE(QUERY(SORT(GOOGLEFINANCE(B704,""price"",TODAY()-365,TODAY()),1,0),""select Col2 limit 200""))"),100.95994999999999)</f>
        <v>100.95995</v>
      </c>
      <c r="O704" s="20" t="str">
        <f t="shared" si="2"/>
        <v>Avoid</v>
      </c>
      <c r="P704" s="21" t="str">
        <f t="shared" si="3"/>
        <v>10 DMA</v>
      </c>
      <c r="Q704" s="21" t="str">
        <f t="shared" si="4"/>
        <v/>
      </c>
      <c r="R704" s="22">
        <f>IFERROR(__xludf.DUMMYFUNCTION("GOOGLEFINANCE(B704, ""pe"")
"),26.13)</f>
        <v>26.13</v>
      </c>
    </row>
    <row r="705">
      <c r="A705" s="9" t="s">
        <v>717</v>
      </c>
      <c r="B705" s="11" t="str">
        <f t="shared" si="1"/>
        <v>NSE:SOUTHBANK</v>
      </c>
      <c r="C705" s="12">
        <f>IFERROR(__xludf.DUMMYFUNCTION("GOOGLEFINANCE(B705,""marketcap"")/10000000"),7778.3787002)</f>
        <v>7778.3787</v>
      </c>
      <c r="D705" s="13">
        <f>IFERROR(__xludf.DUMMYFUNCTION("GOOGLEFINANCE(B705,""price"")"),29.71)</f>
        <v>29.71</v>
      </c>
      <c r="E705" s="14">
        <f>IFERROR(__xludf.DUMMYFUNCTION("GOOGLEFINANCE(B705,""Volume"")"),4877159.0)</f>
        <v>4877159</v>
      </c>
      <c r="F705" s="14">
        <f t="array" ref="F705">F704</f>
        <v>14</v>
      </c>
      <c r="G705" s="15" t="str">
        <f>IFERROR(__xludf.DUMMYFUNCTION("IF(E705&gt;AVERAGE(INDEX(GOOGLEFINANCE(B705,""volume"",WORKDAY(TODAY(),-$F$1),TODAY()),,2)),""Breakout"","""")"),"")</f>
        <v/>
      </c>
      <c r="H705" s="16">
        <f>IFERROR(__xludf.DUMMYFUNCTION("GOOGLEFINANCE(B705,""price"")"),29.71)</f>
        <v>29.71</v>
      </c>
      <c r="I705" s="17">
        <f>IFERROR(__xludf.DUMMYFUNCTION("AVERAGE(QUERY(SORT(GOOGLEFINANCE(B705,""price"",TODAY()-365,TODAY()),1,0),""select Col2 limit 10""))"),29.963)</f>
        <v>29.963</v>
      </c>
      <c r="J705" s="17">
        <f>IFERROR(__xludf.DUMMYFUNCTION("AVERAGE(QUERY(SORT(GOOGLEFINANCE(B705,""price"",TODAY()-365,TODAY()),1,0),""select Col2 limit 30""))"),30.074333333333335)</f>
        <v>30.07433333</v>
      </c>
      <c r="K705" s="18">
        <f>IFERROR(__xludf.DUMMYFUNCTION("AVERAGE(QUERY(SORT(GOOGLEFINANCE(B705,""price"",TODAY()-365,TODAY()),1,0),""select Col2 limit 60""))"),29.102333333333338)</f>
        <v>29.10233333</v>
      </c>
      <c r="L705" s="17">
        <f>IFERROR(__xludf.DUMMYFUNCTION("AVERAGE(QUERY(SORT(GOOGLEFINANCE(B705,""price"",TODAY()-365,TODAY()),1,0),""select Col2 limit 90""))"),27.53433333333335)</f>
        <v>27.53433333</v>
      </c>
      <c r="M705" s="17">
        <f>IFERROR(__xludf.DUMMYFUNCTION("AVERAGE(QUERY(SORT(GOOGLEFINANCE(B705,""price"",TODAY()-365,TODAY()),1,0),""select Col2 limit 120""))"),26.83641666666667)</f>
        <v>26.83641667</v>
      </c>
      <c r="N705" s="19">
        <f>IFERROR(__xludf.DUMMYFUNCTION("AVERAGE(QUERY(SORT(GOOGLEFINANCE(B705,""price"",TODAY()-365,TODAY()),1,0),""select Col2 limit 200""))"),25.999499999999998)</f>
        <v>25.9995</v>
      </c>
      <c r="O705" s="20" t="str">
        <f t="shared" si="2"/>
        <v>Avoid</v>
      </c>
      <c r="P705" s="21" t="str">
        <f t="shared" si="3"/>
        <v>10 DMA</v>
      </c>
      <c r="Q705" s="21" t="str">
        <f t="shared" si="4"/>
        <v/>
      </c>
      <c r="R705" s="22">
        <f>IFERROR(__xludf.DUMMYFUNCTION("GOOGLEFINANCE(B705, ""pe"")
"),5.84)</f>
        <v>5.84</v>
      </c>
    </row>
    <row r="706">
      <c r="A706" s="9" t="s">
        <v>718</v>
      </c>
      <c r="B706" s="11" t="str">
        <f t="shared" si="1"/>
        <v>NSE:EASEMYTRIP</v>
      </c>
      <c r="C706" s="12">
        <f>IFERROR(__xludf.DUMMYFUNCTION("GOOGLEFINANCE(B706,""marketcap"")/10000000"),3724.201559)</f>
        <v>3724.201559</v>
      </c>
      <c r="D706" s="13">
        <f>IFERROR(__xludf.DUMMYFUNCTION("GOOGLEFINANCE(B706,""price"")"),10.26)</f>
        <v>10.26</v>
      </c>
      <c r="E706" s="14">
        <f>IFERROR(__xludf.DUMMYFUNCTION("GOOGLEFINANCE(B706,""Volume"")"),4163877.0)</f>
        <v>4163877</v>
      </c>
      <c r="F706" s="14">
        <f t="array" ref="F706">F705</f>
        <v>14</v>
      </c>
      <c r="G706" s="15" t="str">
        <f>IFERROR(__xludf.DUMMYFUNCTION("IF(E706&gt;AVERAGE(INDEX(GOOGLEFINANCE(B706,""volume"",WORKDAY(TODAY(),-$F$1),TODAY()),,2)),""Breakout"","""")"),"")</f>
        <v/>
      </c>
      <c r="H706" s="16">
        <f>IFERROR(__xludf.DUMMYFUNCTION("GOOGLEFINANCE(B706,""price"")"),10.26)</f>
        <v>10.26</v>
      </c>
      <c r="I706" s="17">
        <f>IFERROR(__xludf.DUMMYFUNCTION("AVERAGE(QUERY(SORT(GOOGLEFINANCE(B706,""price"",TODAY()-365,TODAY()),1,0),""select Col2 limit 10""))"),10.516)</f>
        <v>10.516</v>
      </c>
      <c r="J706" s="17">
        <f>IFERROR(__xludf.DUMMYFUNCTION("AVERAGE(QUERY(SORT(GOOGLEFINANCE(B706,""price"",TODAY()-365,TODAY()),1,0),""select Col2 limit 30""))"),10.505999999999998)</f>
        <v>10.506</v>
      </c>
      <c r="K706" s="18">
        <f>IFERROR(__xludf.DUMMYFUNCTION("AVERAGE(QUERY(SORT(GOOGLEFINANCE(B706,""price"",TODAY()-365,TODAY()),1,0),""select Col2 limit 60""))"),10.994333333333332)</f>
        <v>10.99433333</v>
      </c>
      <c r="L706" s="17">
        <f>IFERROR(__xludf.DUMMYFUNCTION("AVERAGE(QUERY(SORT(GOOGLEFINANCE(B706,""price"",TODAY()-365,TODAY()),1,0),""select Col2 limit 90""))"),11.453999999999999)</f>
        <v>11.454</v>
      </c>
      <c r="M706" s="17">
        <f>IFERROR(__xludf.DUMMYFUNCTION("AVERAGE(QUERY(SORT(GOOGLEFINANCE(B706,""price"",TODAY()-365,TODAY()),1,0),""select Col2 limit 120""))"),11.67708333333333)</f>
        <v>11.67708333</v>
      </c>
      <c r="N706" s="19">
        <f>IFERROR(__xludf.DUMMYFUNCTION("AVERAGE(QUERY(SORT(GOOGLEFINANCE(B706,""price"",TODAY()-365,TODAY()),1,0),""select Col2 limit 200""))"),13.334649999999995)</f>
        <v>13.33465</v>
      </c>
      <c r="O706" s="20" t="str">
        <f t="shared" si="2"/>
        <v>Avoid</v>
      </c>
      <c r="P706" s="21" t="str">
        <f t="shared" si="3"/>
        <v/>
      </c>
      <c r="Q706" s="21" t="str">
        <f t="shared" si="4"/>
        <v/>
      </c>
      <c r="R706" s="22">
        <f>IFERROR(__xludf.DUMMYFUNCTION("GOOGLEFINANCE(B706, ""pe"")
"),34.13)</f>
        <v>34.13</v>
      </c>
    </row>
    <row r="707">
      <c r="A707" s="9" t="s">
        <v>719</v>
      </c>
      <c r="B707" s="11" t="str">
        <f t="shared" si="1"/>
        <v>NSE:VSTIND</v>
      </c>
      <c r="C707" s="12">
        <f>IFERROR(__xludf.DUMMYFUNCTION("GOOGLEFINANCE(B707,""marketcap"")/10000000"),4752.306901)</f>
        <v>4752.306901</v>
      </c>
      <c r="D707" s="13">
        <f>IFERROR(__xludf.DUMMYFUNCTION("GOOGLEFINANCE(B707,""price"")"),280.0)</f>
        <v>280</v>
      </c>
      <c r="E707" s="14">
        <f>IFERROR(__xludf.DUMMYFUNCTION("GOOGLEFINANCE(B707,""Volume"")"),94546.0)</f>
        <v>94546</v>
      </c>
      <c r="F707" s="14">
        <f t="array" ref="F707">F706</f>
        <v>14</v>
      </c>
      <c r="G707" s="15" t="str">
        <f>IFERROR(__xludf.DUMMYFUNCTION("IF(E707&gt;AVERAGE(INDEX(GOOGLEFINANCE(B707,""volume"",WORKDAY(TODAY(),-$F$1),TODAY()),,2)),""Breakout"","""")"),"")</f>
        <v/>
      </c>
      <c r="H707" s="16">
        <f>IFERROR(__xludf.DUMMYFUNCTION("GOOGLEFINANCE(B707,""price"")"),280.0)</f>
        <v>280</v>
      </c>
      <c r="I707" s="17" t="str">
        <f>IFERROR(__xludf.DUMMYFUNCTION("AVERAGE(QUERY(SORT(GOOGLEFINANCE(B707,""price"",TODAY()-365,TODAY()),1,0),""select Col2 limit 10""))"),"#N/A")</f>
        <v>#N/A</v>
      </c>
      <c r="J707" s="17" t="str">
        <f>IFERROR(__xludf.DUMMYFUNCTION("AVERAGE(QUERY(SORT(GOOGLEFINANCE(B707,""price"",TODAY()-365,TODAY()),1,0),""select Col2 limit 30""))"),"#N/A")</f>
        <v>#N/A</v>
      </c>
      <c r="K707" s="18" t="str">
        <f>IFERROR(__xludf.DUMMYFUNCTION("AVERAGE(QUERY(SORT(GOOGLEFINANCE(B707,""price"",TODAY()-365,TODAY()),1,0),""select Col2 limit 60""))"),"#N/A")</f>
        <v>#N/A</v>
      </c>
      <c r="L707" s="17" t="str">
        <f>IFERROR(__xludf.DUMMYFUNCTION("AVERAGE(QUERY(SORT(GOOGLEFINANCE(B707,""price"",TODAY()-365,TODAY()),1,0),""select Col2 limit 90""))"),"#N/A")</f>
        <v>#N/A</v>
      </c>
      <c r="M707" s="17" t="str">
        <f>IFERROR(__xludf.DUMMYFUNCTION("AVERAGE(QUERY(SORT(GOOGLEFINANCE(B707,""price"",TODAY()-365,TODAY()),1,0),""select Col2 limit 120""))"),"#N/A")</f>
        <v>#N/A</v>
      </c>
      <c r="N707" s="19" t="str">
        <f>IFERROR(__xludf.DUMMYFUNCTION("AVERAGE(QUERY(SORT(GOOGLEFINANCE(B707,""price"",TODAY()-365,TODAY()),1,0),""select Col2 limit 200""))"),"#N/A")</f>
        <v>#N/A</v>
      </c>
      <c r="O707" s="20" t="str">
        <f t="shared" si="2"/>
        <v>#N/A</v>
      </c>
      <c r="P707" s="21" t="str">
        <f t="shared" si="3"/>
        <v>#N/A</v>
      </c>
      <c r="Q707" s="21" t="str">
        <f t="shared" si="4"/>
        <v>#N/A</v>
      </c>
      <c r="R707" s="22">
        <f>IFERROR(__xludf.DUMMYFUNCTION("GOOGLEFINANCE(B707, ""pe"")
"),16.25)</f>
        <v>16.25</v>
      </c>
    </row>
    <row r="708">
      <c r="A708" s="9" t="s">
        <v>720</v>
      </c>
      <c r="B708" s="11" t="str">
        <f t="shared" si="1"/>
        <v>NSE:PARADEEP</v>
      </c>
      <c r="C708" s="12">
        <f>IFERROR(__xludf.DUMMYFUNCTION("GOOGLEFINANCE(B708,""marketcap"")/10000000"),16197.34033)</f>
        <v>16197.34033</v>
      </c>
      <c r="D708" s="13">
        <f>IFERROR(__xludf.DUMMYFUNCTION("GOOGLEFINANCE(B708,""price"")"),198.98)</f>
        <v>198.98</v>
      </c>
      <c r="E708" s="14">
        <f>IFERROR(__xludf.DUMMYFUNCTION("GOOGLEFINANCE(B708,""Volume"")"),1.4594191E7)</f>
        <v>14594191</v>
      </c>
      <c r="F708" s="14">
        <f t="array" ref="F708">F707</f>
        <v>14</v>
      </c>
      <c r="G708" s="15" t="str">
        <f>IFERROR(__xludf.DUMMYFUNCTION("IF(E708&gt;AVERAGE(INDEX(GOOGLEFINANCE(B708,""volume"",WORKDAY(TODAY(),-$F$1),TODAY()),,2)),""Breakout"","""")"),"Breakout")</f>
        <v>Breakout</v>
      </c>
      <c r="H708" s="16">
        <f>IFERROR(__xludf.DUMMYFUNCTION("GOOGLEFINANCE(B708,""price"")"),198.98)</f>
        <v>198.98</v>
      </c>
      <c r="I708" s="17">
        <f>IFERROR(__xludf.DUMMYFUNCTION("AVERAGE(QUERY(SORT(GOOGLEFINANCE(B708,""price"",TODAY()-365,TODAY()),1,0),""select Col2 limit 10""))"),181.67800000000003)</f>
        <v>181.678</v>
      </c>
      <c r="J708" s="17">
        <f>IFERROR(__xludf.DUMMYFUNCTION("AVERAGE(QUERY(SORT(GOOGLEFINANCE(B708,""price"",TODAY()-365,TODAY()),1,0),""select Col2 limit 30""))"),169.14400000000003)</f>
        <v>169.144</v>
      </c>
      <c r="K708" s="18">
        <f>IFERROR(__xludf.DUMMYFUNCTION("AVERAGE(QUERY(SORT(GOOGLEFINANCE(B708,""price"",TODAY()-365,TODAY()),1,0),""select Col2 limit 60""))"),164.60050000000004)</f>
        <v>164.6005</v>
      </c>
      <c r="L708" s="17">
        <f>IFERROR(__xludf.DUMMYFUNCTION("AVERAGE(QUERY(SORT(GOOGLEFINANCE(B708,""price"",TODAY()-365,TODAY()),1,0),""select Col2 limit 90""))"),149.7498888888889)</f>
        <v>149.7498889</v>
      </c>
      <c r="M708" s="17">
        <f>IFERROR(__xludf.DUMMYFUNCTION("AVERAGE(QUERY(SORT(GOOGLEFINANCE(B708,""price"",TODAY()-365,TODAY()),1,0),""select Col2 limit 120""))"),136.97316666666666)</f>
        <v>136.9731667</v>
      </c>
      <c r="N708" s="19">
        <f>IFERROR(__xludf.DUMMYFUNCTION("AVERAGE(QUERY(SORT(GOOGLEFINANCE(B708,""price"",TODAY()-365,TODAY()),1,0),""select Col2 limit 200""))"),124.46569999999996)</f>
        <v>124.4657</v>
      </c>
      <c r="O708" s="20" t="str">
        <f t="shared" si="2"/>
        <v>Avoid</v>
      </c>
      <c r="P708" s="21" t="str">
        <f t="shared" si="3"/>
        <v/>
      </c>
      <c r="Q708" s="21" t="str">
        <f t="shared" si="4"/>
        <v/>
      </c>
      <c r="R708" s="22">
        <f>IFERROR(__xludf.DUMMYFUNCTION("GOOGLEFINANCE(B708, ""pe"")
"),29.46)</f>
        <v>29.46</v>
      </c>
    </row>
    <row r="709">
      <c r="A709" s="9" t="s">
        <v>721</v>
      </c>
      <c r="B709" s="11" t="str">
        <f t="shared" si="1"/>
        <v>NSE:BLUEJET</v>
      </c>
      <c r="C709" s="12">
        <f>IFERROR(__xludf.DUMMYFUNCTION("GOOGLEFINANCE(B709,""marketcap"")/10000000"),13426.22196)</f>
        <v>13426.22196</v>
      </c>
      <c r="D709" s="13">
        <f>IFERROR(__xludf.DUMMYFUNCTION("GOOGLEFINANCE(B709,""price"")"),774.25)</f>
        <v>774.25</v>
      </c>
      <c r="E709" s="14">
        <f>IFERROR(__xludf.DUMMYFUNCTION("GOOGLEFINANCE(B709,""Volume"")"),975299.0)</f>
        <v>975299</v>
      </c>
      <c r="F709" s="14">
        <f t="array" ref="F709">F708</f>
        <v>14</v>
      </c>
      <c r="G709" s="15" t="str">
        <f>IFERROR(__xludf.DUMMYFUNCTION("IF(E709&gt;AVERAGE(INDEX(GOOGLEFINANCE(B709,""volume"",WORKDAY(TODAY(),-$F$1),TODAY()),,2)),""Breakout"","""")"),"")</f>
        <v/>
      </c>
      <c r="H709" s="16">
        <f>IFERROR(__xludf.DUMMYFUNCTION("GOOGLEFINANCE(B709,""price"")"),774.25)</f>
        <v>774.25</v>
      </c>
      <c r="I709" s="17">
        <f>IFERROR(__xludf.DUMMYFUNCTION("AVERAGE(QUERY(SORT(GOOGLEFINANCE(B709,""price"",TODAY()-365,TODAY()),1,0),""select Col2 limit 10""))"),918.405)</f>
        <v>918.405</v>
      </c>
      <c r="J709" s="17">
        <f>IFERROR(__xludf.DUMMYFUNCTION("AVERAGE(QUERY(SORT(GOOGLEFINANCE(B709,""price"",TODAY()-365,TODAY()),1,0),""select Col2 limit 30""))"),893.8433333333334)</f>
        <v>893.8433333</v>
      </c>
      <c r="K709" s="18">
        <f>IFERROR(__xludf.DUMMYFUNCTION("AVERAGE(QUERY(SORT(GOOGLEFINANCE(B709,""price"",TODAY()-365,TODAY()),1,0),""select Col2 limit 60""))"),865.2775000000003)</f>
        <v>865.2775</v>
      </c>
      <c r="L709" s="17">
        <f>IFERROR(__xludf.DUMMYFUNCTION("AVERAGE(QUERY(SORT(GOOGLEFINANCE(B709,""price"",TODAY()-365,TODAY()),1,0),""select Col2 limit 90""))"),838.5922222222226)</f>
        <v>838.5922222</v>
      </c>
      <c r="M709" s="17">
        <f>IFERROR(__xludf.DUMMYFUNCTION("AVERAGE(QUERY(SORT(GOOGLEFINANCE(B709,""price"",TODAY()-365,TODAY()),1,0),""select Col2 limit 120""))"),825.8887500000001)</f>
        <v>825.88875</v>
      </c>
      <c r="N709" s="19">
        <f>IFERROR(__xludf.DUMMYFUNCTION("AVERAGE(QUERY(SORT(GOOGLEFINANCE(B709,""price"",TODAY()-365,TODAY()),1,0),""select Col2 limit 200""))"),710.0954999999998)</f>
        <v>710.0955</v>
      </c>
      <c r="O709" s="20" t="str">
        <f t="shared" si="2"/>
        <v>Sell Below 200 DMA</v>
      </c>
      <c r="P709" s="21" t="str">
        <f t="shared" si="3"/>
        <v/>
      </c>
      <c r="Q709" s="21" t="str">
        <f t="shared" si="4"/>
        <v/>
      </c>
      <c r="R709" s="22">
        <f>IFERROR(__xludf.DUMMYFUNCTION("GOOGLEFINANCE(B709, ""pe"")
"),37.46)</f>
        <v>37.46</v>
      </c>
    </row>
    <row r="710">
      <c r="A710" s="9" t="s">
        <v>722</v>
      </c>
      <c r="B710" s="11" t="str">
        <f t="shared" si="1"/>
        <v>NSE:TV18BRDCST</v>
      </c>
      <c r="C710" s="12" t="str">
        <f>IFERROR(__xludf.DUMMYFUNCTION("GOOGLEFINANCE(B710,""marketcap"")/10000000"),"#N/A")</f>
        <v>#N/A</v>
      </c>
      <c r="D710" s="13" t="str">
        <f>IFERROR(__xludf.DUMMYFUNCTION("GOOGLEFINANCE(B710,""price"")"),"#N/A")</f>
        <v>#N/A</v>
      </c>
      <c r="E710" s="14" t="str">
        <f>IFERROR(__xludf.DUMMYFUNCTION("GOOGLEFINANCE(B710,""Volume"")"),"#N/A")</f>
        <v>#N/A</v>
      </c>
      <c r="F710" s="14">
        <f t="array" ref="F710">F709</f>
        <v>14</v>
      </c>
      <c r="G710" s="15" t="str">
        <f>IFERROR(__xludf.DUMMYFUNCTION("IF(E710&gt;AVERAGE(INDEX(GOOGLEFINANCE(B710,""volume"",WORKDAY(TODAY(),-$F$1),TODAY()),,2)),""Breakout"","""")"),"#N/A")</f>
        <v>#N/A</v>
      </c>
      <c r="H710" s="16" t="str">
        <f>IFERROR(__xludf.DUMMYFUNCTION("GOOGLEFINANCE(B710,""price"")"),"#N/A")</f>
        <v>#N/A</v>
      </c>
      <c r="I710" s="17" t="str">
        <f>IFERROR(__xludf.DUMMYFUNCTION("AVERAGE(QUERY(SORT(GOOGLEFINANCE(B710,""price"",TODAY()-365,TODAY()),1,0),""select Col2 limit 10""))"),"#N/A")</f>
        <v>#N/A</v>
      </c>
      <c r="J710" s="17" t="str">
        <f>IFERROR(__xludf.DUMMYFUNCTION("AVERAGE(QUERY(SORT(GOOGLEFINANCE(B710,""price"",TODAY()-365,TODAY()),1,0),""select Col2 limit 30""))"),"#N/A")</f>
        <v>#N/A</v>
      </c>
      <c r="K710" s="18" t="str">
        <f>IFERROR(__xludf.DUMMYFUNCTION("AVERAGE(QUERY(SORT(GOOGLEFINANCE(B710,""price"",TODAY()-365,TODAY()),1,0),""select Col2 limit 60""))"),"#N/A")</f>
        <v>#N/A</v>
      </c>
      <c r="L710" s="17" t="str">
        <f>IFERROR(__xludf.DUMMYFUNCTION("AVERAGE(QUERY(SORT(GOOGLEFINANCE(B710,""price"",TODAY()-365,TODAY()),1,0),""select Col2 limit 90""))"),"#N/A")</f>
        <v>#N/A</v>
      </c>
      <c r="M710" s="17" t="str">
        <f>IFERROR(__xludf.DUMMYFUNCTION("AVERAGE(QUERY(SORT(GOOGLEFINANCE(B710,""price"",TODAY()-365,TODAY()),1,0),""select Col2 limit 120""))"),"#N/A")</f>
        <v>#N/A</v>
      </c>
      <c r="N710" s="19" t="str">
        <f>IFERROR(__xludf.DUMMYFUNCTION("AVERAGE(QUERY(SORT(GOOGLEFINANCE(B710,""price"",TODAY()-365,TODAY()),1,0),""select Col2 limit 200""))"),"#N/A")</f>
        <v>#N/A</v>
      </c>
      <c r="O710" s="20" t="str">
        <f t="shared" si="2"/>
        <v>#N/A</v>
      </c>
      <c r="P710" s="21" t="str">
        <f t="shared" si="3"/>
        <v>#N/A</v>
      </c>
      <c r="Q710" s="21" t="str">
        <f t="shared" si="4"/>
        <v>#N/A</v>
      </c>
      <c r="R710" s="22" t="str">
        <f>IFERROR(__xludf.DUMMYFUNCTION("GOOGLEFINANCE(B710, ""pe"")
"),"#N/A")</f>
        <v>#N/A</v>
      </c>
    </row>
    <row r="711">
      <c r="A711" s="9" t="s">
        <v>723</v>
      </c>
      <c r="B711" s="11" t="str">
        <f t="shared" si="1"/>
        <v>NSE:JSFB</v>
      </c>
      <c r="C711" s="12">
        <f>IFERROR(__xludf.DUMMYFUNCTION("GOOGLEFINANCE(B711,""marketcap"")/10000000"),4737.2324225)</f>
        <v>4737.232423</v>
      </c>
      <c r="D711" s="13">
        <f>IFERROR(__xludf.DUMMYFUNCTION("GOOGLEFINANCE(B711,""price"")"),450.75)</f>
        <v>450.75</v>
      </c>
      <c r="E711" s="14">
        <f>IFERROR(__xludf.DUMMYFUNCTION("GOOGLEFINANCE(B711,""Volume"")"),336349.0)</f>
        <v>336349</v>
      </c>
      <c r="F711" s="14">
        <f t="array" ref="F711">F710</f>
        <v>14</v>
      </c>
      <c r="G711" s="15" t="str">
        <f>IFERROR(__xludf.DUMMYFUNCTION("IF(E711&gt;AVERAGE(INDEX(GOOGLEFINANCE(B711,""volume"",WORKDAY(TODAY(),-$F$1),TODAY()),,2)),""Breakout"","""")"),"Breakout")</f>
        <v>Breakout</v>
      </c>
      <c r="H711" s="16">
        <f>IFERROR(__xludf.DUMMYFUNCTION("GOOGLEFINANCE(B711,""price"")"),450.75)</f>
        <v>450.75</v>
      </c>
      <c r="I711" s="17" t="str">
        <f>IFERROR(__xludf.DUMMYFUNCTION("AVERAGE(QUERY(SORT(GOOGLEFINANCE(B711,""price"",TODAY()-365,TODAY()),1,0),""select Col2 limit 10""))"),"#N/A")</f>
        <v>#N/A</v>
      </c>
      <c r="J711" s="17" t="str">
        <f>IFERROR(__xludf.DUMMYFUNCTION("AVERAGE(QUERY(SORT(GOOGLEFINANCE(B711,""price"",TODAY()-365,TODAY()),1,0),""select Col2 limit 30""))"),"#N/A")</f>
        <v>#N/A</v>
      </c>
      <c r="K711" s="18" t="str">
        <f>IFERROR(__xludf.DUMMYFUNCTION("AVERAGE(QUERY(SORT(GOOGLEFINANCE(B711,""price"",TODAY()-365,TODAY()),1,0),""select Col2 limit 60""))"),"#N/A")</f>
        <v>#N/A</v>
      </c>
      <c r="L711" s="17" t="str">
        <f>IFERROR(__xludf.DUMMYFUNCTION("AVERAGE(QUERY(SORT(GOOGLEFINANCE(B711,""price"",TODAY()-365,TODAY()),1,0),""select Col2 limit 90""))"),"#N/A")</f>
        <v>#N/A</v>
      </c>
      <c r="M711" s="17" t="str">
        <f>IFERROR(__xludf.DUMMYFUNCTION("AVERAGE(QUERY(SORT(GOOGLEFINANCE(B711,""price"",TODAY()-365,TODAY()),1,0),""select Col2 limit 120""))"),"#N/A")</f>
        <v>#N/A</v>
      </c>
      <c r="N711" s="19" t="str">
        <f>IFERROR(__xludf.DUMMYFUNCTION("AVERAGE(QUERY(SORT(GOOGLEFINANCE(B711,""price"",TODAY()-365,TODAY()),1,0),""select Col2 limit 200""))"),"#N/A")</f>
        <v>#N/A</v>
      </c>
      <c r="O711" s="20" t="str">
        <f t="shared" si="2"/>
        <v>#N/A</v>
      </c>
      <c r="P711" s="21" t="str">
        <f t="shared" si="3"/>
        <v>#N/A</v>
      </c>
      <c r="Q711" s="21" t="str">
        <f t="shared" si="4"/>
        <v>#N/A</v>
      </c>
      <c r="R711" s="22">
        <f>IFERROR(__xludf.DUMMYFUNCTION("GOOGLEFINANCE(B711, ""pe"")
"),10.98)</f>
        <v>10.98</v>
      </c>
    </row>
    <row r="712">
      <c r="A712" s="9" t="s">
        <v>724</v>
      </c>
      <c r="B712" s="11" t="str">
        <f t="shared" si="1"/>
        <v>NSE:EPL</v>
      </c>
      <c r="C712" s="12">
        <f>IFERROR(__xludf.DUMMYFUNCTION("GOOGLEFINANCE(B712,""marketcap"")/10000000"),7009.2127165)</f>
        <v>7009.212717</v>
      </c>
      <c r="D712" s="13">
        <f>IFERROR(__xludf.DUMMYFUNCTION("GOOGLEFINANCE(B712,""price"")"),219.08)</f>
        <v>219.08</v>
      </c>
      <c r="E712" s="14">
        <f>IFERROR(__xludf.DUMMYFUNCTION("GOOGLEFINANCE(B712,""Volume"")"),235418.0)</f>
        <v>235418</v>
      </c>
      <c r="F712" s="14">
        <f t="array" ref="F712">F711</f>
        <v>14</v>
      </c>
      <c r="G712" s="15" t="str">
        <f>IFERROR(__xludf.DUMMYFUNCTION("IF(E712&gt;AVERAGE(INDEX(GOOGLEFINANCE(B712,""volume"",WORKDAY(TODAY(),-$F$1),TODAY()),,2)),""Breakout"","""")"),"")</f>
        <v/>
      </c>
      <c r="H712" s="16">
        <f>IFERROR(__xludf.DUMMYFUNCTION("GOOGLEFINANCE(B712,""price"")"),219.08)</f>
        <v>219.08</v>
      </c>
      <c r="I712" s="17">
        <f>IFERROR(__xludf.DUMMYFUNCTION("AVERAGE(QUERY(SORT(GOOGLEFINANCE(B712,""price"",TODAY()-365,TODAY()),1,0),""select Col2 limit 10""))"),233.79700000000003)</f>
        <v>233.797</v>
      </c>
      <c r="J712" s="17">
        <f>IFERROR(__xludf.DUMMYFUNCTION("AVERAGE(QUERY(SORT(GOOGLEFINANCE(B712,""price"",TODAY()-365,TODAY()),1,0),""select Col2 limit 30""))"),235.79766666666674)</f>
        <v>235.7976667</v>
      </c>
      <c r="K712" s="18">
        <f>IFERROR(__xludf.DUMMYFUNCTION("AVERAGE(QUERY(SORT(GOOGLEFINANCE(B712,""price"",TODAY()-365,TODAY()),1,0),""select Col2 limit 60""))"),233.80300000000003)</f>
        <v>233.803</v>
      </c>
      <c r="L712" s="17">
        <f>IFERROR(__xludf.DUMMYFUNCTION("AVERAGE(QUERY(SORT(GOOGLEFINANCE(B712,""price"",TODAY()-365,TODAY()),1,0),""select Col2 limit 90""))"),221.27088888888895)</f>
        <v>221.2708889</v>
      </c>
      <c r="M712" s="17">
        <f>IFERROR(__xludf.DUMMYFUNCTION("AVERAGE(QUERY(SORT(GOOGLEFINANCE(B712,""price"",TODAY()-365,TODAY()),1,0),""select Col2 limit 120""))"),221.55533333333332)</f>
        <v>221.5553333</v>
      </c>
      <c r="N712" s="19">
        <f>IFERROR(__xludf.DUMMYFUNCTION("AVERAGE(QUERY(SORT(GOOGLEFINANCE(B712,""price"",TODAY()-365,TODAY()),1,0),""select Col2 limit 200""))"),236.57745)</f>
        <v>236.57745</v>
      </c>
      <c r="O712" s="20" t="str">
        <f t="shared" si="2"/>
        <v>Avoid</v>
      </c>
      <c r="P712" s="21" t="str">
        <f t="shared" si="3"/>
        <v/>
      </c>
      <c r="Q712" s="21" t="str">
        <f t="shared" si="4"/>
        <v/>
      </c>
      <c r="R712" s="22">
        <f>IFERROR(__xludf.DUMMYFUNCTION("GOOGLEFINANCE(B712, ""pe"")
"),19.52)</f>
        <v>19.52</v>
      </c>
    </row>
    <row r="713">
      <c r="A713" s="9" t="s">
        <v>725</v>
      </c>
      <c r="B713" s="11" t="str">
        <f t="shared" si="1"/>
        <v>NSE:LXCHEM</v>
      </c>
      <c r="C713" s="12">
        <f>IFERROR(__xludf.DUMMYFUNCTION("GOOGLEFINANCE(B713,""marketcap"")/10000000"),5841.1289565)</f>
        <v>5841.128957</v>
      </c>
      <c r="D713" s="13">
        <f>IFERROR(__xludf.DUMMYFUNCTION("GOOGLEFINANCE(B713,""price"")"),211.5)</f>
        <v>211.5</v>
      </c>
      <c r="E713" s="14">
        <f>IFERROR(__xludf.DUMMYFUNCTION("GOOGLEFINANCE(B713,""Volume"")"),963427.0)</f>
        <v>963427</v>
      </c>
      <c r="F713" s="14">
        <f t="array" ref="F713">F712</f>
        <v>14</v>
      </c>
      <c r="G713" s="15" t="str">
        <f>IFERROR(__xludf.DUMMYFUNCTION("IF(E713&gt;AVERAGE(INDEX(GOOGLEFINANCE(B713,""volume"",WORKDAY(TODAY(),-$F$1),TODAY()),,2)),""Breakout"","""")"),"Breakout")</f>
        <v>Breakout</v>
      </c>
      <c r="H713" s="16">
        <f>IFERROR(__xludf.DUMMYFUNCTION("GOOGLEFINANCE(B713,""price"")"),211.5)</f>
        <v>211.5</v>
      </c>
      <c r="I713" s="17">
        <f>IFERROR(__xludf.DUMMYFUNCTION("AVERAGE(QUERY(SORT(GOOGLEFINANCE(B713,""price"",TODAY()-365,TODAY()),1,0),""select Col2 limit 10""))"),199.176)</f>
        <v>199.176</v>
      </c>
      <c r="J713" s="17">
        <f>IFERROR(__xludf.DUMMYFUNCTION("AVERAGE(QUERY(SORT(GOOGLEFINANCE(B713,""price"",TODAY()-365,TODAY()),1,0),""select Col2 limit 30""))"),196.93866666666665)</f>
        <v>196.9386667</v>
      </c>
      <c r="K713" s="18">
        <f>IFERROR(__xludf.DUMMYFUNCTION("AVERAGE(QUERY(SORT(GOOGLEFINANCE(B713,""price"",TODAY()-365,TODAY()),1,0),""select Col2 limit 60""))"),195.85566666666668)</f>
        <v>195.8556667</v>
      </c>
      <c r="L713" s="17">
        <f>IFERROR(__xludf.DUMMYFUNCTION("AVERAGE(QUERY(SORT(GOOGLEFINANCE(B713,""price"",TODAY()-365,TODAY()),1,0),""select Col2 limit 90""))"),189.66699999999994)</f>
        <v>189.667</v>
      </c>
      <c r="M713" s="17">
        <f>IFERROR(__xludf.DUMMYFUNCTION("AVERAGE(QUERY(SORT(GOOGLEFINANCE(B713,""price"",TODAY()-365,TODAY()),1,0),""select Col2 limit 120""))"),191.35949999999997)</f>
        <v>191.3595</v>
      </c>
      <c r="N713" s="19">
        <f>IFERROR(__xludf.DUMMYFUNCTION("AVERAGE(QUERY(SORT(GOOGLEFINANCE(B713,""price"",TODAY()-365,TODAY()),1,0),""select Col2 limit 200""))"),216.25859999999994)</f>
        <v>216.2586</v>
      </c>
      <c r="O713" s="20" t="str">
        <f t="shared" si="2"/>
        <v>Buy Above 200 DMA</v>
      </c>
      <c r="P713" s="21" t="str">
        <f t="shared" si="3"/>
        <v/>
      </c>
      <c r="Q713" s="21" t="str">
        <f t="shared" si="4"/>
        <v/>
      </c>
      <c r="R713" s="22">
        <f>IFERROR(__xludf.DUMMYFUNCTION("GOOGLEFINANCE(B713, ""pe"")
"),51.4)</f>
        <v>51.4</v>
      </c>
    </row>
    <row r="714">
      <c r="A714" s="9" t="s">
        <v>726</v>
      </c>
      <c r="B714" s="11" t="str">
        <f t="shared" si="1"/>
        <v>NSE:TIPSINDLTD</v>
      </c>
      <c r="C714" s="12" t="str">
        <f>IFERROR(__xludf.DUMMYFUNCTION("GOOGLEFINANCE(B714,""marketcap"")/10000000"),"#N/A")</f>
        <v>#N/A</v>
      </c>
      <c r="D714" s="13" t="str">
        <f>IFERROR(__xludf.DUMMYFUNCTION("GOOGLEFINANCE(B714,""price"")"),"#N/A")</f>
        <v>#N/A</v>
      </c>
      <c r="E714" s="14" t="str">
        <f>IFERROR(__xludf.DUMMYFUNCTION("GOOGLEFINANCE(B714,""Volume"")"),"#N/A")</f>
        <v>#N/A</v>
      </c>
      <c r="F714" s="14">
        <f t="array" ref="F714">F713</f>
        <v>14</v>
      </c>
      <c r="G714" s="15" t="str">
        <f>IFERROR(__xludf.DUMMYFUNCTION("IF(E714&gt;AVERAGE(INDEX(GOOGLEFINANCE(B714,""volume"",WORKDAY(TODAY(),-$F$1),TODAY()),,2)),""Breakout"","""")"),"#N/A")</f>
        <v>#N/A</v>
      </c>
      <c r="H714" s="16" t="str">
        <f>IFERROR(__xludf.DUMMYFUNCTION("GOOGLEFINANCE(B714,""price"")"),"#N/A")</f>
        <v>#N/A</v>
      </c>
      <c r="I714" s="17" t="str">
        <f>IFERROR(__xludf.DUMMYFUNCTION("AVERAGE(QUERY(SORT(GOOGLEFINANCE(B714,""price"",TODAY()-365,TODAY()),1,0),""select Col2 limit 10""))"),"#N/A")</f>
        <v>#N/A</v>
      </c>
      <c r="J714" s="17" t="str">
        <f>IFERROR(__xludf.DUMMYFUNCTION("AVERAGE(QUERY(SORT(GOOGLEFINANCE(B714,""price"",TODAY()-365,TODAY()),1,0),""select Col2 limit 30""))"),"#N/A")</f>
        <v>#N/A</v>
      </c>
      <c r="K714" s="18" t="str">
        <f>IFERROR(__xludf.DUMMYFUNCTION("AVERAGE(QUERY(SORT(GOOGLEFINANCE(B714,""price"",TODAY()-365,TODAY()),1,0),""select Col2 limit 60""))"),"#N/A")</f>
        <v>#N/A</v>
      </c>
      <c r="L714" s="17" t="str">
        <f>IFERROR(__xludf.DUMMYFUNCTION("AVERAGE(QUERY(SORT(GOOGLEFINANCE(B714,""price"",TODAY()-365,TODAY()),1,0),""select Col2 limit 90""))"),"#N/A")</f>
        <v>#N/A</v>
      </c>
      <c r="M714" s="17" t="str">
        <f>IFERROR(__xludf.DUMMYFUNCTION("AVERAGE(QUERY(SORT(GOOGLEFINANCE(B714,""price"",TODAY()-365,TODAY()),1,0),""select Col2 limit 120""))"),"#N/A")</f>
        <v>#N/A</v>
      </c>
      <c r="N714" s="19" t="str">
        <f>IFERROR(__xludf.DUMMYFUNCTION("AVERAGE(QUERY(SORT(GOOGLEFINANCE(B714,""price"",TODAY()-365,TODAY()),1,0),""select Col2 limit 200""))"),"#N/A")</f>
        <v>#N/A</v>
      </c>
      <c r="O714" s="20" t="str">
        <f t="shared" si="2"/>
        <v>#N/A</v>
      </c>
      <c r="P714" s="21" t="str">
        <f t="shared" si="3"/>
        <v>#N/A</v>
      </c>
      <c r="Q714" s="21" t="str">
        <f t="shared" si="4"/>
        <v>#N/A</v>
      </c>
      <c r="R714" s="22" t="str">
        <f>IFERROR(__xludf.DUMMYFUNCTION("GOOGLEFINANCE(B714, ""pe"")
"),"#N/A")</f>
        <v>#N/A</v>
      </c>
    </row>
    <row r="715">
      <c r="A715" s="9" t="s">
        <v>727</v>
      </c>
      <c r="B715" s="11" t="str">
        <f t="shared" si="1"/>
        <v>NSE:ETHOSLTD</v>
      </c>
      <c r="C715" s="12">
        <f>IFERROR(__xludf.DUMMYFUNCTION("GOOGLEFINANCE(B715,""marketcap"")/10000000"),7735.648179)</f>
        <v>7735.648179</v>
      </c>
      <c r="D715" s="13">
        <f>IFERROR(__xludf.DUMMYFUNCTION("GOOGLEFINANCE(B715,""price"")"),2867.4)</f>
        <v>2867.4</v>
      </c>
      <c r="E715" s="14">
        <f>IFERROR(__xludf.DUMMYFUNCTION("GOOGLEFINANCE(B715,""Volume"")"),7697.0)</f>
        <v>7697</v>
      </c>
      <c r="F715" s="14">
        <f t="array" ref="F715">F714</f>
        <v>14</v>
      </c>
      <c r="G715" s="15" t="str">
        <f>IFERROR(__xludf.DUMMYFUNCTION("IF(E715&gt;AVERAGE(INDEX(GOOGLEFINANCE(B715,""volume"",WORKDAY(TODAY(),-$F$1),TODAY()),,2)),""Breakout"","""")"),"")</f>
        <v/>
      </c>
      <c r="H715" s="16">
        <f>IFERROR(__xludf.DUMMYFUNCTION("GOOGLEFINANCE(B715,""price"")"),2867.4)</f>
        <v>2867.4</v>
      </c>
      <c r="I715" s="17">
        <f>IFERROR(__xludf.DUMMYFUNCTION("AVERAGE(QUERY(SORT(GOOGLEFINANCE(B715,""price"",TODAY()-365,TODAY()),1,0),""select Col2 limit 10""))"),2831.8100000000004)</f>
        <v>2831.81</v>
      </c>
      <c r="J715" s="17">
        <f>IFERROR(__xludf.DUMMYFUNCTION("AVERAGE(QUERY(SORT(GOOGLEFINANCE(B715,""price"",TODAY()-365,TODAY()),1,0),""select Col2 limit 30""))"),2753.1433333333334)</f>
        <v>2753.143333</v>
      </c>
      <c r="K715" s="18">
        <f>IFERROR(__xludf.DUMMYFUNCTION("AVERAGE(QUERY(SORT(GOOGLEFINANCE(B715,""price"",TODAY()-365,TODAY()),1,0),""select Col2 limit 60""))"),2706.774166666667)</f>
        <v>2706.774167</v>
      </c>
      <c r="L715" s="17">
        <f>IFERROR(__xludf.DUMMYFUNCTION("AVERAGE(QUERY(SORT(GOOGLEFINANCE(B715,""price"",TODAY()-365,TODAY()),1,0),""select Col2 limit 90""))"),2627.644111111111)</f>
        <v>2627.644111</v>
      </c>
      <c r="M715" s="17">
        <f>IFERROR(__xludf.DUMMYFUNCTION("AVERAGE(QUERY(SORT(GOOGLEFINANCE(B715,""price"",TODAY()-365,TODAY()),1,0),""select Col2 limit 120""))"),2570.636833333332)</f>
        <v>2570.636833</v>
      </c>
      <c r="N715" s="19">
        <f>IFERROR(__xludf.DUMMYFUNCTION("AVERAGE(QUERY(SORT(GOOGLEFINANCE(B715,""price"",TODAY()-365,TODAY()),1,0),""select Col2 limit 200""))"),2679.99725)</f>
        <v>2679.99725</v>
      </c>
      <c r="O715" s="20" t="str">
        <f t="shared" si="2"/>
        <v>Avoid</v>
      </c>
      <c r="P715" s="21" t="str">
        <f t="shared" si="3"/>
        <v/>
      </c>
      <c r="Q715" s="21" t="str">
        <f t="shared" si="4"/>
        <v/>
      </c>
      <c r="R715" s="22">
        <f>IFERROR(__xludf.DUMMYFUNCTION("GOOGLEFINANCE(B715, ""pe"")
"),76.14)</f>
        <v>76.14</v>
      </c>
    </row>
    <row r="716">
      <c r="A716" s="9" t="s">
        <v>728</v>
      </c>
      <c r="B716" s="11" t="str">
        <f t="shared" si="1"/>
        <v>NSE:INDIGOPNTS</v>
      </c>
      <c r="C716" s="12">
        <f>IFERROR(__xludf.DUMMYFUNCTION("GOOGLEFINANCE(B716,""marketcap"")/10000000"),5463.2238592)</f>
        <v>5463.223859</v>
      </c>
      <c r="D716" s="13">
        <f>IFERROR(__xludf.DUMMYFUNCTION("GOOGLEFINANCE(B716,""price"")"),1146.9)</f>
        <v>1146.9</v>
      </c>
      <c r="E716" s="14">
        <f>IFERROR(__xludf.DUMMYFUNCTION("GOOGLEFINANCE(B716,""Volume"")"),19311.0)</f>
        <v>19311</v>
      </c>
      <c r="F716" s="14">
        <f t="array" ref="F716">F715</f>
        <v>14</v>
      </c>
      <c r="G716" s="15" t="str">
        <f>IFERROR(__xludf.DUMMYFUNCTION("IF(E716&gt;AVERAGE(INDEX(GOOGLEFINANCE(B716,""volume"",WORKDAY(TODAY(),-$F$1),TODAY()),,2)),""Breakout"","""")"),"")</f>
        <v/>
      </c>
      <c r="H716" s="16">
        <f>IFERROR(__xludf.DUMMYFUNCTION("GOOGLEFINANCE(B716,""price"")"),1146.9)</f>
        <v>1146.9</v>
      </c>
      <c r="I716" s="17">
        <f>IFERROR(__xludf.DUMMYFUNCTION("AVERAGE(QUERY(SORT(GOOGLEFINANCE(B716,""price"",TODAY()-365,TODAY()),1,0),""select Col2 limit 10""))"),1192.59)</f>
        <v>1192.59</v>
      </c>
      <c r="J716" s="17">
        <f>IFERROR(__xludf.DUMMYFUNCTION("AVERAGE(QUERY(SORT(GOOGLEFINANCE(B716,""price"",TODAY()-365,TODAY()),1,0),""select Col2 limit 30""))"),1172.23)</f>
        <v>1172.23</v>
      </c>
      <c r="K716" s="18">
        <f>IFERROR(__xludf.DUMMYFUNCTION("AVERAGE(QUERY(SORT(GOOGLEFINANCE(B716,""price"",TODAY()-365,TODAY()),1,0),""select Col2 limit 60""))"),1105.6716666666666)</f>
        <v>1105.671667</v>
      </c>
      <c r="L716" s="17">
        <f>IFERROR(__xludf.DUMMYFUNCTION("AVERAGE(QUERY(SORT(GOOGLEFINANCE(B716,""price"",TODAY()-365,TODAY()),1,0),""select Col2 limit 90""))"),1067.6305555555555)</f>
        <v>1067.630556</v>
      </c>
      <c r="M716" s="17">
        <f>IFERROR(__xludf.DUMMYFUNCTION("AVERAGE(QUERY(SORT(GOOGLEFINANCE(B716,""price"",TODAY()-365,TODAY()),1,0),""select Col2 limit 120""))"),1078.5237499999998)</f>
        <v>1078.52375</v>
      </c>
      <c r="N716" s="19">
        <f>IFERROR(__xludf.DUMMYFUNCTION("AVERAGE(QUERY(SORT(GOOGLEFINANCE(B716,""price"",TODAY()-365,TODAY()),1,0),""select Col2 limit 200""))"),1223.7947499999998)</f>
        <v>1223.79475</v>
      </c>
      <c r="O716" s="20" t="str">
        <f t="shared" si="2"/>
        <v>Avoid</v>
      </c>
      <c r="P716" s="21" t="str">
        <f t="shared" si="3"/>
        <v/>
      </c>
      <c r="Q716" s="21" t="str">
        <f t="shared" si="4"/>
        <v/>
      </c>
      <c r="R716" s="22">
        <f>IFERROR(__xludf.DUMMYFUNCTION("GOOGLEFINANCE(B716, ""pe"")
"),38.64)</f>
        <v>38.64</v>
      </c>
    </row>
    <row r="717">
      <c r="A717" s="9" t="s">
        <v>729</v>
      </c>
      <c r="B717" s="11" t="str">
        <f t="shared" si="1"/>
        <v>NSE:NAZARA</v>
      </c>
      <c r="C717" s="12">
        <f>IFERROR(__xludf.DUMMYFUNCTION("GOOGLEFINANCE(B717,""marketcap"")/10000000"),12657.8624352)</f>
        <v>12657.86244</v>
      </c>
      <c r="D717" s="13">
        <f>IFERROR(__xludf.DUMMYFUNCTION("GOOGLEFINANCE(B717,""price"")"),1366.3)</f>
        <v>1366.3</v>
      </c>
      <c r="E717" s="14">
        <f>IFERROR(__xludf.DUMMYFUNCTION("GOOGLEFINANCE(B717,""Volume"")"),154740.0)</f>
        <v>154740</v>
      </c>
      <c r="F717" s="14">
        <f t="array" ref="F717">F716</f>
        <v>14</v>
      </c>
      <c r="G717" s="15" t="str">
        <f>IFERROR(__xludf.DUMMYFUNCTION("IF(E717&gt;AVERAGE(INDEX(GOOGLEFINANCE(B717,""volume"",WORKDAY(TODAY(),-$F$1),TODAY()),,2)),""Breakout"","""")"),"")</f>
        <v/>
      </c>
      <c r="H717" s="16">
        <f>IFERROR(__xludf.DUMMYFUNCTION("GOOGLEFINANCE(B717,""price"")"),1366.3)</f>
        <v>1366.3</v>
      </c>
      <c r="I717" s="17">
        <f>IFERROR(__xludf.DUMMYFUNCTION("AVERAGE(QUERY(SORT(GOOGLEFINANCE(B717,""price"",TODAY()-365,TODAY()),1,0),""select Col2 limit 10""))"),1399.31)</f>
        <v>1399.31</v>
      </c>
      <c r="J717" s="17">
        <f>IFERROR(__xludf.DUMMYFUNCTION("AVERAGE(QUERY(SORT(GOOGLEFINANCE(B717,""price"",TODAY()-365,TODAY()),1,0),""select Col2 limit 30""))"),1351.3866666666668)</f>
        <v>1351.386667</v>
      </c>
      <c r="K717" s="18">
        <f>IFERROR(__xludf.DUMMYFUNCTION("AVERAGE(QUERY(SORT(GOOGLEFINANCE(B717,""price"",TODAY()-365,TODAY()),1,0),""select Col2 limit 60""))"),1290.3966666666672)</f>
        <v>1290.396667</v>
      </c>
      <c r="L717" s="17">
        <f>IFERROR(__xludf.DUMMYFUNCTION("AVERAGE(QUERY(SORT(GOOGLEFINANCE(B717,""price"",TODAY()-365,TODAY()),1,0),""select Col2 limit 90""))"),1183.888333333334)</f>
        <v>1183.888333</v>
      </c>
      <c r="M717" s="17">
        <f>IFERROR(__xludf.DUMMYFUNCTION("AVERAGE(QUERY(SORT(GOOGLEFINANCE(B717,""price"",TODAY()-365,TODAY()),1,0),""select Col2 limit 120""))"),1121.1633333333336)</f>
        <v>1121.163333</v>
      </c>
      <c r="N717" s="19">
        <f>IFERROR(__xludf.DUMMYFUNCTION("AVERAGE(QUERY(SORT(GOOGLEFINANCE(B717,""price"",TODAY()-365,TODAY()),1,0),""select Col2 limit 200""))"),1058.9077499999996)</f>
        <v>1058.90775</v>
      </c>
      <c r="O717" s="20" t="str">
        <f t="shared" si="2"/>
        <v>Avoid</v>
      </c>
      <c r="P717" s="21" t="str">
        <f t="shared" si="3"/>
        <v/>
      </c>
      <c r="Q717" s="21" t="str">
        <f t="shared" si="4"/>
        <v/>
      </c>
      <c r="R717" s="22">
        <f>IFERROR(__xludf.DUMMYFUNCTION("GOOGLEFINANCE(B717, ""pe"")
"),137.77)</f>
        <v>137.77</v>
      </c>
    </row>
    <row r="718">
      <c r="A718" s="9" t="s">
        <v>730</v>
      </c>
      <c r="B718" s="11" t="str">
        <f t="shared" si="1"/>
        <v>NSE:JAICORPLTD</v>
      </c>
      <c r="C718" s="12">
        <f>IFERROR(__xludf.DUMMYFUNCTION("GOOGLEFINANCE(B718,""marketcap"")/10000000"),1883.343039)</f>
        <v>1883.343039</v>
      </c>
      <c r="D718" s="13">
        <f>IFERROR(__xludf.DUMMYFUNCTION("GOOGLEFINANCE(B718,""price"")"),107.17)</f>
        <v>107.17</v>
      </c>
      <c r="E718" s="14">
        <f>IFERROR(__xludf.DUMMYFUNCTION("GOOGLEFINANCE(B718,""Volume"")"),948514.0)</f>
        <v>948514</v>
      </c>
      <c r="F718" s="14">
        <f t="array" ref="F718">F717</f>
        <v>14</v>
      </c>
      <c r="G718" s="15" t="str">
        <f>IFERROR(__xludf.DUMMYFUNCTION("IF(E718&gt;AVERAGE(INDEX(GOOGLEFINANCE(B718,""volume"",WORKDAY(TODAY(),-$F$1),TODAY()),,2)),""Breakout"","""")"),"Breakout")</f>
        <v>Breakout</v>
      </c>
      <c r="H718" s="16">
        <f>IFERROR(__xludf.DUMMYFUNCTION("GOOGLEFINANCE(B718,""price"")"),107.17)</f>
        <v>107.17</v>
      </c>
      <c r="I718" s="17">
        <f>IFERROR(__xludf.DUMMYFUNCTION("AVERAGE(QUERY(SORT(GOOGLEFINANCE(B718,""price"",TODAY()-365,TODAY()),1,0),""select Col2 limit 10""))"),108.59499999999998)</f>
        <v>108.595</v>
      </c>
      <c r="J718" s="17">
        <f>IFERROR(__xludf.DUMMYFUNCTION("AVERAGE(QUERY(SORT(GOOGLEFINANCE(B718,""price"",TODAY()-365,TODAY()),1,0),""select Col2 limit 30""))"),110.54933333333335)</f>
        <v>110.5493333</v>
      </c>
      <c r="K718" s="18">
        <f>IFERROR(__xludf.DUMMYFUNCTION("AVERAGE(QUERY(SORT(GOOGLEFINANCE(B718,""price"",TODAY()-365,TODAY()),1,0),""select Col2 limit 60""))"),108.31650000000005)</f>
        <v>108.3165</v>
      </c>
      <c r="L718" s="17">
        <f>IFERROR(__xludf.DUMMYFUNCTION("AVERAGE(QUERY(SORT(GOOGLEFINANCE(B718,""price"",TODAY()-365,TODAY()),1,0),""select Col2 limit 90""))"),102.77177777777779)</f>
        <v>102.7717778</v>
      </c>
      <c r="M718" s="17">
        <f>IFERROR(__xludf.DUMMYFUNCTION("AVERAGE(QUERY(SORT(GOOGLEFINANCE(B718,""price"",TODAY()-365,TODAY()),1,0),""select Col2 limit 120""))"),105.87875000000001)</f>
        <v>105.87875</v>
      </c>
      <c r="N718" s="19">
        <f>IFERROR(__xludf.DUMMYFUNCTION("AVERAGE(QUERY(SORT(GOOGLEFINANCE(B718,""price"",TODAY()-365,TODAY()),1,0),""select Col2 limit 200""))"),182.35299999999998)</f>
        <v>182.353</v>
      </c>
      <c r="O718" s="20" t="str">
        <f t="shared" si="2"/>
        <v>Avoid</v>
      </c>
      <c r="P718" s="21" t="str">
        <f t="shared" si="3"/>
        <v/>
      </c>
      <c r="Q718" s="21" t="str">
        <f t="shared" si="4"/>
        <v/>
      </c>
      <c r="R718" s="22">
        <f>IFERROR(__xludf.DUMMYFUNCTION("GOOGLEFINANCE(B718, ""pe"")
"),28.49)</f>
        <v>28.49</v>
      </c>
    </row>
    <row r="719">
      <c r="A719" s="9" t="s">
        <v>731</v>
      </c>
      <c r="B719" s="11" t="str">
        <f t="shared" si="1"/>
        <v>NSE:GABRIEL</v>
      </c>
      <c r="C719" s="12">
        <f>IFERROR(__xludf.DUMMYFUNCTION("GOOGLEFINANCE(B719,""marketcap"")/10000000"),14309.0874491)</f>
        <v>14309.08745</v>
      </c>
      <c r="D719" s="13">
        <f>IFERROR(__xludf.DUMMYFUNCTION("GOOGLEFINANCE(B719,""price"")"),996.15)</f>
        <v>996.15</v>
      </c>
      <c r="E719" s="14">
        <f>IFERROR(__xludf.DUMMYFUNCTION("GOOGLEFINANCE(B719,""Volume"")"),125509.0)</f>
        <v>125509</v>
      </c>
      <c r="F719" s="14">
        <f t="array" ref="F719">F718</f>
        <v>14</v>
      </c>
      <c r="G719" s="15" t="str">
        <f>IFERROR(__xludf.DUMMYFUNCTION("IF(E719&gt;AVERAGE(INDEX(GOOGLEFINANCE(B719,""volume"",WORKDAY(TODAY(),-$F$1),TODAY()),,2)),""Breakout"","""")"),"")</f>
        <v/>
      </c>
      <c r="H719" s="16">
        <f>IFERROR(__xludf.DUMMYFUNCTION("GOOGLEFINANCE(B719,""price"")"),996.15)</f>
        <v>996.15</v>
      </c>
      <c r="I719" s="17">
        <f>IFERROR(__xludf.DUMMYFUNCTION("AVERAGE(QUERY(SORT(GOOGLEFINANCE(B719,""price"",TODAY()-365,TODAY()),1,0),""select Col2 limit 10""))"),1026.04)</f>
        <v>1026.04</v>
      </c>
      <c r="J719" s="17">
        <f>IFERROR(__xludf.DUMMYFUNCTION("AVERAGE(QUERY(SORT(GOOGLEFINANCE(B719,""price"",TODAY()-365,TODAY()),1,0),""select Col2 limit 30""))"),864.7883333333334)</f>
        <v>864.7883333</v>
      </c>
      <c r="K719" s="18">
        <f>IFERROR(__xludf.DUMMYFUNCTION("AVERAGE(QUERY(SORT(GOOGLEFINANCE(B719,""price"",TODAY()-365,TODAY()),1,0),""select Col2 limit 60""))"),744.9083333333333)</f>
        <v>744.9083333</v>
      </c>
      <c r="L719" s="17">
        <f>IFERROR(__xludf.DUMMYFUNCTION("AVERAGE(QUERY(SORT(GOOGLEFINANCE(B719,""price"",TODAY()-365,TODAY()),1,0),""select Col2 limit 90""))"),684.3405555555556)</f>
        <v>684.3405556</v>
      </c>
      <c r="M719" s="17">
        <f>IFERROR(__xludf.DUMMYFUNCTION("AVERAGE(QUERY(SORT(GOOGLEFINANCE(B719,""price"",TODAY()-365,TODAY()),1,0),""select Col2 limit 120""))"),634.4975)</f>
        <v>634.4975</v>
      </c>
      <c r="N719" s="19">
        <f>IFERROR(__xludf.DUMMYFUNCTION("AVERAGE(QUERY(SORT(GOOGLEFINANCE(B719,""price"",TODAY()-365,TODAY()),1,0),""select Col2 limit 200""))"),563.22925)</f>
        <v>563.22925</v>
      </c>
      <c r="O719" s="20" t="str">
        <f t="shared" si="2"/>
        <v>Avoid</v>
      </c>
      <c r="P719" s="21" t="str">
        <f t="shared" si="3"/>
        <v/>
      </c>
      <c r="Q719" s="21" t="str">
        <f t="shared" si="4"/>
        <v/>
      </c>
      <c r="R719" s="22">
        <f>IFERROR(__xludf.DUMMYFUNCTION("GOOGLEFINANCE(B719, ""pe"")
"),58.47)</f>
        <v>58.47</v>
      </c>
    </row>
    <row r="720">
      <c r="A720" s="9" t="s">
        <v>732</v>
      </c>
      <c r="B720" s="11" t="str">
        <f t="shared" si="1"/>
        <v>NSE:PDSL</v>
      </c>
      <c r="C720" s="12">
        <f>IFERROR(__xludf.DUMMYFUNCTION("GOOGLEFINANCE(B720,""marketcap"")/10000000"),5082.383693)</f>
        <v>5082.383693</v>
      </c>
      <c r="D720" s="13">
        <f>IFERROR(__xludf.DUMMYFUNCTION("GOOGLEFINANCE(B720,""price"")"),360.5)</f>
        <v>360.5</v>
      </c>
      <c r="E720" s="14">
        <f>IFERROR(__xludf.DUMMYFUNCTION("GOOGLEFINANCE(B720,""Volume"")"),57844.0)</f>
        <v>57844</v>
      </c>
      <c r="F720" s="14">
        <f t="array" ref="F720">F719</f>
        <v>14</v>
      </c>
      <c r="G720" s="15" t="str">
        <f>IFERROR(__xludf.DUMMYFUNCTION("IF(E720&gt;AVERAGE(INDEX(GOOGLEFINANCE(B720,""volume"",WORKDAY(TODAY(),-$F$1),TODAY()),,2)),""Breakout"","""")"),"")</f>
        <v/>
      </c>
      <c r="H720" s="16">
        <f>IFERROR(__xludf.DUMMYFUNCTION("GOOGLEFINANCE(B720,""price"")"),360.5)</f>
        <v>360.5</v>
      </c>
      <c r="I720" s="17">
        <f>IFERROR(__xludf.DUMMYFUNCTION("AVERAGE(QUERY(SORT(GOOGLEFINANCE(B720,""price"",TODAY()-365,TODAY()),1,0),""select Col2 limit 10""))"),382.93500000000006)</f>
        <v>382.935</v>
      </c>
      <c r="J720" s="17">
        <f>IFERROR(__xludf.DUMMYFUNCTION("AVERAGE(QUERY(SORT(GOOGLEFINANCE(B720,""price"",TODAY()-365,TODAY()),1,0),""select Col2 limit 30""))"),394.675)</f>
        <v>394.675</v>
      </c>
      <c r="K720" s="18">
        <f>IFERROR(__xludf.DUMMYFUNCTION("AVERAGE(QUERY(SORT(GOOGLEFINANCE(B720,""price"",TODAY()-365,TODAY()),1,0),""select Col2 limit 60""))"),405.6783333333335)</f>
        <v>405.6783333</v>
      </c>
      <c r="L720" s="17">
        <f>IFERROR(__xludf.DUMMYFUNCTION("AVERAGE(QUERY(SORT(GOOGLEFINANCE(B720,""price"",TODAY()-365,TODAY()),1,0),""select Col2 limit 90""))"),408.9516666666667)</f>
        <v>408.9516667</v>
      </c>
      <c r="M720" s="17">
        <f>IFERROR(__xludf.DUMMYFUNCTION("AVERAGE(QUERY(SORT(GOOGLEFINANCE(B720,""price"",TODAY()-365,TODAY()),1,0),""select Col2 limit 120""))"),421.46458333333345)</f>
        <v>421.4645833</v>
      </c>
      <c r="N720" s="19">
        <f>IFERROR(__xludf.DUMMYFUNCTION("AVERAGE(QUERY(SORT(GOOGLEFINANCE(B720,""price"",TODAY()-365,TODAY()),1,0),""select Col2 limit 200""))"),470.14899999999994)</f>
        <v>470.149</v>
      </c>
      <c r="O720" s="20" t="str">
        <f t="shared" si="2"/>
        <v>Avoid</v>
      </c>
      <c r="P720" s="21" t="str">
        <f t="shared" si="3"/>
        <v/>
      </c>
      <c r="Q720" s="21" t="str">
        <f t="shared" si="4"/>
        <v/>
      </c>
      <c r="R720" s="22">
        <f>IFERROR(__xludf.DUMMYFUNCTION("GOOGLEFINANCE(B720, ""pe"")
"),31.8)</f>
        <v>31.8</v>
      </c>
    </row>
    <row r="721">
      <c r="A721" s="9" t="s">
        <v>733</v>
      </c>
      <c r="B721" s="11" t="str">
        <f t="shared" si="1"/>
        <v>NSE:STLTECH</v>
      </c>
      <c r="C721" s="12">
        <f>IFERROR(__xludf.DUMMYFUNCTION("GOOGLEFINANCE(B721,""marketcap"")/10000000"),6224.3411048)</f>
        <v>6224.341105</v>
      </c>
      <c r="D721" s="13">
        <f>IFERROR(__xludf.DUMMYFUNCTION("GOOGLEFINANCE(B721,""price"")"),127.18)</f>
        <v>127.18</v>
      </c>
      <c r="E721" s="14">
        <f>IFERROR(__xludf.DUMMYFUNCTION("GOOGLEFINANCE(B721,""Volume"")"),1.0628341E7)</f>
        <v>10628341</v>
      </c>
      <c r="F721" s="14">
        <f t="array" ref="F721">F720</f>
        <v>14</v>
      </c>
      <c r="G721" s="15" t="str">
        <f>IFERROR(__xludf.DUMMYFUNCTION("IF(E721&gt;AVERAGE(INDEX(GOOGLEFINANCE(B721,""volume"",WORKDAY(TODAY(),-$F$1),TODAY()),,2)),""Breakout"","""")"),"Breakout")</f>
        <v>Breakout</v>
      </c>
      <c r="H721" s="16">
        <f>IFERROR(__xludf.DUMMYFUNCTION("GOOGLEFINANCE(B721,""price"")"),127.18)</f>
        <v>127.18</v>
      </c>
      <c r="I721" s="17">
        <f>IFERROR(__xludf.DUMMYFUNCTION("AVERAGE(QUERY(SORT(GOOGLEFINANCE(B721,""price"",TODAY()-365,TODAY()),1,0),""select Col2 limit 10""))"),115.3)</f>
        <v>115.3</v>
      </c>
      <c r="J721" s="17">
        <f>IFERROR(__xludf.DUMMYFUNCTION("AVERAGE(QUERY(SORT(GOOGLEFINANCE(B721,""price"",TODAY()-365,TODAY()),1,0),""select Col2 limit 30""))"),109.82999999999998)</f>
        <v>109.83</v>
      </c>
      <c r="K721" s="18">
        <f>IFERROR(__xludf.DUMMYFUNCTION("AVERAGE(QUERY(SORT(GOOGLEFINANCE(B721,""price"",TODAY()-365,TODAY()),1,0),""select Col2 limit 60""))"),90.52499999999999)</f>
        <v>90.525</v>
      </c>
      <c r="L721" s="17">
        <f>IFERROR(__xludf.DUMMYFUNCTION("AVERAGE(QUERY(SORT(GOOGLEFINANCE(B721,""price"",TODAY()-365,TODAY()),1,0),""select Col2 limit 90""))"),86.734)</f>
        <v>86.734</v>
      </c>
      <c r="M721" s="17">
        <f>IFERROR(__xludf.DUMMYFUNCTION("AVERAGE(QUERY(SORT(GOOGLEFINANCE(B721,""price"",TODAY()-365,TODAY()),1,0),""select Col2 limit 120""))"),88.49033333333334)</f>
        <v>88.49033333</v>
      </c>
      <c r="N721" s="19">
        <f>IFERROR(__xludf.DUMMYFUNCTION("AVERAGE(QUERY(SORT(GOOGLEFINANCE(B721,""price"",TODAY()-365,TODAY()),1,0),""select Col2 limit 200""))"),99.75804999999997)</f>
        <v>99.75805</v>
      </c>
      <c r="O721" s="20" t="str">
        <f t="shared" si="2"/>
        <v>Avoid</v>
      </c>
      <c r="P721" s="21" t="str">
        <f t="shared" si="3"/>
        <v/>
      </c>
      <c r="Q721" s="21" t="str">
        <f t="shared" si="4"/>
        <v/>
      </c>
      <c r="R721" s="22" t="str">
        <f>IFERROR(__xludf.DUMMYFUNCTION("GOOGLEFINANCE(B721, ""pe"")
"),"#N/A")</f>
        <v>#N/A</v>
      </c>
    </row>
    <row r="722">
      <c r="A722" s="9" t="s">
        <v>734</v>
      </c>
      <c r="B722" s="11" t="str">
        <f t="shared" si="1"/>
        <v>NSE:ORIENTCEM</v>
      </c>
      <c r="C722" s="12">
        <f>IFERROR(__xludf.DUMMYFUNCTION("GOOGLEFINANCE(B722,""marketcap"")/10000000"),5234.2937519)</f>
        <v>5234.293752</v>
      </c>
      <c r="D722" s="13">
        <f>IFERROR(__xludf.DUMMYFUNCTION("GOOGLEFINANCE(B722,""price"")"),254.48)</f>
        <v>254.48</v>
      </c>
      <c r="E722" s="14">
        <f>IFERROR(__xludf.DUMMYFUNCTION("GOOGLEFINANCE(B722,""Volume"")"),9614002.0)</f>
        <v>9614002</v>
      </c>
      <c r="F722" s="14">
        <f t="array" ref="F722">F721</f>
        <v>14</v>
      </c>
      <c r="G722" s="15" t="str">
        <f>IFERROR(__xludf.DUMMYFUNCTION("IF(E722&gt;AVERAGE(INDEX(GOOGLEFINANCE(B722,""volume"",WORKDAY(TODAY(),-$F$1),TODAY()),,2)),""Breakout"","""")"),"Breakout")</f>
        <v>Breakout</v>
      </c>
      <c r="H722" s="16">
        <f>IFERROR(__xludf.DUMMYFUNCTION("GOOGLEFINANCE(B722,""price"")"),254.48)</f>
        <v>254.48</v>
      </c>
      <c r="I722" s="17">
        <f>IFERROR(__xludf.DUMMYFUNCTION("AVERAGE(QUERY(SORT(GOOGLEFINANCE(B722,""price"",TODAY()-365,TODAY()),1,0),""select Col2 limit 10""))"),242.80599999999998)</f>
        <v>242.806</v>
      </c>
      <c r="J722" s="17">
        <f>IFERROR(__xludf.DUMMYFUNCTION("AVERAGE(QUERY(SORT(GOOGLEFINANCE(B722,""price"",TODAY()-365,TODAY()),1,0),""select Col2 limit 30""))"),242.91899999999998)</f>
        <v>242.919</v>
      </c>
      <c r="K722" s="18">
        <f>IFERROR(__xludf.DUMMYFUNCTION("AVERAGE(QUERY(SORT(GOOGLEFINANCE(B722,""price"",TODAY()-365,TODAY()),1,0),""select Col2 limit 60""))"),294.1328333333333)</f>
        <v>294.1328333</v>
      </c>
      <c r="L722" s="17">
        <f>IFERROR(__xludf.DUMMYFUNCTION("AVERAGE(QUERY(SORT(GOOGLEFINANCE(B722,""price"",TODAY()-365,TODAY()),1,0),""select Col2 limit 90""))"),312.4891111111111)</f>
        <v>312.4891111</v>
      </c>
      <c r="M722" s="17">
        <f>IFERROR(__xludf.DUMMYFUNCTION("AVERAGE(QUERY(SORT(GOOGLEFINANCE(B722,""price"",TODAY()-365,TODAY()),1,0),""select Col2 limit 120""))"),317.87266666666653)</f>
        <v>317.8726667</v>
      </c>
      <c r="N722" s="19">
        <f>IFERROR(__xludf.DUMMYFUNCTION("AVERAGE(QUERY(SORT(GOOGLEFINANCE(B722,""price"",TODAY()-365,TODAY()),1,0),""select Col2 limit 200""))"),324.4488499999999)</f>
        <v>324.44885</v>
      </c>
      <c r="O722" s="20" t="str">
        <f t="shared" si="2"/>
        <v>Avoid</v>
      </c>
      <c r="P722" s="21" t="str">
        <f t="shared" si="3"/>
        <v/>
      </c>
      <c r="Q722" s="21" t="str">
        <f t="shared" si="4"/>
        <v/>
      </c>
      <c r="R722" s="22">
        <f>IFERROR(__xludf.DUMMYFUNCTION("GOOGLEFINANCE(B722, ""pe"")
"),57.25)</f>
        <v>57.25</v>
      </c>
    </row>
    <row r="723">
      <c r="A723" s="9" t="s">
        <v>735</v>
      </c>
      <c r="B723" s="11" t="str">
        <f t="shared" si="1"/>
        <v>NSE:ITDC</v>
      </c>
      <c r="C723" s="12">
        <f>IFERROR(__xludf.DUMMYFUNCTION("GOOGLEFINANCE(B723,""marketcap"")/10000000"),4979.7711546)</f>
        <v>4979.771155</v>
      </c>
      <c r="D723" s="13">
        <f>IFERROR(__xludf.DUMMYFUNCTION("GOOGLEFINANCE(B723,""price"")"),579.15)</f>
        <v>579.15</v>
      </c>
      <c r="E723" s="14">
        <f>IFERROR(__xludf.DUMMYFUNCTION("GOOGLEFINANCE(B723,""Volume"")"),6059.0)</f>
        <v>6059</v>
      </c>
      <c r="F723" s="14">
        <f t="array" ref="F723">F722</f>
        <v>14</v>
      </c>
      <c r="G723" s="15" t="str">
        <f>IFERROR(__xludf.DUMMYFUNCTION("IF(E723&gt;AVERAGE(INDEX(GOOGLEFINANCE(B723,""volume"",WORKDAY(TODAY(),-$F$1),TODAY()),,2)),""Breakout"","""")"),"")</f>
        <v/>
      </c>
      <c r="H723" s="16">
        <f>IFERROR(__xludf.DUMMYFUNCTION("GOOGLEFINANCE(B723,""price"")"),579.15)</f>
        <v>579.15</v>
      </c>
      <c r="I723" s="17">
        <f>IFERROR(__xludf.DUMMYFUNCTION("AVERAGE(QUERY(SORT(GOOGLEFINANCE(B723,""price"",TODAY()-365,TODAY()),1,0),""select Col2 limit 10""))"),600.7250000000001)</f>
        <v>600.725</v>
      </c>
      <c r="J723" s="17">
        <f>IFERROR(__xludf.DUMMYFUNCTION("AVERAGE(QUERY(SORT(GOOGLEFINANCE(B723,""price"",TODAY()-365,TODAY()),1,0),""select Col2 limit 30""))"),600.6083333333332)</f>
        <v>600.6083333</v>
      </c>
      <c r="K723" s="18">
        <f>IFERROR(__xludf.DUMMYFUNCTION("AVERAGE(QUERY(SORT(GOOGLEFINANCE(B723,""price"",TODAY()-365,TODAY()),1,0),""select Col2 limit 60""))"),599.465)</f>
        <v>599.465</v>
      </c>
      <c r="L723" s="17">
        <f>IFERROR(__xludf.DUMMYFUNCTION("AVERAGE(QUERY(SORT(GOOGLEFINANCE(B723,""price"",TODAY()-365,TODAY()),1,0),""select Col2 limit 90""))"),594.2955555555556)</f>
        <v>594.2955556</v>
      </c>
      <c r="M723" s="17">
        <f>IFERROR(__xludf.DUMMYFUNCTION("AVERAGE(QUERY(SORT(GOOGLEFINANCE(B723,""price"",TODAY()-365,TODAY()),1,0),""select Col2 limit 120""))"),585.4029166666666)</f>
        <v>585.4029167</v>
      </c>
      <c r="N723" s="19">
        <f>IFERROR(__xludf.DUMMYFUNCTION("AVERAGE(QUERY(SORT(GOOGLEFINANCE(B723,""price"",TODAY()-365,TODAY()),1,0),""select Col2 limit 200""))"),600.6782499999997)</f>
        <v>600.67825</v>
      </c>
      <c r="O723" s="20" t="str">
        <f t="shared" si="2"/>
        <v>Avoid</v>
      </c>
      <c r="P723" s="21" t="str">
        <f t="shared" si="3"/>
        <v/>
      </c>
      <c r="Q723" s="21" t="str">
        <f t="shared" si="4"/>
        <v/>
      </c>
      <c r="R723" s="22">
        <f>IFERROR(__xludf.DUMMYFUNCTION("GOOGLEFINANCE(B723, ""pe"")
"),60.87)</f>
        <v>60.87</v>
      </c>
    </row>
    <row r="724">
      <c r="A724" s="9" t="s">
        <v>736</v>
      </c>
      <c r="B724" s="11" t="str">
        <f t="shared" si="1"/>
        <v>NSE:IXIGO</v>
      </c>
      <c r="C724" s="12">
        <f>IFERROR(__xludf.DUMMYFUNCTION("GOOGLEFINANCE(B724,""marketcap"")/10000000"),8611.1324911)</f>
        <v>8611.132491</v>
      </c>
      <c r="D724" s="13">
        <f>IFERROR(__xludf.DUMMYFUNCTION("GOOGLEFINANCE(B724,""price"")"),220.7)</f>
        <v>220.7</v>
      </c>
      <c r="E724" s="14">
        <f>IFERROR(__xludf.DUMMYFUNCTION("GOOGLEFINANCE(B724,""Volume"")"),1226940.0)</f>
        <v>1226940</v>
      </c>
      <c r="F724" s="14">
        <f t="array" ref="F724">F723</f>
        <v>14</v>
      </c>
      <c r="G724" s="15" t="str">
        <f>IFERROR(__xludf.DUMMYFUNCTION("IF(E724&gt;AVERAGE(INDEX(GOOGLEFINANCE(B724,""volume"",WORKDAY(TODAY(),-$F$1),TODAY()),,2)),""Breakout"","""")"),"")</f>
        <v/>
      </c>
      <c r="H724" s="16">
        <f>IFERROR(__xludf.DUMMYFUNCTION("GOOGLEFINANCE(B724,""price"")"),220.7)</f>
        <v>220.7</v>
      </c>
      <c r="I724" s="17">
        <f>IFERROR(__xludf.DUMMYFUNCTION("AVERAGE(QUERY(SORT(GOOGLEFINANCE(B724,""price"",TODAY()-365,TODAY()),1,0),""select Col2 limit 10""))"),206.37999999999997)</f>
        <v>206.38</v>
      </c>
      <c r="J724" s="17">
        <f>IFERROR(__xludf.DUMMYFUNCTION("AVERAGE(QUERY(SORT(GOOGLEFINANCE(B724,""price"",TODAY()-365,TODAY()),1,0),""select Col2 limit 30""))"),185.69366666666662)</f>
        <v>185.6936667</v>
      </c>
      <c r="K724" s="18">
        <f>IFERROR(__xludf.DUMMYFUNCTION("AVERAGE(QUERY(SORT(GOOGLEFINANCE(B724,""price"",TODAY()-365,TODAY()),1,0),""select Col2 limit 60""))"),177.9768333333333)</f>
        <v>177.9768333</v>
      </c>
      <c r="L724" s="17">
        <f>IFERROR(__xludf.DUMMYFUNCTION("AVERAGE(QUERY(SORT(GOOGLEFINANCE(B724,""price"",TODAY()-365,TODAY()),1,0),""select Col2 limit 90""))"),166.59111111111113)</f>
        <v>166.5911111</v>
      </c>
      <c r="M724" s="17">
        <f>IFERROR(__xludf.DUMMYFUNCTION("AVERAGE(QUERY(SORT(GOOGLEFINANCE(B724,""price"",TODAY()-365,TODAY()),1,0),""select Col2 limit 120""))"),160.32616666666664)</f>
        <v>160.3261667</v>
      </c>
      <c r="N724" s="19">
        <f>IFERROR(__xludf.DUMMYFUNCTION("AVERAGE(QUERY(SORT(GOOGLEFINANCE(B724,""price"",TODAY()-365,TODAY()),1,0),""select Col2 limit 200""))"),156.5167999999999)</f>
        <v>156.5168</v>
      </c>
      <c r="O724" s="20" t="str">
        <f t="shared" si="2"/>
        <v>Avoid</v>
      </c>
      <c r="P724" s="21" t="str">
        <f t="shared" si="3"/>
        <v/>
      </c>
      <c r="Q724" s="21" t="str">
        <f t="shared" si="4"/>
        <v/>
      </c>
      <c r="R724" s="22">
        <f>IFERROR(__xludf.DUMMYFUNCTION("GOOGLEFINANCE(B724, ""pe"")
"),135.36)</f>
        <v>135.36</v>
      </c>
    </row>
    <row r="725">
      <c r="A725" s="9" t="s">
        <v>737</v>
      </c>
      <c r="B725" s="11" t="str">
        <f t="shared" si="1"/>
        <v>NSE:HNDFDS</v>
      </c>
      <c r="C725" s="12">
        <f>IFERROR(__xludf.DUMMYFUNCTION("GOOGLEFINANCE(B725,""marketcap"")/10000000"),6511.1553873)</f>
        <v>6511.155387</v>
      </c>
      <c r="D725" s="13">
        <f>IFERROR(__xludf.DUMMYFUNCTION("GOOGLEFINANCE(B725,""price"")"),544.95)</f>
        <v>544.95</v>
      </c>
      <c r="E725" s="14">
        <f>IFERROR(__xludf.DUMMYFUNCTION("GOOGLEFINANCE(B725,""Volume"")"),21075.0)</f>
        <v>21075</v>
      </c>
      <c r="F725" s="14">
        <f t="array" ref="F725">F724</f>
        <v>14</v>
      </c>
      <c r="G725" s="15" t="str">
        <f>IFERROR(__xludf.DUMMYFUNCTION("IF(E725&gt;AVERAGE(INDEX(GOOGLEFINANCE(B725,""volume"",WORKDAY(TODAY(),-$F$1),TODAY()),,2)),""Breakout"","""")"),"")</f>
        <v/>
      </c>
      <c r="H725" s="16">
        <f>IFERROR(__xludf.DUMMYFUNCTION("GOOGLEFINANCE(B725,""price"")"),544.95)</f>
        <v>544.95</v>
      </c>
      <c r="I725" s="17">
        <f>IFERROR(__xludf.DUMMYFUNCTION("AVERAGE(QUERY(SORT(GOOGLEFINANCE(B725,""price"",TODAY()-365,TODAY()),1,0),""select Col2 limit 10""))"),566.045)</f>
        <v>566.045</v>
      </c>
      <c r="J725" s="17">
        <f>IFERROR(__xludf.DUMMYFUNCTION("AVERAGE(QUERY(SORT(GOOGLEFINANCE(B725,""price"",TODAY()-365,TODAY()),1,0),""select Col2 limit 30""))"),550.6333333333332)</f>
        <v>550.6333333</v>
      </c>
      <c r="K725" s="18">
        <f>IFERROR(__xludf.DUMMYFUNCTION("AVERAGE(QUERY(SORT(GOOGLEFINANCE(B725,""price"",TODAY()-365,TODAY()),1,0),""select Col2 limit 60""))"),542.3699999999999)</f>
        <v>542.37</v>
      </c>
      <c r="L725" s="17">
        <f>IFERROR(__xludf.DUMMYFUNCTION("AVERAGE(QUERY(SORT(GOOGLEFINANCE(B725,""price"",TODAY()-365,TODAY()),1,0),""select Col2 limit 90""))"),546.5922222222223)</f>
        <v>546.5922222</v>
      </c>
      <c r="M725" s="17">
        <f>IFERROR(__xludf.DUMMYFUNCTION("AVERAGE(QUERY(SORT(GOOGLEFINANCE(B725,""price"",TODAY()-365,TODAY()),1,0),""select Col2 limit 120""))"),543.7741666666669)</f>
        <v>543.7741667</v>
      </c>
      <c r="N725" s="19">
        <f>IFERROR(__xludf.DUMMYFUNCTION("AVERAGE(QUERY(SORT(GOOGLEFINANCE(B725,""price"",TODAY()-365,TODAY()),1,0),""select Col2 limit 200""))"),548.2585)</f>
        <v>548.2585</v>
      </c>
      <c r="O725" s="20" t="str">
        <f t="shared" si="2"/>
        <v>Avoid</v>
      </c>
      <c r="P725" s="21" t="str">
        <f t="shared" si="3"/>
        <v>90 DMA</v>
      </c>
      <c r="Q725" s="21" t="str">
        <f t="shared" si="4"/>
        <v/>
      </c>
      <c r="R725" s="22">
        <f>IFERROR(__xludf.DUMMYFUNCTION("GOOGLEFINANCE(B725, ""pe"")
"),57.3)</f>
        <v>57.3</v>
      </c>
    </row>
    <row r="726">
      <c r="A726" s="9" t="s">
        <v>738</v>
      </c>
      <c r="B726" s="11" t="str">
        <f t="shared" si="1"/>
        <v>NSE:BBOX</v>
      </c>
      <c r="C726" s="12">
        <f>IFERROR(__xludf.DUMMYFUNCTION("GOOGLEFINANCE(B726,""marketcap"")/10000000"),8415.2534116)</f>
        <v>8415.253412</v>
      </c>
      <c r="D726" s="13">
        <f>IFERROR(__xludf.DUMMYFUNCTION("GOOGLEFINANCE(B726,""price"")"),494.95)</f>
        <v>494.95</v>
      </c>
      <c r="E726" s="14">
        <f>IFERROR(__xludf.DUMMYFUNCTION("GOOGLEFINANCE(B726,""Volume"")"),39825.0)</f>
        <v>39825</v>
      </c>
      <c r="F726" s="14">
        <f t="array" ref="F726">F725</f>
        <v>14</v>
      </c>
      <c r="G726" s="15" t="str">
        <f>IFERROR(__xludf.DUMMYFUNCTION("IF(E726&gt;AVERAGE(INDEX(GOOGLEFINANCE(B726,""volume"",WORKDAY(TODAY(),-$F$1),TODAY()),,2)),""Breakout"","""")"),"")</f>
        <v/>
      </c>
      <c r="H726" s="16">
        <f>IFERROR(__xludf.DUMMYFUNCTION("GOOGLEFINANCE(B726,""price"")"),494.95)</f>
        <v>494.95</v>
      </c>
      <c r="I726" s="17">
        <f>IFERROR(__xludf.DUMMYFUNCTION("AVERAGE(QUERY(SORT(GOOGLEFINANCE(B726,""price"",TODAY()-365,TODAY()),1,0),""select Col2 limit 10""))"),522.1499999999999)</f>
        <v>522.15</v>
      </c>
      <c r="J726" s="17">
        <f>IFERROR(__xludf.DUMMYFUNCTION("AVERAGE(QUERY(SORT(GOOGLEFINANCE(B726,""price"",TODAY()-365,TODAY()),1,0),""select Col2 limit 30""))"),517.415)</f>
        <v>517.415</v>
      </c>
      <c r="K726" s="18">
        <f>IFERROR(__xludf.DUMMYFUNCTION("AVERAGE(QUERY(SORT(GOOGLEFINANCE(B726,""price"",TODAY()-365,TODAY()),1,0),""select Col2 limit 60""))"),498.4516666666667)</f>
        <v>498.4516667</v>
      </c>
      <c r="L726" s="17">
        <f>IFERROR(__xludf.DUMMYFUNCTION("AVERAGE(QUERY(SORT(GOOGLEFINANCE(B726,""price"",TODAY()-365,TODAY()),1,0),""select Col2 limit 90""))"),454.70611111111117)</f>
        <v>454.7061111</v>
      </c>
      <c r="M726" s="17">
        <f>IFERROR(__xludf.DUMMYFUNCTION("AVERAGE(QUERY(SORT(GOOGLEFINANCE(B726,""price"",TODAY()-365,TODAY()),1,0),""select Col2 limit 120""))"),450.8920833333334)</f>
        <v>450.8920833</v>
      </c>
      <c r="N726" s="19">
        <f>IFERROR(__xludf.DUMMYFUNCTION("AVERAGE(QUERY(SORT(GOOGLEFINANCE(B726,""price"",TODAY()-365,TODAY()),1,0),""select Col2 limit 200""))"),505.2244999999997)</f>
        <v>505.2245</v>
      </c>
      <c r="O726" s="20" t="str">
        <f t="shared" si="2"/>
        <v>Avoid</v>
      </c>
      <c r="P726" s="21" t="str">
        <f t="shared" si="3"/>
        <v>60 DMA</v>
      </c>
      <c r="Q726" s="21" t="str">
        <f t="shared" si="4"/>
        <v/>
      </c>
      <c r="R726" s="22">
        <f>IFERROR(__xludf.DUMMYFUNCTION("GOOGLEFINANCE(B726, ""pe"")
"),40.87)</f>
        <v>40.87</v>
      </c>
    </row>
    <row r="727">
      <c r="A727" s="9" t="s">
        <v>739</v>
      </c>
      <c r="B727" s="11" t="str">
        <f t="shared" si="1"/>
        <v>NSE:VIPIND</v>
      </c>
      <c r="C727" s="12">
        <f>IFERROR(__xludf.DUMMYFUNCTION("GOOGLEFINANCE(B727,""marketcap"")/10000000"),6255.4086)</f>
        <v>6255.4086</v>
      </c>
      <c r="D727" s="13">
        <f>IFERROR(__xludf.DUMMYFUNCTION("GOOGLEFINANCE(B727,""price"")"),441.05)</f>
        <v>441.05</v>
      </c>
      <c r="E727" s="14">
        <f>IFERROR(__xludf.DUMMYFUNCTION("GOOGLEFINANCE(B727,""Volume"")"),433381.0)</f>
        <v>433381</v>
      </c>
      <c r="F727" s="14">
        <f t="array" ref="F727">F726</f>
        <v>14</v>
      </c>
      <c r="G727" s="15" t="str">
        <f>IFERROR(__xludf.DUMMYFUNCTION("IF(E727&gt;AVERAGE(INDEX(GOOGLEFINANCE(B727,""volume"",WORKDAY(TODAY(),-$F$1),TODAY()),,2)),""Breakout"","""")"),"")</f>
        <v/>
      </c>
      <c r="H727" s="16">
        <f>IFERROR(__xludf.DUMMYFUNCTION("GOOGLEFINANCE(B727,""price"")"),441.05)</f>
        <v>441.05</v>
      </c>
      <c r="I727" s="17">
        <f>IFERROR(__xludf.DUMMYFUNCTION("AVERAGE(QUERY(SORT(GOOGLEFINANCE(B727,""price"",TODAY()-365,TODAY()),1,0),""select Col2 limit 10""))"),466.56499999999994)</f>
        <v>466.565</v>
      </c>
      <c r="J727" s="17">
        <f>IFERROR(__xludf.DUMMYFUNCTION("AVERAGE(QUERY(SORT(GOOGLEFINANCE(B727,""price"",TODAY()-365,TODAY()),1,0),""select Col2 limit 30""))"),437.71333333333337)</f>
        <v>437.7133333</v>
      </c>
      <c r="K727" s="18">
        <f>IFERROR(__xludf.DUMMYFUNCTION("AVERAGE(QUERY(SORT(GOOGLEFINANCE(B727,""price"",TODAY()-365,TODAY()),1,0),""select Col2 limit 60""))"),397.9441666666668)</f>
        <v>397.9441667</v>
      </c>
      <c r="L727" s="17">
        <f>IFERROR(__xludf.DUMMYFUNCTION("AVERAGE(QUERY(SORT(GOOGLEFINANCE(B727,""price"",TODAY()-365,TODAY()),1,0),""select Col2 limit 90""))"),361.26333333333343)</f>
        <v>361.2633333</v>
      </c>
      <c r="M727" s="17">
        <f>IFERROR(__xludf.DUMMYFUNCTION("AVERAGE(QUERY(SORT(GOOGLEFINANCE(B727,""price"",TODAY()-365,TODAY()),1,0),""select Col2 limit 120""))"),354.98083333333335)</f>
        <v>354.9808333</v>
      </c>
      <c r="N727" s="19">
        <f>IFERROR(__xludf.DUMMYFUNCTION("AVERAGE(QUERY(SORT(GOOGLEFINANCE(B727,""price"",TODAY()-365,TODAY()),1,0),""select Col2 limit 200""))"),403.4779999999999)</f>
        <v>403.478</v>
      </c>
      <c r="O727" s="20" t="str">
        <f t="shared" si="2"/>
        <v>Avoid</v>
      </c>
      <c r="P727" s="21" t="str">
        <f t="shared" si="3"/>
        <v/>
      </c>
      <c r="Q727" s="21" t="str">
        <f t="shared" si="4"/>
        <v/>
      </c>
      <c r="R727" s="22" t="str">
        <f>IFERROR(__xludf.DUMMYFUNCTION("GOOGLEFINANCE(B727, ""pe"")
"),"#N/A")</f>
        <v>#N/A</v>
      </c>
    </row>
    <row r="728">
      <c r="A728" s="9" t="s">
        <v>740</v>
      </c>
      <c r="B728" s="11" t="str">
        <f t="shared" si="1"/>
        <v>NSE:ORCHPHARMA</v>
      </c>
      <c r="C728" s="12">
        <f>IFERROR(__xludf.DUMMYFUNCTION("GOOGLEFINANCE(B728,""marketcap"")/10000000"),3606.12801)</f>
        <v>3606.12801</v>
      </c>
      <c r="D728" s="13">
        <f>IFERROR(__xludf.DUMMYFUNCTION("GOOGLEFINANCE(B728,""price"")"),707.75)</f>
        <v>707.75</v>
      </c>
      <c r="E728" s="14">
        <f>IFERROR(__xludf.DUMMYFUNCTION("GOOGLEFINANCE(B728,""Volume"")"),12977.0)</f>
        <v>12977</v>
      </c>
      <c r="F728" s="14">
        <f t="array" ref="F728">F727</f>
        <v>14</v>
      </c>
      <c r="G728" s="15" t="str">
        <f>IFERROR(__xludf.DUMMYFUNCTION("IF(E728&gt;AVERAGE(INDEX(GOOGLEFINANCE(B728,""volume"",WORKDAY(TODAY(),-$F$1),TODAY()),,2)),""Breakout"","""")"),"#N/A")</f>
        <v>#N/A</v>
      </c>
      <c r="H728" s="16">
        <f>IFERROR(__xludf.DUMMYFUNCTION("GOOGLEFINANCE(B728,""price"")"),707.75)</f>
        <v>707.75</v>
      </c>
      <c r="I728" s="17">
        <f>IFERROR(__xludf.DUMMYFUNCTION("AVERAGE(QUERY(SORT(GOOGLEFINANCE(B728,""price"",TODAY()-365,TODAY()),1,0),""select Col2 limit 10""))"),727.1650000000001)</f>
        <v>727.165</v>
      </c>
      <c r="J728" s="17">
        <f>IFERROR(__xludf.DUMMYFUNCTION("AVERAGE(QUERY(SORT(GOOGLEFINANCE(B728,""price"",TODAY()-365,TODAY()),1,0),""select Col2 limit 30""))"),718.5833333333333)</f>
        <v>718.5833333</v>
      </c>
      <c r="K728" s="18">
        <f>IFERROR(__xludf.DUMMYFUNCTION("AVERAGE(QUERY(SORT(GOOGLEFINANCE(B728,""price"",TODAY()-365,TODAY()),1,0),""select Col2 limit 60""))"),727.6275)</f>
        <v>727.6275</v>
      </c>
      <c r="L728" s="17">
        <f>IFERROR(__xludf.DUMMYFUNCTION("AVERAGE(QUERY(SORT(GOOGLEFINANCE(B728,""price"",TODAY()-365,TODAY()),1,0),""select Col2 limit 90""))"),748.47)</f>
        <v>748.47</v>
      </c>
      <c r="M728" s="17">
        <f>IFERROR(__xludf.DUMMYFUNCTION("AVERAGE(QUERY(SORT(GOOGLEFINANCE(B728,""price"",TODAY()-365,TODAY()),1,0),""select Col2 limit 120""))"),828.3037500000003)</f>
        <v>828.30375</v>
      </c>
      <c r="N728" s="19">
        <f>IFERROR(__xludf.DUMMYFUNCTION("AVERAGE(QUERY(SORT(GOOGLEFINANCE(B728,""price"",TODAY()-365,TODAY()),1,0),""select Col2 limit 200""))"),1124.3655000000006)</f>
        <v>1124.3655</v>
      </c>
      <c r="O728" s="20" t="str">
        <f t="shared" si="2"/>
        <v>Avoid</v>
      </c>
      <c r="P728" s="21" t="str">
        <f t="shared" si="3"/>
        <v/>
      </c>
      <c r="Q728" s="21" t="str">
        <f t="shared" si="4"/>
        <v/>
      </c>
      <c r="R728" s="22">
        <f>IFERROR(__xludf.DUMMYFUNCTION("GOOGLEFINANCE(B728, ""pe"")
"),36.02)</f>
        <v>36.02</v>
      </c>
    </row>
    <row r="729">
      <c r="A729" s="9" t="s">
        <v>741</v>
      </c>
      <c r="B729" s="11" t="str">
        <f t="shared" si="1"/>
        <v>NSE:DIACABS</v>
      </c>
      <c r="C729" s="12">
        <f>IFERROR(__xludf.DUMMYFUNCTION("GOOGLEFINANCE(B729,""marketcap"")/10000000"),8563.8054315)</f>
        <v>8563.805432</v>
      </c>
      <c r="D729" s="13">
        <f>IFERROR(__xludf.DUMMYFUNCTION("GOOGLEFINANCE(B729,""price"")"),162.47)</f>
        <v>162.47</v>
      </c>
      <c r="E729" s="14">
        <f>IFERROR(__xludf.DUMMYFUNCTION("GOOGLEFINANCE(B729,""Volume"")"),1088724.0)</f>
        <v>1088724</v>
      </c>
      <c r="F729" s="14">
        <f t="array" ref="F729">F728</f>
        <v>14</v>
      </c>
      <c r="G729" s="15" t="str">
        <f>IFERROR(__xludf.DUMMYFUNCTION("IF(E729&gt;AVERAGE(INDEX(GOOGLEFINANCE(B729,""volume"",WORKDAY(TODAY(),-$F$1),TODAY()),,2)),""Breakout"","""")"),"")</f>
        <v/>
      </c>
      <c r="H729" s="16">
        <f>IFERROR(__xludf.DUMMYFUNCTION("GOOGLEFINANCE(B729,""price"")"),162.47)</f>
        <v>162.47</v>
      </c>
      <c r="I729" s="17">
        <f>IFERROR(__xludf.DUMMYFUNCTION("AVERAGE(QUERY(SORT(GOOGLEFINANCE(B729,""price"",TODAY()-365,TODAY()),1,0),""select Col2 limit 10""))"),169.256)</f>
        <v>169.256</v>
      </c>
      <c r="J729" s="17">
        <f>IFERROR(__xludf.DUMMYFUNCTION("AVERAGE(QUERY(SORT(GOOGLEFINANCE(B729,""price"",TODAY()-365,TODAY()),1,0),""select Col2 limit 30""))"),142.18833333333333)</f>
        <v>142.1883333</v>
      </c>
      <c r="K729" s="18">
        <f>IFERROR(__xludf.DUMMYFUNCTION("AVERAGE(QUERY(SORT(GOOGLEFINANCE(B729,""price"",TODAY()-365,TODAY()),1,0),""select Col2 limit 60""))"),120.98416666666662)</f>
        <v>120.9841667</v>
      </c>
      <c r="L729" s="17">
        <f>IFERROR(__xludf.DUMMYFUNCTION("AVERAGE(QUERY(SORT(GOOGLEFINANCE(B729,""price"",TODAY()-365,TODAY()),1,0),""select Col2 limit 90""))"),112.2295555555555)</f>
        <v>112.2295556</v>
      </c>
      <c r="M729" s="17">
        <f>IFERROR(__xludf.DUMMYFUNCTION("AVERAGE(QUERY(SORT(GOOGLEFINANCE(B729,""price"",TODAY()-365,TODAY()),1,0),""select Col2 limit 120""))"),107.99333333333331)</f>
        <v>107.9933333</v>
      </c>
      <c r="N729" s="19">
        <f>IFERROR(__xludf.DUMMYFUNCTION("AVERAGE(QUERY(SORT(GOOGLEFINANCE(B729,""price"",TODAY()-365,TODAY()),1,0),""select Col2 limit 200""))"),125.35689999999995)</f>
        <v>125.3569</v>
      </c>
      <c r="O729" s="20" t="str">
        <f t="shared" si="2"/>
        <v>Avoid</v>
      </c>
      <c r="P729" s="21" t="str">
        <f t="shared" si="3"/>
        <v/>
      </c>
      <c r="Q729" s="21" t="str">
        <f t="shared" si="4"/>
        <v/>
      </c>
      <c r="R729" s="22">
        <f>IFERROR(__xludf.DUMMYFUNCTION("GOOGLEFINANCE(B729, ""pe"")
"),250.02)</f>
        <v>250.02</v>
      </c>
    </row>
    <row r="730">
      <c r="A730" s="9" t="s">
        <v>742</v>
      </c>
      <c r="B730" s="11" t="str">
        <f t="shared" si="1"/>
        <v>NSE:NESCO</v>
      </c>
      <c r="C730" s="12">
        <f>IFERROR(__xludf.DUMMYFUNCTION("GOOGLEFINANCE(B730,""marketcap"")/10000000"),8737.0338)</f>
        <v>8737.0338</v>
      </c>
      <c r="D730" s="13">
        <f>IFERROR(__xludf.DUMMYFUNCTION("GOOGLEFINANCE(B730,""price"")"),1240.0)</f>
        <v>1240</v>
      </c>
      <c r="E730" s="14">
        <f>IFERROR(__xludf.DUMMYFUNCTION("GOOGLEFINANCE(B730,""Volume"")"),44975.0)</f>
        <v>44975</v>
      </c>
      <c r="F730" s="14">
        <f t="array" ref="F730">F729</f>
        <v>14</v>
      </c>
      <c r="G730" s="15" t="str">
        <f>IFERROR(__xludf.DUMMYFUNCTION("IF(E730&gt;AVERAGE(INDEX(GOOGLEFINANCE(B730,""volume"",WORKDAY(TODAY(),-$F$1),TODAY()),,2)),""Breakout"","""")"),"")</f>
        <v/>
      </c>
      <c r="H730" s="16">
        <f>IFERROR(__xludf.DUMMYFUNCTION("GOOGLEFINANCE(B730,""price"")"),1240.0)</f>
        <v>1240</v>
      </c>
      <c r="I730" s="17">
        <f>IFERROR(__xludf.DUMMYFUNCTION("AVERAGE(QUERY(SORT(GOOGLEFINANCE(B730,""price"",TODAY()-365,TODAY()),1,0),""select Col2 limit 10""))"),1267.77)</f>
        <v>1267.77</v>
      </c>
      <c r="J730" s="17">
        <f>IFERROR(__xludf.DUMMYFUNCTION("AVERAGE(QUERY(SORT(GOOGLEFINANCE(B730,""price"",TODAY()-365,TODAY()),1,0),""select Col2 limit 30""))"),1166.6633333333334)</f>
        <v>1166.663333</v>
      </c>
      <c r="K730" s="18">
        <f>IFERROR(__xludf.DUMMYFUNCTION("AVERAGE(QUERY(SORT(GOOGLEFINANCE(B730,""price"",TODAY()-365,TODAY()),1,0),""select Col2 limit 60""))"),1056.8866666666668)</f>
        <v>1056.886667</v>
      </c>
      <c r="L730" s="17">
        <f>IFERROR(__xludf.DUMMYFUNCTION("AVERAGE(QUERY(SORT(GOOGLEFINANCE(B730,""price"",TODAY()-365,TODAY()),1,0),""select Col2 limit 90""))"),1016.6455555555556)</f>
        <v>1016.645556</v>
      </c>
      <c r="M730" s="17">
        <f>IFERROR(__xludf.DUMMYFUNCTION("AVERAGE(QUERY(SORT(GOOGLEFINANCE(B730,""price"",TODAY()-365,TODAY()),1,0),""select Col2 limit 120""))"),993.87375)</f>
        <v>993.87375</v>
      </c>
      <c r="N730" s="19">
        <f>IFERROR(__xludf.DUMMYFUNCTION("AVERAGE(QUERY(SORT(GOOGLEFINANCE(B730,""price"",TODAY()-365,TODAY()),1,0),""select Col2 limit 200""))"),991.1772499999993)</f>
        <v>991.17725</v>
      </c>
      <c r="O730" s="20" t="str">
        <f t="shared" si="2"/>
        <v>Avoid</v>
      </c>
      <c r="P730" s="21" t="str">
        <f t="shared" si="3"/>
        <v/>
      </c>
      <c r="Q730" s="21" t="str">
        <f t="shared" si="4"/>
        <v/>
      </c>
      <c r="R730" s="22">
        <f>IFERROR(__xludf.DUMMYFUNCTION("GOOGLEFINANCE(B730, ""pe"")
"),23.29)</f>
        <v>23.29</v>
      </c>
    </row>
    <row r="731">
      <c r="A731" s="9" t="s">
        <v>743</v>
      </c>
      <c r="B731" s="11" t="str">
        <f t="shared" si="1"/>
        <v>NSE:PAISALO</v>
      </c>
      <c r="C731" s="12">
        <f>IFERROR(__xludf.DUMMYFUNCTION("GOOGLEFINANCE(B731,""marketcap"")/10000000"),2881.3658983)</f>
        <v>2881.365898</v>
      </c>
      <c r="D731" s="13">
        <f>IFERROR(__xludf.DUMMYFUNCTION("GOOGLEFINANCE(B731,""price"")"),31.94)</f>
        <v>31.94</v>
      </c>
      <c r="E731" s="14">
        <f>IFERROR(__xludf.DUMMYFUNCTION("GOOGLEFINANCE(B731,""Volume"")"),7072130.0)</f>
        <v>7072130</v>
      </c>
      <c r="F731" s="14">
        <f t="array" ref="F731">F730</f>
        <v>14</v>
      </c>
      <c r="G731" s="15" t="str">
        <f>IFERROR(__xludf.DUMMYFUNCTION("IF(E731&gt;AVERAGE(INDEX(GOOGLEFINANCE(B731,""volume"",WORKDAY(TODAY(),-$F$1),TODAY()),,2)),""Breakout"","""")"),"")</f>
        <v/>
      </c>
      <c r="H731" s="16">
        <f>IFERROR(__xludf.DUMMYFUNCTION("GOOGLEFINANCE(B731,""price"")"),31.94)</f>
        <v>31.94</v>
      </c>
      <c r="I731" s="17">
        <f>IFERROR(__xludf.DUMMYFUNCTION("AVERAGE(QUERY(SORT(GOOGLEFINANCE(B731,""price"",TODAY()-365,TODAY()),1,0),""select Col2 limit 10""))"),31.78000000000001)</f>
        <v>31.78</v>
      </c>
      <c r="J731" s="17">
        <f>IFERROR(__xludf.DUMMYFUNCTION("AVERAGE(QUERY(SORT(GOOGLEFINANCE(B731,""price"",TODAY()-365,TODAY()),1,0),""select Col2 limit 30""))"),31.166999999999998)</f>
        <v>31.167</v>
      </c>
      <c r="K731" s="18">
        <f>IFERROR(__xludf.DUMMYFUNCTION("AVERAGE(QUERY(SORT(GOOGLEFINANCE(B731,""price"",TODAY()-365,TODAY()),1,0),""select Col2 limit 60""))"),31.751333333333324)</f>
        <v>31.75133333</v>
      </c>
      <c r="L731" s="17">
        <f>IFERROR(__xludf.DUMMYFUNCTION("AVERAGE(QUERY(SORT(GOOGLEFINANCE(B731,""price"",TODAY()-365,TODAY()),1,0),""select Col2 limit 90""))"),32.35888888888888)</f>
        <v>32.35888889</v>
      </c>
      <c r="M731" s="17">
        <f>IFERROR(__xludf.DUMMYFUNCTION("AVERAGE(QUERY(SORT(GOOGLEFINANCE(B731,""price"",TODAY()-365,TODAY()),1,0),""select Col2 limit 120""))"),34.30716666666665)</f>
        <v>34.30716667</v>
      </c>
      <c r="N731" s="19">
        <f>IFERROR(__xludf.DUMMYFUNCTION("AVERAGE(QUERY(SORT(GOOGLEFINANCE(B731,""price"",TODAY()-365,TODAY()),1,0),""select Col2 limit 200""))"),40.48159999999999)</f>
        <v>40.4816</v>
      </c>
      <c r="O731" s="20" t="str">
        <f t="shared" si="2"/>
        <v>Avoid</v>
      </c>
      <c r="P731" s="21" t="str">
        <f t="shared" si="3"/>
        <v/>
      </c>
      <c r="Q731" s="21" t="str">
        <f t="shared" si="4"/>
        <v/>
      </c>
      <c r="R731" s="22">
        <f>IFERROR(__xludf.DUMMYFUNCTION("GOOGLEFINANCE(B731, ""pe"")
"),13.93)</f>
        <v>13.93</v>
      </c>
    </row>
    <row r="732">
      <c r="A732" s="9" t="s">
        <v>744</v>
      </c>
      <c r="B732" s="11" t="str">
        <f t="shared" si="1"/>
        <v>NSE:VMART</v>
      </c>
      <c r="C732" s="12">
        <f>IFERROR(__xludf.DUMMYFUNCTION("GOOGLEFINANCE(B732,""marketcap"")/10000000"),6307.306684)</f>
        <v>6307.306684</v>
      </c>
      <c r="D732" s="13">
        <f>IFERROR(__xludf.DUMMYFUNCTION("GOOGLEFINANCE(B732,""price"")"),795.4)</f>
        <v>795.4</v>
      </c>
      <c r="E732" s="14">
        <f>IFERROR(__xludf.DUMMYFUNCTION("GOOGLEFINANCE(B732,""Volume"")"),182034.0)</f>
        <v>182034</v>
      </c>
      <c r="F732" s="14">
        <f t="array" ref="F732">F731</f>
        <v>14</v>
      </c>
      <c r="G732" s="15" t="str">
        <f>IFERROR(__xludf.DUMMYFUNCTION("IF(E732&gt;AVERAGE(INDEX(GOOGLEFINANCE(B732,""volume"",WORKDAY(TODAY(),-$F$1),TODAY()),,2)),""Breakout"","""")"),"")</f>
        <v/>
      </c>
      <c r="H732" s="16">
        <f>IFERROR(__xludf.DUMMYFUNCTION("GOOGLEFINANCE(B732,""price"")"),795.4)</f>
        <v>795.4</v>
      </c>
      <c r="I732" s="17">
        <f>IFERROR(__xludf.DUMMYFUNCTION("AVERAGE(QUERY(SORT(GOOGLEFINANCE(B732,""price"",TODAY()-365,TODAY()),1,0),""select Col2 limit 10""))"),780.7)</f>
        <v>780.7</v>
      </c>
      <c r="J732" s="17">
        <f>IFERROR(__xludf.DUMMYFUNCTION("AVERAGE(QUERY(SORT(GOOGLEFINANCE(B732,""price"",TODAY()-365,TODAY()),1,0),""select Col2 limit 30""))"),826.5920000000001)</f>
        <v>826.592</v>
      </c>
      <c r="K732" s="18">
        <f>IFERROR(__xludf.DUMMYFUNCTION("AVERAGE(QUERY(SORT(GOOGLEFINANCE(B732,""price"",TODAY()-365,TODAY()),1,0),""select Col2 limit 60""))"),842.5965000000002)</f>
        <v>842.5965</v>
      </c>
      <c r="L732" s="17">
        <f>IFERROR(__xludf.DUMMYFUNCTION("AVERAGE(QUERY(SORT(GOOGLEFINANCE(B732,""price"",TODAY()-365,TODAY()),1,0),""select Col2 limit 90""))"),820.5814444444446)</f>
        <v>820.5814444</v>
      </c>
      <c r="M732" s="17">
        <f>IFERROR(__xludf.DUMMYFUNCTION("AVERAGE(QUERY(SORT(GOOGLEFINANCE(B732,""price"",TODAY()-365,TODAY()),1,0),""select Col2 limit 120""))"),809.9365)</f>
        <v>809.9365</v>
      </c>
      <c r="N732" s="19">
        <f>IFERROR(__xludf.DUMMYFUNCTION("AVERAGE(QUERY(SORT(GOOGLEFINANCE(B732,""price"",TODAY()-365,TODAY()),1,0),""select Col2 limit 200""))"),870.8903499999998)</f>
        <v>870.89035</v>
      </c>
      <c r="O732" s="20" t="str">
        <f t="shared" si="2"/>
        <v>Avoid</v>
      </c>
      <c r="P732" s="21" t="str">
        <f t="shared" si="3"/>
        <v/>
      </c>
      <c r="Q732" s="21" t="str">
        <f t="shared" si="4"/>
        <v/>
      </c>
      <c r="R732" s="22">
        <f>IFERROR(__xludf.DUMMYFUNCTION("GOOGLEFINANCE(B732, ""pe"")
"),136.37)</f>
        <v>136.37</v>
      </c>
    </row>
    <row r="733">
      <c r="A733" s="9" t="s">
        <v>745</v>
      </c>
      <c r="B733" s="11" t="str">
        <f t="shared" si="1"/>
        <v>NSE:GMMPFAUDLR</v>
      </c>
      <c r="C733" s="12">
        <f>IFERROR(__xludf.DUMMYFUNCTION("GOOGLEFINANCE(B733,""marketcap"")/10000000"),5823.7583885)</f>
        <v>5823.758389</v>
      </c>
      <c r="D733" s="13">
        <f>IFERROR(__xludf.DUMMYFUNCTION("GOOGLEFINANCE(B733,""price"")"),1297.4)</f>
        <v>1297.4</v>
      </c>
      <c r="E733" s="14">
        <f>IFERROR(__xludf.DUMMYFUNCTION("GOOGLEFINANCE(B733,""Volume"")"),14645.0)</f>
        <v>14645</v>
      </c>
      <c r="F733" s="14">
        <f t="array" ref="F733">F732</f>
        <v>14</v>
      </c>
      <c r="G733" s="15" t="str">
        <f>IFERROR(__xludf.DUMMYFUNCTION("IF(E733&gt;AVERAGE(INDEX(GOOGLEFINANCE(B733,""volume"",WORKDAY(TODAY(),-$F$1),TODAY()),,2)),""Breakout"","""")"),"")</f>
        <v/>
      </c>
      <c r="H733" s="16">
        <f>IFERROR(__xludf.DUMMYFUNCTION("GOOGLEFINANCE(B733,""price"")"),1297.4)</f>
        <v>1297.4</v>
      </c>
      <c r="I733" s="17">
        <f>IFERROR(__xludf.DUMMYFUNCTION("AVERAGE(QUERY(SORT(GOOGLEFINANCE(B733,""price"",TODAY()-365,TODAY()),1,0),""select Col2 limit 10""))"),1318.08)</f>
        <v>1318.08</v>
      </c>
      <c r="J733" s="17">
        <f>IFERROR(__xludf.DUMMYFUNCTION("AVERAGE(QUERY(SORT(GOOGLEFINANCE(B733,""price"",TODAY()-365,TODAY()),1,0),""select Col2 limit 30""))"),1245.8466666666668)</f>
        <v>1245.846667</v>
      </c>
      <c r="K733" s="18">
        <f>IFERROR(__xludf.DUMMYFUNCTION("AVERAGE(QUERY(SORT(GOOGLEFINANCE(B733,""price"",TODAY()-365,TODAY()),1,0),""select Col2 limit 60""))"),1179.908333333333)</f>
        <v>1179.908333</v>
      </c>
      <c r="L733" s="17">
        <f>IFERROR(__xludf.DUMMYFUNCTION("AVERAGE(QUERY(SORT(GOOGLEFINANCE(B733,""price"",TODAY()-365,TODAY()),1,0),""select Col2 limit 90""))"),1137.3311111111107)</f>
        <v>1137.331111</v>
      </c>
      <c r="M733" s="17">
        <f>IFERROR(__xludf.DUMMYFUNCTION("AVERAGE(QUERY(SORT(GOOGLEFINANCE(B733,""price"",TODAY()-365,TODAY()),1,0),""select Col2 limit 120""))"),1135.4325)</f>
        <v>1135.4325</v>
      </c>
      <c r="N733" s="19">
        <f>IFERROR(__xludf.DUMMYFUNCTION("AVERAGE(QUERY(SORT(GOOGLEFINANCE(B733,""price"",TODAY()-365,TODAY()),1,0),""select Col2 limit 200""))"),1190.3782499999998)</f>
        <v>1190.37825</v>
      </c>
      <c r="O733" s="20" t="str">
        <f t="shared" si="2"/>
        <v>Avoid</v>
      </c>
      <c r="P733" s="21" t="str">
        <f t="shared" si="3"/>
        <v/>
      </c>
      <c r="Q733" s="21" t="str">
        <f t="shared" si="4"/>
        <v/>
      </c>
      <c r="R733" s="22">
        <f>IFERROR(__xludf.DUMMYFUNCTION("GOOGLEFINANCE(B733, ""pe"")
"),109.97)</f>
        <v>109.97</v>
      </c>
    </row>
    <row r="734">
      <c r="A734" s="9" t="s">
        <v>746</v>
      </c>
      <c r="B734" s="11" t="str">
        <f t="shared" si="1"/>
        <v>NSE:IFBIND</v>
      </c>
      <c r="C734" s="12">
        <f>IFERROR(__xludf.DUMMYFUNCTION("GOOGLEFINANCE(B734,""marketcap"")/10000000"),5548.2381125)</f>
        <v>5548.238113</v>
      </c>
      <c r="D734" s="13">
        <f>IFERROR(__xludf.DUMMYFUNCTION("GOOGLEFINANCE(B734,""price"")"),1367.8)</f>
        <v>1367.8</v>
      </c>
      <c r="E734" s="14">
        <f>IFERROR(__xludf.DUMMYFUNCTION("GOOGLEFINANCE(B734,""Volume"")"),11065.0)</f>
        <v>11065</v>
      </c>
      <c r="F734" s="14">
        <f t="array" ref="F734">F733</f>
        <v>14</v>
      </c>
      <c r="G734" s="15" t="str">
        <f>IFERROR(__xludf.DUMMYFUNCTION("IF(E734&gt;AVERAGE(INDEX(GOOGLEFINANCE(B734,""volume"",WORKDAY(TODAY(),-$F$1),TODAY()),,2)),""Breakout"","""")"),"#N/A")</f>
        <v>#N/A</v>
      </c>
      <c r="H734" s="16">
        <f>IFERROR(__xludf.DUMMYFUNCTION("GOOGLEFINANCE(B734,""price"")"),1367.8)</f>
        <v>1367.8</v>
      </c>
      <c r="I734" s="17">
        <f>IFERROR(__xludf.DUMMYFUNCTION("AVERAGE(QUERY(SORT(GOOGLEFINANCE(B734,""price"",TODAY()-365,TODAY()),1,0),""select Col2 limit 10""))"),1444.3)</f>
        <v>1444.3</v>
      </c>
      <c r="J734" s="17">
        <f>IFERROR(__xludf.DUMMYFUNCTION("AVERAGE(QUERY(SORT(GOOGLEFINANCE(B734,""price"",TODAY()-365,TODAY()),1,0),""select Col2 limit 30""))"),1514.9166666666667)</f>
        <v>1514.916667</v>
      </c>
      <c r="K734" s="18">
        <f>IFERROR(__xludf.DUMMYFUNCTION("AVERAGE(QUERY(SORT(GOOGLEFINANCE(B734,""price"",TODAY()-365,TODAY()),1,0),""select Col2 limit 60""))"),1464.7916666666667)</f>
        <v>1464.791667</v>
      </c>
      <c r="L734" s="17">
        <f>IFERROR(__xludf.DUMMYFUNCTION("AVERAGE(QUERY(SORT(GOOGLEFINANCE(B734,""price"",TODAY()-365,TODAY()),1,0),""select Col2 limit 90""))"),1404.8683333333329)</f>
        <v>1404.868333</v>
      </c>
      <c r="M734" s="17">
        <f>IFERROR(__xludf.DUMMYFUNCTION("AVERAGE(QUERY(SORT(GOOGLEFINANCE(B734,""price"",TODAY()-365,TODAY()),1,0),""select Col2 limit 120""))"),1357.5958333333328)</f>
        <v>1357.595833</v>
      </c>
      <c r="N734" s="19">
        <f>IFERROR(__xludf.DUMMYFUNCTION("AVERAGE(QUERY(SORT(GOOGLEFINANCE(B734,""price"",TODAY()-365,TODAY()),1,0),""select Col2 limit 200""))"),1533.6982499999992)</f>
        <v>1533.69825</v>
      </c>
      <c r="O734" s="20" t="str">
        <f t="shared" si="2"/>
        <v>Avoid</v>
      </c>
      <c r="P734" s="21" t="str">
        <f t="shared" si="3"/>
        <v/>
      </c>
      <c r="Q734" s="21" t="str">
        <f t="shared" si="4"/>
        <v/>
      </c>
      <c r="R734" s="22">
        <f>IFERROR(__xludf.DUMMYFUNCTION("GOOGLEFINANCE(B734, ""pe"")
"),46.66)</f>
        <v>46.66</v>
      </c>
    </row>
    <row r="735">
      <c r="A735" s="9" t="s">
        <v>747</v>
      </c>
      <c r="B735" s="11" t="str">
        <f t="shared" si="1"/>
        <v>NSE:PTC</v>
      </c>
      <c r="C735" s="12">
        <f>IFERROR(__xludf.DUMMYFUNCTION("GOOGLEFINANCE(B735,""marketcap"")/10000000"),5715.9204536)</f>
        <v>5715.920454</v>
      </c>
      <c r="D735" s="13">
        <f>IFERROR(__xludf.DUMMYFUNCTION("GOOGLEFINANCE(B735,""price"")"),193.2)</f>
        <v>193.2</v>
      </c>
      <c r="E735" s="14">
        <f>IFERROR(__xludf.DUMMYFUNCTION("GOOGLEFINANCE(B735,""Volume"")"),988242.0)</f>
        <v>988242</v>
      </c>
      <c r="F735" s="14">
        <f t="array" ref="F735">F734</f>
        <v>14</v>
      </c>
      <c r="G735" s="15" t="str">
        <f>IFERROR(__xludf.DUMMYFUNCTION("IF(E735&gt;AVERAGE(INDEX(GOOGLEFINANCE(B735,""volume"",WORKDAY(TODAY(),-$F$1),TODAY()),,2)),""Breakout"","""")"),"")</f>
        <v/>
      </c>
      <c r="H735" s="16">
        <f>IFERROR(__xludf.DUMMYFUNCTION("GOOGLEFINANCE(B735,""price"")"),193.2)</f>
        <v>193.2</v>
      </c>
      <c r="I735" s="17">
        <f>IFERROR(__xludf.DUMMYFUNCTION("AVERAGE(QUERY(SORT(GOOGLEFINANCE(B735,""price"",TODAY()-365,TODAY()),1,0),""select Col2 limit 10""))"),191.01899999999995)</f>
        <v>191.019</v>
      </c>
      <c r="J735" s="17">
        <f>IFERROR(__xludf.DUMMYFUNCTION("AVERAGE(QUERY(SORT(GOOGLEFINANCE(B735,""price"",TODAY()-365,TODAY()),1,0),""select Col2 limit 30""))"),182.177)</f>
        <v>182.177</v>
      </c>
      <c r="K735" s="18">
        <f>IFERROR(__xludf.DUMMYFUNCTION("AVERAGE(QUERY(SORT(GOOGLEFINANCE(B735,""price"",TODAY()-365,TODAY()),1,0),""select Col2 limit 60""))"),180.62550000000002)</f>
        <v>180.6255</v>
      </c>
      <c r="L735" s="17">
        <f>IFERROR(__xludf.DUMMYFUNCTION("AVERAGE(QUERY(SORT(GOOGLEFINANCE(B735,""price"",TODAY()-365,TODAY()),1,0),""select Col2 limit 90""))"),176.93877777777777)</f>
        <v>176.9387778</v>
      </c>
      <c r="M735" s="17">
        <f>IFERROR(__xludf.DUMMYFUNCTION("AVERAGE(QUERY(SORT(GOOGLEFINANCE(B735,""price"",TODAY()-365,TODAY()),1,0),""select Col2 limit 120""))"),168.75291666666666)</f>
        <v>168.7529167</v>
      </c>
      <c r="N735" s="19">
        <f>IFERROR(__xludf.DUMMYFUNCTION("AVERAGE(QUERY(SORT(GOOGLEFINANCE(B735,""price"",TODAY()-365,TODAY()),1,0),""select Col2 limit 200""))"),167.6094)</f>
        <v>167.6094</v>
      </c>
      <c r="O735" s="20" t="str">
        <f t="shared" si="2"/>
        <v>Avoid</v>
      </c>
      <c r="P735" s="21" t="str">
        <f t="shared" si="3"/>
        <v/>
      </c>
      <c r="Q735" s="21" t="str">
        <f t="shared" si="4"/>
        <v/>
      </c>
      <c r="R735" s="22">
        <f>IFERROR(__xludf.DUMMYFUNCTION("GOOGLEFINANCE(B735, ""pe"")
"),7.35)</f>
        <v>7.35</v>
      </c>
    </row>
    <row r="736">
      <c r="A736" s="9" t="s">
        <v>748</v>
      </c>
      <c r="B736" s="11" t="str">
        <f t="shared" si="1"/>
        <v>NSE:NIITMTS</v>
      </c>
      <c r="C736" s="12">
        <f>IFERROR(__xludf.DUMMYFUNCTION("GOOGLEFINANCE(B736,""marketcap"")/10000000"),4554.74736)</f>
        <v>4554.74736</v>
      </c>
      <c r="D736" s="13">
        <f>IFERROR(__xludf.DUMMYFUNCTION("GOOGLEFINANCE(B736,""price"")"),333.0)</f>
        <v>333</v>
      </c>
      <c r="E736" s="14">
        <f>IFERROR(__xludf.DUMMYFUNCTION("GOOGLEFINANCE(B736,""Volume"")"),125150.0)</f>
        <v>125150</v>
      </c>
      <c r="F736" s="14">
        <f t="array" ref="F736">F735</f>
        <v>14</v>
      </c>
      <c r="G736" s="15" t="str">
        <f>IFERROR(__xludf.DUMMYFUNCTION("IF(E736&gt;AVERAGE(INDEX(GOOGLEFINANCE(B736,""volume"",WORKDAY(TODAY(),-$F$1),TODAY()),,2)),""Breakout"","""")"),"#N/A")</f>
        <v>#N/A</v>
      </c>
      <c r="H736" s="16">
        <f>IFERROR(__xludf.DUMMYFUNCTION("GOOGLEFINANCE(B736,""price"")"),333.0)</f>
        <v>333</v>
      </c>
      <c r="I736" s="17">
        <f>IFERROR(__xludf.DUMMYFUNCTION("AVERAGE(QUERY(SORT(GOOGLEFINANCE(B736,""price"",TODAY()-365,TODAY()),1,0),""select Col2 limit 10""))"),338.28499999999997)</f>
        <v>338.285</v>
      </c>
      <c r="J736" s="17">
        <f>IFERROR(__xludf.DUMMYFUNCTION("AVERAGE(QUERY(SORT(GOOGLEFINANCE(B736,""price"",TODAY()-365,TODAY()),1,0),""select Col2 limit 30""))"),339.8233333333334)</f>
        <v>339.8233333</v>
      </c>
      <c r="K736" s="18">
        <f>IFERROR(__xludf.DUMMYFUNCTION("AVERAGE(QUERY(SORT(GOOGLEFINANCE(B736,""price"",TODAY()-365,TODAY()),1,0),""select Col2 limit 60""))"),345.44)</f>
        <v>345.44</v>
      </c>
      <c r="L736" s="17">
        <f>IFERROR(__xludf.DUMMYFUNCTION("AVERAGE(QUERY(SORT(GOOGLEFINANCE(B736,""price"",TODAY()-365,TODAY()),1,0),""select Col2 limit 90""))"),363.26000000000005)</f>
        <v>363.26</v>
      </c>
      <c r="M736" s="17">
        <f>IFERROR(__xludf.DUMMYFUNCTION("AVERAGE(QUERY(SORT(GOOGLEFINANCE(B736,""price"",TODAY()-365,TODAY()),1,0),""select Col2 limit 120""))"),383.12666666666684)</f>
        <v>383.1266667</v>
      </c>
      <c r="N736" s="19">
        <f>IFERROR(__xludf.DUMMYFUNCTION("AVERAGE(QUERY(SORT(GOOGLEFINANCE(B736,""price"",TODAY()-365,TODAY()),1,0),""select Col2 limit 200""))"),416.05850000000004)</f>
        <v>416.0585</v>
      </c>
      <c r="O736" s="20" t="str">
        <f t="shared" si="2"/>
        <v>Avoid</v>
      </c>
      <c r="P736" s="21" t="str">
        <f t="shared" si="3"/>
        <v/>
      </c>
      <c r="Q736" s="21" t="str">
        <f t="shared" si="4"/>
        <v/>
      </c>
      <c r="R736" s="22">
        <f>IFERROR(__xludf.DUMMYFUNCTION("GOOGLEFINANCE(B736, ""pe"")
"),21.98)</f>
        <v>21.98</v>
      </c>
    </row>
    <row r="737">
      <c r="A737" s="9" t="s">
        <v>749</v>
      </c>
      <c r="B737" s="11" t="str">
        <f t="shared" si="1"/>
        <v>NSE:SURYAROSNI</v>
      </c>
      <c r="C737" s="12">
        <f>IFERROR(__xludf.DUMMYFUNCTION("GOOGLEFINANCE(B737,""marketcap"")/10000000"),7368.8342231)</f>
        <v>7368.834223</v>
      </c>
      <c r="D737" s="13">
        <f>IFERROR(__xludf.DUMMYFUNCTION("GOOGLEFINANCE(B737,""price"")"),338.65)</f>
        <v>338.65</v>
      </c>
      <c r="E737" s="14">
        <f>IFERROR(__xludf.DUMMYFUNCTION("GOOGLEFINANCE(B737,""Volume"")"),129733.0)</f>
        <v>129733</v>
      </c>
      <c r="F737" s="14">
        <f t="array" ref="F737">F736</f>
        <v>14</v>
      </c>
      <c r="G737" s="15" t="str">
        <f>IFERROR(__xludf.DUMMYFUNCTION("IF(E737&gt;AVERAGE(INDEX(GOOGLEFINANCE(B737,""volume"",WORKDAY(TODAY(),-$F$1),TODAY()),,2)),""Breakout"","""")"),"")</f>
        <v/>
      </c>
      <c r="H737" s="16">
        <f>IFERROR(__xludf.DUMMYFUNCTION("GOOGLEFINANCE(B737,""price"")"),338.65)</f>
        <v>338.65</v>
      </c>
      <c r="I737" s="17">
        <f>IFERROR(__xludf.DUMMYFUNCTION("AVERAGE(QUERY(SORT(GOOGLEFINANCE(B737,""price"",TODAY()-365,TODAY()),1,0),""select Col2 limit 10""))"),330.315)</f>
        <v>330.315</v>
      </c>
      <c r="J737" s="17">
        <f>IFERROR(__xludf.DUMMYFUNCTION("AVERAGE(QUERY(SORT(GOOGLEFINANCE(B737,""price"",TODAY()-365,TODAY()),1,0),""select Col2 limit 30""))"),335.52500000000003)</f>
        <v>335.525</v>
      </c>
      <c r="K737" s="18">
        <f>IFERROR(__xludf.DUMMYFUNCTION("AVERAGE(QUERY(SORT(GOOGLEFINANCE(B737,""price"",TODAY()-365,TODAY()),1,0),""select Col2 limit 60""))"),322.3283333333335)</f>
        <v>322.3283333</v>
      </c>
      <c r="L737" s="17">
        <f>IFERROR(__xludf.DUMMYFUNCTION("AVERAGE(QUERY(SORT(GOOGLEFINANCE(B737,""price"",TODAY()-365,TODAY()),1,0),""select Col2 limit 90""))"),299.630888888889)</f>
        <v>299.6308889</v>
      </c>
      <c r="M737" s="17">
        <f>IFERROR(__xludf.DUMMYFUNCTION("AVERAGE(QUERY(SORT(GOOGLEFINANCE(B737,""price"",TODAY()-365,TODAY()),1,0),""select Col2 limit 120""))"),284.94625)</f>
        <v>284.94625</v>
      </c>
      <c r="N737" s="19">
        <f>IFERROR(__xludf.DUMMYFUNCTION("AVERAGE(QUERY(SORT(GOOGLEFINANCE(B737,""price"",TODAY()-365,TODAY()),1,0),""select Col2 limit 200""))"),290.5010000000001)</f>
        <v>290.501</v>
      </c>
      <c r="O737" s="20" t="str">
        <f t="shared" si="2"/>
        <v>Avoid</v>
      </c>
      <c r="P737" s="21" t="str">
        <f t="shared" si="3"/>
        <v/>
      </c>
      <c r="Q737" s="21" t="str">
        <f t="shared" si="4"/>
        <v/>
      </c>
      <c r="R737" s="22">
        <f>IFERROR(__xludf.DUMMYFUNCTION("GOOGLEFINANCE(B737, ""pe"")
"),21.26)</f>
        <v>21.26</v>
      </c>
    </row>
    <row r="738">
      <c r="A738" s="9" t="s">
        <v>750</v>
      </c>
      <c r="B738" s="11" t="str">
        <f t="shared" si="1"/>
        <v>NSE:WELENT</v>
      </c>
      <c r="C738" s="12">
        <f>IFERROR(__xludf.DUMMYFUNCTION("GOOGLEFINANCE(B738,""marketcap"")/10000000"),6770.0675428)</f>
        <v>6770.067543</v>
      </c>
      <c r="D738" s="13">
        <f>IFERROR(__xludf.DUMMYFUNCTION("GOOGLEFINANCE(B738,""price"")"),495.0)</f>
        <v>495</v>
      </c>
      <c r="E738" s="14">
        <f>IFERROR(__xludf.DUMMYFUNCTION("GOOGLEFINANCE(B738,""Volume"")"),59146.0)</f>
        <v>59146</v>
      </c>
      <c r="F738" s="14">
        <f t="array" ref="F738">F737</f>
        <v>14</v>
      </c>
      <c r="G738" s="15" t="str">
        <f>IFERROR(__xludf.DUMMYFUNCTION("IF(E738&gt;AVERAGE(INDEX(GOOGLEFINANCE(B738,""volume"",WORKDAY(TODAY(),-$F$1),TODAY()),,2)),""Breakout"","""")"),"")</f>
        <v/>
      </c>
      <c r="H738" s="16">
        <f>IFERROR(__xludf.DUMMYFUNCTION("GOOGLEFINANCE(B738,""price"")"),495.0)</f>
        <v>495</v>
      </c>
      <c r="I738" s="17">
        <f>IFERROR(__xludf.DUMMYFUNCTION("AVERAGE(QUERY(SORT(GOOGLEFINANCE(B738,""price"",TODAY()-365,TODAY()),1,0),""select Col2 limit 10""))"),515.775)</f>
        <v>515.775</v>
      </c>
      <c r="J738" s="17">
        <f>IFERROR(__xludf.DUMMYFUNCTION("AVERAGE(QUERY(SORT(GOOGLEFINANCE(B738,""price"",TODAY()-365,TODAY()),1,0),""select Col2 limit 30""))"),519.565)</f>
        <v>519.565</v>
      </c>
      <c r="K738" s="18">
        <f>IFERROR(__xludf.DUMMYFUNCTION("AVERAGE(QUERY(SORT(GOOGLEFINANCE(B738,""price"",TODAY()-365,TODAY()),1,0),""select Col2 limit 60""))"),509.53833333333336)</f>
        <v>509.5383333</v>
      </c>
      <c r="L738" s="17">
        <f>IFERROR(__xludf.DUMMYFUNCTION("AVERAGE(QUERY(SORT(GOOGLEFINANCE(B738,""price"",TODAY()-365,TODAY()),1,0),""select Col2 limit 90""))"),503.79999999999984)</f>
        <v>503.8</v>
      </c>
      <c r="M738" s="17">
        <f>IFERROR(__xludf.DUMMYFUNCTION("AVERAGE(QUERY(SORT(GOOGLEFINANCE(B738,""price"",TODAY()-365,TODAY()),1,0),""select Col2 limit 120""))"),501.05999999999966)</f>
        <v>501.06</v>
      </c>
      <c r="N738" s="19">
        <f>IFERROR(__xludf.DUMMYFUNCTION("AVERAGE(QUERY(SORT(GOOGLEFINANCE(B738,""price"",TODAY()-365,TODAY()),1,0),""select Col2 limit 200""))"),522.5872499999997)</f>
        <v>522.58725</v>
      </c>
      <c r="O738" s="20" t="str">
        <f t="shared" si="2"/>
        <v>Avoid</v>
      </c>
      <c r="P738" s="21" t="str">
        <f t="shared" si="3"/>
        <v/>
      </c>
      <c r="Q738" s="21" t="str">
        <f t="shared" si="4"/>
        <v/>
      </c>
      <c r="R738" s="22">
        <f>IFERROR(__xludf.DUMMYFUNCTION("GOOGLEFINANCE(B738, ""pe"")
"),19.47)</f>
        <v>19.47</v>
      </c>
    </row>
    <row r="739">
      <c r="A739" s="9" t="s">
        <v>751</v>
      </c>
      <c r="B739" s="11" t="str">
        <f t="shared" si="1"/>
        <v>NSE:SIS</v>
      </c>
      <c r="C739" s="12">
        <f>IFERROR(__xludf.DUMMYFUNCTION("GOOGLEFINANCE(B739,""marketcap"")/10000000"),5465.3628195)</f>
        <v>5465.36282</v>
      </c>
      <c r="D739" s="13">
        <f>IFERROR(__xludf.DUMMYFUNCTION("GOOGLEFINANCE(B739,""price"")"),378.1)</f>
        <v>378.1</v>
      </c>
      <c r="E739" s="14">
        <f>IFERROR(__xludf.DUMMYFUNCTION("GOOGLEFINANCE(B739,""Volume"")"),15793.0)</f>
        <v>15793</v>
      </c>
      <c r="F739" s="14">
        <f t="array" ref="F739">F738</f>
        <v>14</v>
      </c>
      <c r="G739" s="15" t="str">
        <f>IFERROR(__xludf.DUMMYFUNCTION("IF(E739&gt;AVERAGE(INDEX(GOOGLEFINANCE(B739,""volume"",WORKDAY(TODAY(),-$F$1),TODAY()),,2)),""Breakout"","""")"),"")</f>
        <v/>
      </c>
      <c r="H739" s="16">
        <f>IFERROR(__xludf.DUMMYFUNCTION("GOOGLEFINANCE(B739,""price"")"),378.1)</f>
        <v>378.1</v>
      </c>
      <c r="I739" s="17">
        <f>IFERROR(__xludf.DUMMYFUNCTION("AVERAGE(QUERY(SORT(GOOGLEFINANCE(B739,""price"",TODAY()-365,TODAY()),1,0),""select Col2 limit 10""))"),380.84)</f>
        <v>380.84</v>
      </c>
      <c r="J739" s="17">
        <f>IFERROR(__xludf.DUMMYFUNCTION("AVERAGE(QUERY(SORT(GOOGLEFINANCE(B739,""price"",TODAY()-365,TODAY()),1,0),""select Col2 limit 30""))"),373.4433333333333)</f>
        <v>373.4433333</v>
      </c>
      <c r="K739" s="18">
        <f>IFERROR(__xludf.DUMMYFUNCTION("AVERAGE(QUERY(SORT(GOOGLEFINANCE(B739,""price"",TODAY()-365,TODAY()),1,0),""select Col2 limit 60""))"),360.825)</f>
        <v>360.825</v>
      </c>
      <c r="L739" s="17">
        <f>IFERROR(__xludf.DUMMYFUNCTION("AVERAGE(QUERY(SORT(GOOGLEFINANCE(B739,""price"",TODAY()-365,TODAY()),1,0),""select Col2 limit 90""))"),350.155)</f>
        <v>350.155</v>
      </c>
      <c r="M739" s="17">
        <f>IFERROR(__xludf.DUMMYFUNCTION("AVERAGE(QUERY(SORT(GOOGLEFINANCE(B739,""price"",TODAY()-365,TODAY()),1,0),""select Col2 limit 120""))"),343.27833333333325)</f>
        <v>343.2783333</v>
      </c>
      <c r="N739" s="19">
        <f>IFERROR(__xludf.DUMMYFUNCTION("AVERAGE(QUERY(SORT(GOOGLEFINANCE(B739,""price"",TODAY()-365,TODAY()),1,0),""select Col2 limit 200""))"),355.1912499999999)</f>
        <v>355.19125</v>
      </c>
      <c r="O739" s="20" t="str">
        <f t="shared" si="2"/>
        <v>Avoid</v>
      </c>
      <c r="P739" s="21" t="str">
        <f t="shared" si="3"/>
        <v>10 DMA</v>
      </c>
      <c r="Q739" s="21" t="str">
        <f t="shared" si="4"/>
        <v/>
      </c>
      <c r="R739" s="22">
        <f>IFERROR(__xludf.DUMMYFUNCTION("GOOGLEFINANCE(B739, ""pe"")
"),465.21)</f>
        <v>465.21</v>
      </c>
    </row>
    <row r="740">
      <c r="A740" s="9" t="s">
        <v>752</v>
      </c>
      <c r="B740" s="11" t="str">
        <f t="shared" si="1"/>
        <v>NSE:RALLIS</v>
      </c>
      <c r="C740" s="12">
        <f>IFERROR(__xludf.DUMMYFUNCTION("GOOGLEFINANCE(B740,""marketcap"")/10000000"),7130.1984333)</f>
        <v>7130.198433</v>
      </c>
      <c r="D740" s="13">
        <f>IFERROR(__xludf.DUMMYFUNCTION("GOOGLEFINANCE(B740,""price"")"),367.15)</f>
        <v>367.15</v>
      </c>
      <c r="E740" s="14">
        <f>IFERROR(__xludf.DUMMYFUNCTION("GOOGLEFINANCE(B740,""Volume"")"),500022.0)</f>
        <v>500022</v>
      </c>
      <c r="F740" s="14">
        <f t="array" ref="F740">F739</f>
        <v>14</v>
      </c>
      <c r="G740" s="15" t="str">
        <f>IFERROR(__xludf.DUMMYFUNCTION("IF(E740&gt;AVERAGE(INDEX(GOOGLEFINANCE(B740,""volume"",WORKDAY(TODAY(),-$F$1),TODAY()),,2)),""Breakout"","""")"),"")</f>
        <v/>
      </c>
      <c r="H740" s="16">
        <f>IFERROR(__xludf.DUMMYFUNCTION("GOOGLEFINANCE(B740,""price"")"),367.15)</f>
        <v>367.15</v>
      </c>
      <c r="I740" s="17">
        <f>IFERROR(__xludf.DUMMYFUNCTION("AVERAGE(QUERY(SORT(GOOGLEFINANCE(B740,""price"",TODAY()-365,TODAY()),1,0),""select Col2 limit 10""))"),357.97999999999996)</f>
        <v>357.98</v>
      </c>
      <c r="J740" s="17">
        <f>IFERROR(__xludf.DUMMYFUNCTION("AVERAGE(QUERY(SORT(GOOGLEFINANCE(B740,""price"",TODAY()-365,TODAY()),1,0),""select Col2 limit 30""))"),332.08666666666664)</f>
        <v>332.0866667</v>
      </c>
      <c r="K740" s="18">
        <f>IFERROR(__xludf.DUMMYFUNCTION("AVERAGE(QUERY(SORT(GOOGLEFINANCE(B740,""price"",TODAY()-365,TODAY()),1,0),""select Col2 limit 60""))"),309.6809999999999)</f>
        <v>309.681</v>
      </c>
      <c r="L740" s="17">
        <f>IFERROR(__xludf.DUMMYFUNCTION("AVERAGE(QUERY(SORT(GOOGLEFINANCE(B740,""price"",TODAY()-365,TODAY()),1,0),""select Col2 limit 90""))"),281.51811111111107)</f>
        <v>281.5181111</v>
      </c>
      <c r="M740" s="17">
        <f>IFERROR(__xludf.DUMMYFUNCTION("AVERAGE(QUERY(SORT(GOOGLEFINANCE(B740,""price"",TODAY()-365,TODAY()),1,0),""select Col2 limit 120""))"),266.6223333333333)</f>
        <v>266.6223333</v>
      </c>
      <c r="N740" s="19">
        <f>IFERROR(__xludf.DUMMYFUNCTION("AVERAGE(QUERY(SORT(GOOGLEFINANCE(B740,""price"",TODAY()-365,TODAY()),1,0),""select Col2 limit 200""))"),283.80015000000003)</f>
        <v>283.80015</v>
      </c>
      <c r="O740" s="20" t="str">
        <f t="shared" si="2"/>
        <v>Avoid</v>
      </c>
      <c r="P740" s="21" t="str">
        <f t="shared" si="3"/>
        <v/>
      </c>
      <c r="Q740" s="21" t="str">
        <f t="shared" si="4"/>
        <v/>
      </c>
      <c r="R740" s="22">
        <f>IFERROR(__xludf.DUMMYFUNCTION("GOOGLEFINANCE(B740, ""pe"")
"),41.51)</f>
        <v>41.51</v>
      </c>
    </row>
    <row r="741">
      <c r="A741" s="9" t="s">
        <v>753</v>
      </c>
      <c r="B741" s="11" t="str">
        <f t="shared" si="1"/>
        <v>NSE:GOKEX</v>
      </c>
      <c r="C741" s="12">
        <f>IFERROR(__xludf.DUMMYFUNCTION("GOOGLEFINANCE(B741,""marketcap"")/10000000"),6552.4744582)</f>
        <v>6552.474458</v>
      </c>
      <c r="D741" s="13">
        <f>IFERROR(__xludf.DUMMYFUNCTION("GOOGLEFINANCE(B741,""price"")"),894.45)</f>
        <v>894.45</v>
      </c>
      <c r="E741" s="14">
        <f>IFERROR(__xludf.DUMMYFUNCTION("GOOGLEFINANCE(B741,""Volume"")"),40608.0)</f>
        <v>40608</v>
      </c>
      <c r="F741" s="14">
        <f t="array" ref="F741">F740</f>
        <v>14</v>
      </c>
      <c r="G741" s="15" t="str">
        <f>IFERROR(__xludf.DUMMYFUNCTION("IF(E741&gt;AVERAGE(INDEX(GOOGLEFINANCE(B741,""volume"",WORKDAY(TODAY(),-$F$1),TODAY()),,2)),""Breakout"","""")"),"")</f>
        <v/>
      </c>
      <c r="H741" s="16">
        <f>IFERROR(__xludf.DUMMYFUNCTION("GOOGLEFINANCE(B741,""price"")"),894.45)</f>
        <v>894.45</v>
      </c>
      <c r="I741" s="17">
        <f>IFERROR(__xludf.DUMMYFUNCTION("AVERAGE(QUERY(SORT(GOOGLEFINANCE(B741,""price"",TODAY()-365,TODAY()),1,0),""select Col2 limit 10""))"),924.8399999999999)</f>
        <v>924.84</v>
      </c>
      <c r="J741" s="17">
        <f>IFERROR(__xludf.DUMMYFUNCTION("AVERAGE(QUERY(SORT(GOOGLEFINANCE(B741,""price"",TODAY()-365,TODAY()),1,0),""select Col2 limit 30""))"),911.1266666666664)</f>
        <v>911.1266667</v>
      </c>
      <c r="K741" s="18">
        <f>IFERROR(__xludf.DUMMYFUNCTION("AVERAGE(QUERY(SORT(GOOGLEFINANCE(B741,""price"",TODAY()-365,TODAY()),1,0),""select Col2 limit 60""))"),936.0133333333332)</f>
        <v>936.0133333</v>
      </c>
      <c r="L741" s="17">
        <f>IFERROR(__xludf.DUMMYFUNCTION("AVERAGE(QUERY(SORT(GOOGLEFINANCE(B741,""price"",TODAY()-365,TODAY()),1,0),""select Col2 limit 90""))"),903.7055555555554)</f>
        <v>903.7055556</v>
      </c>
      <c r="M741" s="17">
        <f>IFERROR(__xludf.DUMMYFUNCTION("AVERAGE(QUERY(SORT(GOOGLEFINANCE(B741,""price"",TODAY()-365,TODAY()),1,0),""select Col2 limit 120""))"),900.5362499999998)</f>
        <v>900.53625</v>
      </c>
      <c r="N741" s="19">
        <f>IFERROR(__xludf.DUMMYFUNCTION("AVERAGE(QUERY(SORT(GOOGLEFINANCE(B741,""price"",TODAY()-365,TODAY()),1,0),""select Col2 limit 200""))"),936.4915000000001)</f>
        <v>936.4915</v>
      </c>
      <c r="O741" s="20" t="str">
        <f t="shared" si="2"/>
        <v>Avoid</v>
      </c>
      <c r="P741" s="21" t="str">
        <f t="shared" si="3"/>
        <v>120 DMA</v>
      </c>
      <c r="Q741" s="21" t="str">
        <f t="shared" si="4"/>
        <v/>
      </c>
      <c r="R741" s="22">
        <f>IFERROR(__xludf.DUMMYFUNCTION("GOOGLEFINANCE(B741, ""pe"")
"),41.76)</f>
        <v>41.76</v>
      </c>
    </row>
    <row r="742">
      <c r="A742" s="9" t="s">
        <v>754</v>
      </c>
      <c r="B742" s="11" t="str">
        <f t="shared" si="1"/>
        <v>NSE:SHILPAMED</v>
      </c>
      <c r="C742" s="12">
        <f>IFERROR(__xludf.DUMMYFUNCTION("GOOGLEFINANCE(B742,""marketcap"")/10000000"),8762.065536)</f>
        <v>8762.065536</v>
      </c>
      <c r="D742" s="13">
        <f>IFERROR(__xludf.DUMMYFUNCTION("GOOGLEFINANCE(B742,""price"")"),896.3)</f>
        <v>896.3</v>
      </c>
      <c r="E742" s="14">
        <f>IFERROR(__xludf.DUMMYFUNCTION("GOOGLEFINANCE(B742,""Volume"")"),27701.0)</f>
        <v>27701</v>
      </c>
      <c r="F742" s="14">
        <f t="array" ref="F742">F741</f>
        <v>14</v>
      </c>
      <c r="G742" s="15" t="str">
        <f>IFERROR(__xludf.DUMMYFUNCTION("IF(E742&gt;AVERAGE(INDEX(GOOGLEFINANCE(B742,""volume"",WORKDAY(TODAY(),-$F$1),TODAY()),,2)),""Breakout"","""")"),"")</f>
        <v/>
      </c>
      <c r="H742" s="16">
        <f>IFERROR(__xludf.DUMMYFUNCTION("GOOGLEFINANCE(B742,""price"")"),896.3)</f>
        <v>896.3</v>
      </c>
      <c r="I742" s="17">
        <f>IFERROR(__xludf.DUMMYFUNCTION("AVERAGE(QUERY(SORT(GOOGLEFINANCE(B742,""price"",TODAY()-365,TODAY()),1,0),""select Col2 limit 10""))"),913.2449999999999)</f>
        <v>913.245</v>
      </c>
      <c r="J742" s="17">
        <f>IFERROR(__xludf.DUMMYFUNCTION("AVERAGE(QUERY(SORT(GOOGLEFINANCE(B742,""price"",TODAY()-365,TODAY()),1,0),""select Col2 limit 30""))"),895.4083333333334)</f>
        <v>895.4083333</v>
      </c>
      <c r="K742" s="18">
        <f>IFERROR(__xludf.DUMMYFUNCTION("AVERAGE(QUERY(SORT(GOOGLEFINANCE(B742,""price"",TODAY()-365,TODAY()),1,0),""select Col2 limit 60""))"),847.4466666666665)</f>
        <v>847.4466667</v>
      </c>
      <c r="L742" s="17">
        <f>IFERROR(__xludf.DUMMYFUNCTION("AVERAGE(QUERY(SORT(GOOGLEFINANCE(B742,""price"",TODAY()-365,TODAY()),1,0),""select Col2 limit 90""))"),785.4238888888888)</f>
        <v>785.4238889</v>
      </c>
      <c r="M742" s="17">
        <f>IFERROR(__xludf.DUMMYFUNCTION("AVERAGE(QUERY(SORT(GOOGLEFINANCE(B742,""price"",TODAY()-365,TODAY()),1,0),""select Col2 limit 120""))"),757.0816666666668)</f>
        <v>757.0816667</v>
      </c>
      <c r="N742" s="19">
        <f>IFERROR(__xludf.DUMMYFUNCTION("AVERAGE(QUERY(SORT(GOOGLEFINANCE(B742,""price"",TODAY()-365,TODAY()),1,0),""select Col2 limit 200""))"),786.1542499999997)</f>
        <v>786.15425</v>
      </c>
      <c r="O742" s="20" t="str">
        <f t="shared" si="2"/>
        <v>Avoid</v>
      </c>
      <c r="P742" s="21" t="str">
        <f t="shared" si="3"/>
        <v/>
      </c>
      <c r="Q742" s="21" t="str">
        <f t="shared" si="4"/>
        <v/>
      </c>
      <c r="R742" s="22">
        <f>IFERROR(__xludf.DUMMYFUNCTION("GOOGLEFINANCE(B742, ""pe"")
"),111.48)</f>
        <v>111.48</v>
      </c>
    </row>
    <row r="743">
      <c r="A743" s="9" t="s">
        <v>755</v>
      </c>
      <c r="B743" s="11" t="str">
        <f t="shared" si="1"/>
        <v>NSE:KESORAMIND</v>
      </c>
      <c r="C743" s="12">
        <f>IFERROR(__xludf.DUMMYFUNCTION("GOOGLEFINANCE(B743,""marketcap"")/10000000"),179.2528966)</f>
        <v>179.2528966</v>
      </c>
      <c r="D743" s="13">
        <f>IFERROR(__xludf.DUMMYFUNCTION("GOOGLEFINANCE(B743,""price"")"),5.76)</f>
        <v>5.76</v>
      </c>
      <c r="E743" s="14">
        <f>IFERROR(__xludf.DUMMYFUNCTION("GOOGLEFINANCE(B743,""Volume"")"),94792.0)</f>
        <v>94792</v>
      </c>
      <c r="F743" s="14">
        <f t="array" ref="F743">F742</f>
        <v>14</v>
      </c>
      <c r="G743" s="15" t="str">
        <f>IFERROR(__xludf.DUMMYFUNCTION("IF(E743&gt;AVERAGE(INDEX(GOOGLEFINANCE(B743,""volume"",WORKDAY(TODAY(),-$F$1),TODAY()),,2)),""Breakout"","""")"),"")</f>
        <v/>
      </c>
      <c r="H743" s="16">
        <f>IFERROR(__xludf.DUMMYFUNCTION("GOOGLEFINANCE(B743,""price"")"),5.76)</f>
        <v>5.76</v>
      </c>
      <c r="I743" s="17">
        <f>IFERROR(__xludf.DUMMYFUNCTION("AVERAGE(QUERY(SORT(GOOGLEFINANCE(B743,""price"",TODAY()-365,TODAY()),1,0),""select Col2 limit 10""))"),6.127999999999999)</f>
        <v>6.128</v>
      </c>
      <c r="J743" s="17">
        <f>IFERROR(__xludf.DUMMYFUNCTION("AVERAGE(QUERY(SORT(GOOGLEFINANCE(B743,""price"",TODAY()-365,TODAY()),1,0),""select Col2 limit 30""))"),6.105333333333332)</f>
        <v>6.105333333</v>
      </c>
      <c r="K743" s="18">
        <f>IFERROR(__xludf.DUMMYFUNCTION("AVERAGE(QUERY(SORT(GOOGLEFINANCE(B743,""price"",TODAY()-365,TODAY()),1,0),""select Col2 limit 60""))"),5.7443333333333335)</f>
        <v>5.744333333</v>
      </c>
      <c r="L743" s="17">
        <f>IFERROR(__xludf.DUMMYFUNCTION("AVERAGE(QUERY(SORT(GOOGLEFINANCE(B743,""price"",TODAY()-365,TODAY()),1,0),""select Col2 limit 90""))"),5.324666666666669)</f>
        <v>5.324666667</v>
      </c>
      <c r="M743" s="17">
        <f>IFERROR(__xludf.DUMMYFUNCTION("AVERAGE(QUERY(SORT(GOOGLEFINANCE(B743,""price"",TODAY()-365,TODAY()),1,0),""select Col2 limit 120""))"),50.420416666666675)</f>
        <v>50.42041667</v>
      </c>
      <c r="N743" s="19">
        <f>IFERROR(__xludf.DUMMYFUNCTION("AVERAGE(QUERY(SORT(GOOGLEFINANCE(B743,""price"",TODAY()-365,TODAY()),1,0),""select Col2 limit 200""))"),116.55800000000005)</f>
        <v>116.558</v>
      </c>
      <c r="O743" s="20" t="str">
        <f t="shared" si="2"/>
        <v>Avoid</v>
      </c>
      <c r="P743" s="21" t="str">
        <f t="shared" si="3"/>
        <v/>
      </c>
      <c r="Q743" s="21" t="str">
        <f t="shared" si="4"/>
        <v/>
      </c>
      <c r="R743" s="22">
        <f>IFERROR(__xludf.DUMMYFUNCTION("GOOGLEFINANCE(B743, ""pe"")
"),0.03)</f>
        <v>0.03</v>
      </c>
    </row>
    <row r="744">
      <c r="A744" s="9" t="s">
        <v>756</v>
      </c>
      <c r="B744" s="11" t="str">
        <f t="shared" si="1"/>
        <v>NSE:ARVINDFASN</v>
      </c>
      <c r="C744" s="12">
        <f>IFERROR(__xludf.DUMMYFUNCTION("GOOGLEFINANCE(B744,""marketcap"")/10000000"),6707.3659969)</f>
        <v>6707.365997</v>
      </c>
      <c r="D744" s="13">
        <f>IFERROR(__xludf.DUMMYFUNCTION("GOOGLEFINANCE(B744,""price"")"),502.8)</f>
        <v>502.8</v>
      </c>
      <c r="E744" s="14">
        <f>IFERROR(__xludf.DUMMYFUNCTION("GOOGLEFINANCE(B744,""Volume"")"),122977.0)</f>
        <v>122977</v>
      </c>
      <c r="F744" s="14">
        <f t="array" ref="F744">F743</f>
        <v>14</v>
      </c>
      <c r="G744" s="15" t="str">
        <f>IFERROR(__xludf.DUMMYFUNCTION("IF(E744&gt;AVERAGE(INDEX(GOOGLEFINANCE(B744,""volume"",WORKDAY(TODAY(),-$F$1),TODAY()),,2)),""Breakout"","""")"),"#N/A")</f>
        <v>#N/A</v>
      </c>
      <c r="H744" s="16">
        <f>IFERROR(__xludf.DUMMYFUNCTION("GOOGLEFINANCE(B744,""price"")"),502.8)</f>
        <v>502.8</v>
      </c>
      <c r="I744" s="17">
        <f>IFERROR(__xludf.DUMMYFUNCTION("AVERAGE(QUERY(SORT(GOOGLEFINANCE(B744,""price"",TODAY()-365,TODAY()),1,0),""select Col2 limit 10""))"),485.94500000000005)</f>
        <v>485.945</v>
      </c>
      <c r="J744" s="17">
        <f>IFERROR(__xludf.DUMMYFUNCTION("AVERAGE(QUERY(SORT(GOOGLEFINANCE(B744,""price"",TODAY()-365,TODAY()),1,0),""select Col2 limit 30""))"),479.79833333333335)</f>
        <v>479.7983333</v>
      </c>
      <c r="K744" s="18">
        <f>IFERROR(__xludf.DUMMYFUNCTION("AVERAGE(QUERY(SORT(GOOGLEFINANCE(B744,""price"",TODAY()-365,TODAY()),1,0),""select Col2 limit 60""))"),465.5933333333335)</f>
        <v>465.5933333</v>
      </c>
      <c r="L744" s="17">
        <f>IFERROR(__xludf.DUMMYFUNCTION("AVERAGE(QUERY(SORT(GOOGLEFINANCE(B744,""price"",TODAY()-365,TODAY()),1,0),""select Col2 limit 90""))"),442.7455555555556)</f>
        <v>442.7455556</v>
      </c>
      <c r="M744" s="17">
        <f>IFERROR(__xludf.DUMMYFUNCTION("AVERAGE(QUERY(SORT(GOOGLEFINANCE(B744,""price"",TODAY()-365,TODAY()),1,0),""select Col2 limit 120""))"),436.9579166666667)</f>
        <v>436.9579167</v>
      </c>
      <c r="N744" s="19">
        <f>IFERROR(__xludf.DUMMYFUNCTION("AVERAGE(QUERY(SORT(GOOGLEFINANCE(B744,""price"",TODAY()-365,TODAY()),1,0),""select Col2 limit 200""))"),480.5147500000001)</f>
        <v>480.51475</v>
      </c>
      <c r="O744" s="20" t="str">
        <f t="shared" si="2"/>
        <v>Avoid</v>
      </c>
      <c r="P744" s="21" t="str">
        <f t="shared" si="3"/>
        <v/>
      </c>
      <c r="Q744" s="21" t="str">
        <f t="shared" si="4"/>
        <v/>
      </c>
      <c r="R744" s="22" t="str">
        <f>IFERROR(__xludf.DUMMYFUNCTION("GOOGLEFINANCE(B744, ""pe"")
"),"#N/A")</f>
        <v>#N/A</v>
      </c>
    </row>
    <row r="745">
      <c r="A745" s="9" t="s">
        <v>757</v>
      </c>
      <c r="B745" s="11" t="str">
        <f t="shared" si="1"/>
        <v>NSE:DBCORP</v>
      </c>
      <c r="C745" s="12">
        <f>IFERROR(__xludf.DUMMYFUNCTION("GOOGLEFINANCE(B745,""marketcap"")/10000000"),4792.4190502)</f>
        <v>4792.41905</v>
      </c>
      <c r="D745" s="13">
        <f>IFERROR(__xludf.DUMMYFUNCTION("GOOGLEFINANCE(B745,""price"")"),269.25)</f>
        <v>269.25</v>
      </c>
      <c r="E745" s="14">
        <f>IFERROR(__xludf.DUMMYFUNCTION("GOOGLEFINANCE(B745,""Volume"")"),174911.0)</f>
        <v>174911</v>
      </c>
      <c r="F745" s="14">
        <f t="array" ref="F745">F744</f>
        <v>14</v>
      </c>
      <c r="G745" s="15" t="str">
        <f>IFERROR(__xludf.DUMMYFUNCTION("IF(E745&gt;AVERAGE(INDEX(GOOGLEFINANCE(B745,""volume"",WORKDAY(TODAY(),-$F$1),TODAY()),,2)),""Breakout"","""")"),"")</f>
        <v/>
      </c>
      <c r="H745" s="16">
        <f>IFERROR(__xludf.DUMMYFUNCTION("GOOGLEFINANCE(B745,""price"")"),269.25)</f>
        <v>269.25</v>
      </c>
      <c r="I745" s="17">
        <f>IFERROR(__xludf.DUMMYFUNCTION("AVERAGE(QUERY(SORT(GOOGLEFINANCE(B745,""price"",TODAY()-365,TODAY()),1,0),""select Col2 limit 10""))"),279.66499999999996)</f>
        <v>279.665</v>
      </c>
      <c r="J745" s="17">
        <f>IFERROR(__xludf.DUMMYFUNCTION("AVERAGE(QUERY(SORT(GOOGLEFINANCE(B745,""price"",TODAY()-365,TODAY()),1,0),""select Col2 limit 30""))"),274.9866666666666)</f>
        <v>274.9866667</v>
      </c>
      <c r="K745" s="18">
        <f>IFERROR(__xludf.DUMMYFUNCTION("AVERAGE(QUERY(SORT(GOOGLEFINANCE(B745,""price"",TODAY()-365,TODAY()),1,0),""select Col2 limit 60""))"),261.4648333333333)</f>
        <v>261.4648333</v>
      </c>
      <c r="L745" s="17">
        <f>IFERROR(__xludf.DUMMYFUNCTION("AVERAGE(QUERY(SORT(GOOGLEFINANCE(B745,""price"",TODAY()-365,TODAY()),1,0),""select Col2 limit 90""))"),253.41644444444444)</f>
        <v>253.4164444</v>
      </c>
      <c r="M745" s="17">
        <f>IFERROR(__xludf.DUMMYFUNCTION("AVERAGE(QUERY(SORT(GOOGLEFINANCE(B745,""price"",TODAY()-365,TODAY()),1,0),""select Col2 limit 120""))"),246.86141666666663)</f>
        <v>246.8614167</v>
      </c>
      <c r="N745" s="19">
        <f>IFERROR(__xludf.DUMMYFUNCTION("AVERAGE(QUERY(SORT(GOOGLEFINANCE(B745,""price"",TODAY()-365,TODAY()),1,0),""select Col2 limit 200""))"),271.25385000000006)</f>
        <v>271.25385</v>
      </c>
      <c r="O745" s="20" t="str">
        <f t="shared" si="2"/>
        <v>Avoid</v>
      </c>
      <c r="P745" s="21" t="str">
        <f t="shared" si="3"/>
        <v>200 DMA</v>
      </c>
      <c r="Q745" s="21" t="str">
        <f t="shared" si="4"/>
        <v/>
      </c>
      <c r="R745" s="22">
        <f>IFERROR(__xludf.DUMMYFUNCTION("GOOGLEFINANCE(B745, ""pe"")
"),14.38)</f>
        <v>14.38</v>
      </c>
    </row>
    <row r="746">
      <c r="A746" s="9" t="s">
        <v>758</v>
      </c>
      <c r="B746" s="11" t="str">
        <f t="shared" si="1"/>
        <v>NSE:ALLCARGO</v>
      </c>
      <c r="C746" s="12">
        <f>IFERROR(__xludf.DUMMYFUNCTION("GOOGLEFINANCE(B746,""marketcap"")/10000000"),3347.3563081)</f>
        <v>3347.356308</v>
      </c>
      <c r="D746" s="13">
        <f>IFERROR(__xludf.DUMMYFUNCTION("GOOGLEFINANCE(B746,""price"")"),34.08)</f>
        <v>34.08</v>
      </c>
      <c r="E746" s="14">
        <f>IFERROR(__xludf.DUMMYFUNCTION("GOOGLEFINANCE(B746,""Volume"")"),1499129.0)</f>
        <v>1499129</v>
      </c>
      <c r="F746" s="14">
        <f t="array" ref="F746">F745</f>
        <v>14</v>
      </c>
      <c r="G746" s="15" t="str">
        <f>IFERROR(__xludf.DUMMYFUNCTION("IF(E746&gt;AVERAGE(INDEX(GOOGLEFINANCE(B746,""volume"",WORKDAY(TODAY(),-$F$1),TODAY()),,2)),""Breakout"","""")"),"")</f>
        <v/>
      </c>
      <c r="H746" s="16">
        <f>IFERROR(__xludf.DUMMYFUNCTION("GOOGLEFINANCE(B746,""price"")"),34.08)</f>
        <v>34.08</v>
      </c>
      <c r="I746" s="17">
        <f>IFERROR(__xludf.DUMMYFUNCTION("AVERAGE(QUERY(SORT(GOOGLEFINANCE(B746,""price"",TODAY()-365,TODAY()),1,0),""select Col2 limit 10""))"),35.834)</f>
        <v>35.834</v>
      </c>
      <c r="J746" s="17">
        <f>IFERROR(__xludf.DUMMYFUNCTION("AVERAGE(QUERY(SORT(GOOGLEFINANCE(B746,""price"",TODAY()-365,TODAY()),1,0),""select Col2 limit 30""))"),35.018)</f>
        <v>35.018</v>
      </c>
      <c r="K746" s="18">
        <f>IFERROR(__xludf.DUMMYFUNCTION("AVERAGE(QUERY(SORT(GOOGLEFINANCE(B746,""price"",TODAY()-365,TODAY()),1,0),""select Col2 limit 60""))"),33.33633333333333)</f>
        <v>33.33633333</v>
      </c>
      <c r="L746" s="17">
        <f>IFERROR(__xludf.DUMMYFUNCTION("AVERAGE(QUERY(SORT(GOOGLEFINANCE(B746,""price"",TODAY()-365,TODAY()),1,0),""select Col2 limit 90""))"),32.10133333333333)</f>
        <v>32.10133333</v>
      </c>
      <c r="M746" s="17">
        <f>IFERROR(__xludf.DUMMYFUNCTION("AVERAGE(QUERY(SORT(GOOGLEFINANCE(B746,""price"",TODAY()-365,TODAY()),1,0),""select Col2 limit 120""))"),32.83841666666667)</f>
        <v>32.83841667</v>
      </c>
      <c r="N746" s="19">
        <f>IFERROR(__xludf.DUMMYFUNCTION("AVERAGE(QUERY(SORT(GOOGLEFINANCE(B746,""price"",TODAY()-365,TODAY()),1,0),""select Col2 limit 200""))"),40.88409999999999)</f>
        <v>40.8841</v>
      </c>
      <c r="O746" s="20" t="str">
        <f t="shared" si="2"/>
        <v>Avoid</v>
      </c>
      <c r="P746" s="21" t="str">
        <f t="shared" si="3"/>
        <v/>
      </c>
      <c r="Q746" s="21" t="str">
        <f t="shared" si="4"/>
        <v/>
      </c>
      <c r="R746" s="22">
        <f>IFERROR(__xludf.DUMMYFUNCTION("GOOGLEFINANCE(B746, ""pe"")
"),99.06)</f>
        <v>99.06</v>
      </c>
    </row>
    <row r="747">
      <c r="A747" s="9" t="s">
        <v>759</v>
      </c>
      <c r="B747" s="11" t="str">
        <f t="shared" si="1"/>
        <v>NSE:TIIL</v>
      </c>
      <c r="C747" s="12">
        <f>IFERROR(__xludf.DUMMYFUNCTION("GOOGLEFINANCE(B747,""marketcap"")/10000000"),7497.6647036)</f>
        <v>7497.664704</v>
      </c>
      <c r="D747" s="13">
        <f>IFERROR(__xludf.DUMMYFUNCTION("GOOGLEFINANCE(B747,""price"")"),3306.8)</f>
        <v>3306.8</v>
      </c>
      <c r="E747" s="14">
        <f>IFERROR(__xludf.DUMMYFUNCTION("GOOGLEFINANCE(B747,""Volume"")"),10373.0)</f>
        <v>10373</v>
      </c>
      <c r="F747" s="14">
        <f t="array" ref="F747">F746</f>
        <v>14</v>
      </c>
      <c r="G747" s="15" t="str">
        <f>IFERROR(__xludf.DUMMYFUNCTION("IF(E747&gt;AVERAGE(INDEX(GOOGLEFINANCE(B747,""volume"",WORKDAY(TODAY(),-$F$1),TODAY()),,2)),""Breakout"","""")"),"")</f>
        <v/>
      </c>
      <c r="H747" s="16">
        <f>IFERROR(__xludf.DUMMYFUNCTION("GOOGLEFINANCE(B747,""price"")"),3306.8)</f>
        <v>3306.8</v>
      </c>
      <c r="I747" s="17">
        <f>IFERROR(__xludf.DUMMYFUNCTION("AVERAGE(QUERY(SORT(GOOGLEFINANCE(B747,""price"",TODAY()-365,TODAY()),1,0),""select Col2 limit 10""))"),3209.58)</f>
        <v>3209.58</v>
      </c>
      <c r="J747" s="17">
        <f>IFERROR(__xludf.DUMMYFUNCTION("AVERAGE(QUERY(SORT(GOOGLEFINANCE(B747,""price"",TODAY()-365,TODAY()),1,0),""select Col2 limit 30""))"),3127.8833333333337)</f>
        <v>3127.883333</v>
      </c>
      <c r="K747" s="18">
        <f>IFERROR(__xludf.DUMMYFUNCTION("AVERAGE(QUERY(SORT(GOOGLEFINANCE(B747,""price"",TODAY()-365,TODAY()),1,0),""select Col2 limit 60""))"),3004.561666666668)</f>
        <v>3004.561667</v>
      </c>
      <c r="L747" s="17">
        <f>IFERROR(__xludf.DUMMYFUNCTION("AVERAGE(QUERY(SORT(GOOGLEFINANCE(B747,""price"",TODAY()-365,TODAY()),1,0),""select Col2 limit 90""))"),2836.3055555555566)</f>
        <v>2836.305556</v>
      </c>
      <c r="M747" s="17">
        <f>IFERROR(__xludf.DUMMYFUNCTION("AVERAGE(QUERY(SORT(GOOGLEFINANCE(B747,""price"",TODAY()-365,TODAY()),1,0),""select Col2 limit 120""))"),2766.1133333333337)</f>
        <v>2766.113333</v>
      </c>
      <c r="N747" s="19">
        <f>IFERROR(__xludf.DUMMYFUNCTION("AVERAGE(QUERY(SORT(GOOGLEFINANCE(B747,""price"",TODAY()-365,TODAY()),1,0),""select Col2 limit 200""))"),2800.709750000001)</f>
        <v>2800.70975</v>
      </c>
      <c r="O747" s="20" t="str">
        <f t="shared" si="2"/>
        <v>Avoid</v>
      </c>
      <c r="P747" s="21" t="str">
        <f t="shared" si="3"/>
        <v/>
      </c>
      <c r="Q747" s="21" t="str">
        <f t="shared" si="4"/>
        <v/>
      </c>
      <c r="R747" s="22">
        <f>IFERROR(__xludf.DUMMYFUNCTION("GOOGLEFINANCE(B747, ""pe"")
"),29.45)</f>
        <v>29.45</v>
      </c>
    </row>
    <row r="748">
      <c r="A748" s="9" t="s">
        <v>760</v>
      </c>
      <c r="B748" s="11" t="str">
        <f t="shared" si="1"/>
        <v>NSE:BORORENEW</v>
      </c>
      <c r="C748" s="12">
        <f>IFERROR(__xludf.DUMMYFUNCTION("GOOGLEFINANCE(B748,""marketcap"")/10000000"),8229.17961)</f>
        <v>8229.17961</v>
      </c>
      <c r="D748" s="13">
        <f>IFERROR(__xludf.DUMMYFUNCTION("GOOGLEFINANCE(B748,""price"")"),619.55)</f>
        <v>619.55</v>
      </c>
      <c r="E748" s="14">
        <f>IFERROR(__xludf.DUMMYFUNCTION("GOOGLEFINANCE(B748,""Volume"")"),334903.0)</f>
        <v>334903</v>
      </c>
      <c r="F748" s="14">
        <f t="array" ref="F748">F747</f>
        <v>14</v>
      </c>
      <c r="G748" s="15" t="str">
        <f>IFERROR(__xludf.DUMMYFUNCTION("IF(E748&gt;AVERAGE(INDEX(GOOGLEFINANCE(B748,""volume"",WORKDAY(TODAY(),-$F$1),TODAY()),,2)),""Breakout"","""")"),"")</f>
        <v/>
      </c>
      <c r="H748" s="16">
        <f>IFERROR(__xludf.DUMMYFUNCTION("GOOGLEFINANCE(B748,""price"")"),619.55)</f>
        <v>619.55</v>
      </c>
      <c r="I748" s="17">
        <f>IFERROR(__xludf.DUMMYFUNCTION("AVERAGE(QUERY(SORT(GOOGLEFINANCE(B748,""price"",TODAY()-365,TODAY()),1,0),""select Col2 limit 10""))"),598.4449999999999)</f>
        <v>598.445</v>
      </c>
      <c r="J748" s="17">
        <f>IFERROR(__xludf.DUMMYFUNCTION("AVERAGE(QUERY(SORT(GOOGLEFINANCE(B748,""price"",TODAY()-365,TODAY()),1,0),""select Col2 limit 30""))"),550.1049999999999)</f>
        <v>550.105</v>
      </c>
      <c r="K748" s="18">
        <f>IFERROR(__xludf.DUMMYFUNCTION("AVERAGE(QUERY(SORT(GOOGLEFINANCE(B748,""price"",TODAY()-365,TODAY()),1,0),""select Col2 limit 60""))"),546.5074999999999)</f>
        <v>546.5075</v>
      </c>
      <c r="L748" s="17">
        <f>IFERROR(__xludf.DUMMYFUNCTION("AVERAGE(QUERY(SORT(GOOGLEFINANCE(B748,""price"",TODAY()-365,TODAY()),1,0),""select Col2 limit 90""))"),531.5444444444444)</f>
        <v>531.5444444</v>
      </c>
      <c r="M748" s="17">
        <f>IFERROR(__xludf.DUMMYFUNCTION("AVERAGE(QUERY(SORT(GOOGLEFINANCE(B748,""price"",TODAY()-365,TODAY()),1,0),""select Col2 limit 120""))"),529.5308333333334)</f>
        <v>529.5308333</v>
      </c>
      <c r="N748" s="19">
        <f>IFERROR(__xludf.DUMMYFUNCTION("AVERAGE(QUERY(SORT(GOOGLEFINANCE(B748,""price"",TODAY()-365,TODAY()),1,0),""select Col2 limit 200""))"),519.8167500000001)</f>
        <v>519.81675</v>
      </c>
      <c r="O748" s="20" t="str">
        <f t="shared" si="2"/>
        <v>Avoid</v>
      </c>
      <c r="P748" s="21" t="str">
        <f t="shared" si="3"/>
        <v/>
      </c>
      <c r="Q748" s="21" t="str">
        <f t="shared" si="4"/>
        <v/>
      </c>
      <c r="R748" s="22">
        <f>IFERROR(__xludf.DUMMYFUNCTION("GOOGLEFINANCE(B748, ""pe"")
"),39.51)</f>
        <v>39.51</v>
      </c>
    </row>
    <row r="749">
      <c r="A749" s="9" t="s">
        <v>761</v>
      </c>
      <c r="B749" s="11" t="str">
        <f t="shared" si="1"/>
        <v>NSE:ASHOKA</v>
      </c>
      <c r="C749" s="12">
        <f>IFERROR(__xludf.DUMMYFUNCTION("GOOGLEFINANCE(B749,""marketcap"")/10000000"),5581.338868)</f>
        <v>5581.338868</v>
      </c>
      <c r="D749" s="13">
        <f>IFERROR(__xludf.DUMMYFUNCTION("GOOGLEFINANCE(B749,""price"")"),198.73)</f>
        <v>198.73</v>
      </c>
      <c r="E749" s="14">
        <f>IFERROR(__xludf.DUMMYFUNCTION("GOOGLEFINANCE(B749,""Volume"")"),305789.0)</f>
        <v>305789</v>
      </c>
      <c r="F749" s="14">
        <f t="array" ref="F749">F748</f>
        <v>14</v>
      </c>
      <c r="G749" s="15" t="str">
        <f>IFERROR(__xludf.DUMMYFUNCTION("IF(E749&gt;AVERAGE(INDEX(GOOGLEFINANCE(B749,""volume"",WORKDAY(TODAY(),-$F$1),TODAY()),,2)),""Breakout"","""")"),"")</f>
        <v/>
      </c>
      <c r="H749" s="16">
        <f>IFERROR(__xludf.DUMMYFUNCTION("GOOGLEFINANCE(B749,""price"")"),198.73)</f>
        <v>198.73</v>
      </c>
      <c r="I749" s="17">
        <f>IFERROR(__xludf.DUMMYFUNCTION("AVERAGE(QUERY(SORT(GOOGLEFINANCE(B749,""price"",TODAY()-365,TODAY()),1,0),""select Col2 limit 10""))"),204.697)</f>
        <v>204.697</v>
      </c>
      <c r="J749" s="17">
        <f>IFERROR(__xludf.DUMMYFUNCTION("AVERAGE(QUERY(SORT(GOOGLEFINANCE(B749,""price"",TODAY()-365,TODAY()),1,0),""select Col2 limit 30""))"),206.73866666666666)</f>
        <v>206.7386667</v>
      </c>
      <c r="K749" s="18">
        <f>IFERROR(__xludf.DUMMYFUNCTION("AVERAGE(QUERY(SORT(GOOGLEFINANCE(B749,""price"",TODAY()-365,TODAY()),1,0),""select Col2 limit 60""))"),205.64416666666668)</f>
        <v>205.6441667</v>
      </c>
      <c r="L749" s="17">
        <f>IFERROR(__xludf.DUMMYFUNCTION("AVERAGE(QUERY(SORT(GOOGLEFINANCE(B749,""price"",TODAY()-365,TODAY()),1,0),""select Col2 limit 90""))"),200.7203333333334)</f>
        <v>200.7203333</v>
      </c>
      <c r="M749" s="17">
        <f>IFERROR(__xludf.DUMMYFUNCTION("AVERAGE(QUERY(SORT(GOOGLEFINANCE(B749,""price"",TODAY()-365,TODAY()),1,0),""select Col2 limit 120""))"),202.2639166666667)</f>
        <v>202.2639167</v>
      </c>
      <c r="N749" s="19">
        <f>IFERROR(__xludf.DUMMYFUNCTION("AVERAGE(QUERY(SORT(GOOGLEFINANCE(B749,""price"",TODAY()-365,TODAY()),1,0),""select Col2 limit 200""))"),225.83614999999995)</f>
        <v>225.83615</v>
      </c>
      <c r="O749" s="20" t="str">
        <f t="shared" si="2"/>
        <v>Avoid</v>
      </c>
      <c r="P749" s="21" t="str">
        <f t="shared" si="3"/>
        <v/>
      </c>
      <c r="Q749" s="21" t="str">
        <f t="shared" si="4"/>
        <v/>
      </c>
      <c r="R749" s="22">
        <f>IFERROR(__xludf.DUMMYFUNCTION("GOOGLEFINANCE(B749, ""pe"")
"),3.29)</f>
        <v>3.29</v>
      </c>
    </row>
    <row r="750">
      <c r="A750" s="9" t="s">
        <v>762</v>
      </c>
      <c r="B750" s="11" t="str">
        <f t="shared" si="1"/>
        <v>NSE:ROLEXRINGS</v>
      </c>
      <c r="C750" s="12">
        <f>IFERROR(__xludf.DUMMYFUNCTION("GOOGLEFINANCE(B750,""marketcap"")/10000000"),3972.5227967)</f>
        <v>3972.522797</v>
      </c>
      <c r="D750" s="13">
        <f>IFERROR(__xludf.DUMMYFUNCTION("GOOGLEFINANCE(B750,""price"")"),1460.0)</f>
        <v>1460</v>
      </c>
      <c r="E750" s="14">
        <f>IFERROR(__xludf.DUMMYFUNCTION("GOOGLEFINANCE(B750,""Volume"")"),4894.0)</f>
        <v>4894</v>
      </c>
      <c r="F750" s="14">
        <f t="array" ref="F750">F749</f>
        <v>14</v>
      </c>
      <c r="G750" s="15" t="str">
        <f>IFERROR(__xludf.DUMMYFUNCTION("IF(E750&gt;AVERAGE(INDEX(GOOGLEFINANCE(B750,""volume"",WORKDAY(TODAY(),-$F$1),TODAY()),,2)),""Breakout"","""")"),"")</f>
        <v/>
      </c>
      <c r="H750" s="16">
        <f>IFERROR(__xludf.DUMMYFUNCTION("GOOGLEFINANCE(B750,""price"")"),1460.0)</f>
        <v>1460</v>
      </c>
      <c r="I750" s="17">
        <f>IFERROR(__xludf.DUMMYFUNCTION("AVERAGE(QUERY(SORT(GOOGLEFINANCE(B750,""price"",TODAY()-365,TODAY()),1,0),""select Col2 limit 10""))"),1504.37)</f>
        <v>1504.37</v>
      </c>
      <c r="J750" s="17">
        <f>IFERROR(__xludf.DUMMYFUNCTION("AVERAGE(QUERY(SORT(GOOGLEFINANCE(B750,""price"",TODAY()-365,TODAY()),1,0),""select Col2 limit 30""))"),1527.6233333333334)</f>
        <v>1527.623333</v>
      </c>
      <c r="K750" s="18">
        <f>IFERROR(__xludf.DUMMYFUNCTION("AVERAGE(QUERY(SORT(GOOGLEFINANCE(B750,""price"",TODAY()-365,TODAY()),1,0),""select Col2 limit 60""))"),1505.1883333333328)</f>
        <v>1505.188333</v>
      </c>
      <c r="L750" s="17">
        <f>IFERROR(__xludf.DUMMYFUNCTION("AVERAGE(QUERY(SORT(GOOGLEFINANCE(B750,""price"",TODAY()-365,TODAY()),1,0),""select Col2 limit 90""))"),1445.2422222222222)</f>
        <v>1445.242222</v>
      </c>
      <c r="M750" s="17">
        <f>IFERROR(__xludf.DUMMYFUNCTION("AVERAGE(QUERY(SORT(GOOGLEFINANCE(B750,""price"",TODAY()-365,TODAY()),1,0),""select Col2 limit 120""))"),1468.3124999999998)</f>
        <v>1468.3125</v>
      </c>
      <c r="N750" s="19">
        <f>IFERROR(__xludf.DUMMYFUNCTION("AVERAGE(QUERY(SORT(GOOGLEFINANCE(B750,""price"",TODAY()-365,TODAY()),1,0),""select Col2 limit 200""))"),1692.5134999999998)</f>
        <v>1692.5135</v>
      </c>
      <c r="O750" s="20" t="str">
        <f t="shared" si="2"/>
        <v>Avoid</v>
      </c>
      <c r="P750" s="21" t="str">
        <f t="shared" si="3"/>
        <v>120 DMA</v>
      </c>
      <c r="Q750" s="21" t="str">
        <f t="shared" si="4"/>
        <v/>
      </c>
      <c r="R750" s="22">
        <f>IFERROR(__xludf.DUMMYFUNCTION("GOOGLEFINANCE(B750, ""pe"")
"),22.83)</f>
        <v>22.83</v>
      </c>
    </row>
    <row r="751">
      <c r="A751" s="9" t="s">
        <v>763</v>
      </c>
      <c r="B751" s="11" t="str">
        <f t="shared" si="1"/>
        <v>NSE:GAEL</v>
      </c>
      <c r="C751" s="12">
        <f>IFERROR(__xludf.DUMMYFUNCTION("GOOGLEFINANCE(B751,""marketcap"")/10000000"),4860.9911727)</f>
        <v>4860.991173</v>
      </c>
      <c r="D751" s="13">
        <f>IFERROR(__xludf.DUMMYFUNCTION("GOOGLEFINANCE(B751,""price"")"),105.99)</f>
        <v>105.99</v>
      </c>
      <c r="E751" s="14">
        <f>IFERROR(__xludf.DUMMYFUNCTION("GOOGLEFINANCE(B751,""Volume"")"),261555.0)</f>
        <v>261555</v>
      </c>
      <c r="F751" s="14">
        <f t="array" ref="F751">F750</f>
        <v>14</v>
      </c>
      <c r="G751" s="15" t="str">
        <f>IFERROR(__xludf.DUMMYFUNCTION("IF(E751&gt;AVERAGE(INDEX(GOOGLEFINANCE(B751,""volume"",WORKDAY(TODAY(),-$F$1),TODAY()),,2)),""Breakout"","""")"),"")</f>
        <v/>
      </c>
      <c r="H751" s="16">
        <f>IFERROR(__xludf.DUMMYFUNCTION("GOOGLEFINANCE(B751,""price"")"),105.99)</f>
        <v>105.99</v>
      </c>
      <c r="I751" s="17">
        <f>IFERROR(__xludf.DUMMYFUNCTION("AVERAGE(QUERY(SORT(GOOGLEFINANCE(B751,""price"",TODAY()-365,TODAY()),1,0),""select Col2 limit 10""))"),110.713)</f>
        <v>110.713</v>
      </c>
      <c r="J751" s="17">
        <f>IFERROR(__xludf.DUMMYFUNCTION("AVERAGE(QUERY(SORT(GOOGLEFINANCE(B751,""price"",TODAY()-365,TODAY()),1,0),""select Col2 limit 30""))"),111.699)</f>
        <v>111.699</v>
      </c>
      <c r="K751" s="18">
        <f>IFERROR(__xludf.DUMMYFUNCTION("AVERAGE(QUERY(SORT(GOOGLEFINANCE(B751,""price"",TODAY()-365,TODAY()),1,0),""select Col2 limit 60""))"),113.92566666666667)</f>
        <v>113.9256667</v>
      </c>
      <c r="L751" s="17">
        <f>IFERROR(__xludf.DUMMYFUNCTION("AVERAGE(QUERY(SORT(GOOGLEFINANCE(B751,""price"",TODAY()-365,TODAY()),1,0),""select Col2 limit 90""))"),114.11022222222225)</f>
        <v>114.1102222</v>
      </c>
      <c r="M751" s="17">
        <f>IFERROR(__xludf.DUMMYFUNCTION("AVERAGE(QUERY(SORT(GOOGLEFINANCE(B751,""price"",TODAY()-365,TODAY()),1,0),""select Col2 limit 120""))"),112.96316666666671)</f>
        <v>112.9631667</v>
      </c>
      <c r="N751" s="19">
        <f>IFERROR(__xludf.DUMMYFUNCTION("AVERAGE(QUERY(SORT(GOOGLEFINANCE(B751,""price"",TODAY()-365,TODAY()),1,0),""select Col2 limit 200""))"),118.4193000000001)</f>
        <v>118.4193</v>
      </c>
      <c r="O751" s="20" t="str">
        <f t="shared" si="2"/>
        <v>Avoid</v>
      </c>
      <c r="P751" s="21" t="str">
        <f t="shared" si="3"/>
        <v/>
      </c>
      <c r="Q751" s="21" t="str">
        <f t="shared" si="4"/>
        <v/>
      </c>
      <c r="R751" s="22">
        <f>IFERROR(__xludf.DUMMYFUNCTION("GOOGLEFINANCE(B751, ""pe"")
"),19.47)</f>
        <v>19.47</v>
      </c>
    </row>
    <row r="752">
      <c r="A752" s="9" t="s">
        <v>764</v>
      </c>
      <c r="B752" s="11" t="str">
        <f t="shared" si="1"/>
        <v>NSE:JKIL</v>
      </c>
      <c r="C752" s="12">
        <f>IFERROR(__xludf.DUMMYFUNCTION("GOOGLEFINANCE(B752,""marketcap"")/10000000"),5368.0896993)</f>
        <v>5368.089699</v>
      </c>
      <c r="D752" s="13">
        <f>IFERROR(__xludf.DUMMYFUNCTION("GOOGLEFINANCE(B752,""price"")"),709.6)</f>
        <v>709.6</v>
      </c>
      <c r="E752" s="14">
        <f>IFERROR(__xludf.DUMMYFUNCTION("GOOGLEFINANCE(B752,""Volume"")"),66451.0)</f>
        <v>66451</v>
      </c>
      <c r="F752" s="14">
        <f t="array" ref="F752">F751</f>
        <v>14</v>
      </c>
      <c r="G752" s="15" t="str">
        <f>IFERROR(__xludf.DUMMYFUNCTION("IF(E752&gt;AVERAGE(INDEX(GOOGLEFINANCE(B752,""volume"",WORKDAY(TODAY(),-$F$1),TODAY()),,2)),""Breakout"","""")"),"")</f>
        <v/>
      </c>
      <c r="H752" s="16">
        <f>IFERROR(__xludf.DUMMYFUNCTION("GOOGLEFINANCE(B752,""price"")"),709.6)</f>
        <v>709.6</v>
      </c>
      <c r="I752" s="17">
        <f>IFERROR(__xludf.DUMMYFUNCTION("AVERAGE(QUERY(SORT(GOOGLEFINANCE(B752,""price"",TODAY()-365,TODAY()),1,0),""select Col2 limit 10""))"),732.92)</f>
        <v>732.92</v>
      </c>
      <c r="J752" s="17">
        <f>IFERROR(__xludf.DUMMYFUNCTION("AVERAGE(QUERY(SORT(GOOGLEFINANCE(B752,""price"",TODAY()-365,TODAY()),1,0),""select Col2 limit 30""))"),723.645)</f>
        <v>723.645</v>
      </c>
      <c r="K752" s="18">
        <f>IFERROR(__xludf.DUMMYFUNCTION("AVERAGE(QUERY(SORT(GOOGLEFINANCE(B752,""price"",TODAY()-365,TODAY()),1,0),""select Col2 limit 60""))"),713.8933333333331)</f>
        <v>713.8933333</v>
      </c>
      <c r="L752" s="17">
        <f>IFERROR(__xludf.DUMMYFUNCTION("AVERAGE(QUERY(SORT(GOOGLEFINANCE(B752,""price"",TODAY()-365,TODAY()),1,0),""select Col2 limit 90""))"),700.6949999999998)</f>
        <v>700.695</v>
      </c>
      <c r="M752" s="17">
        <f>IFERROR(__xludf.DUMMYFUNCTION("AVERAGE(QUERY(SORT(GOOGLEFINANCE(B752,""price"",TODAY()-365,TODAY()),1,0),""select Col2 limit 120""))"),698.589583333333)</f>
        <v>698.5895833</v>
      </c>
      <c r="N752" s="19">
        <f>IFERROR(__xludf.DUMMYFUNCTION("AVERAGE(QUERY(SORT(GOOGLEFINANCE(B752,""price"",TODAY()-365,TODAY()),1,0),""select Col2 limit 200""))"),715.7357499999999)</f>
        <v>715.73575</v>
      </c>
      <c r="O752" s="20" t="str">
        <f t="shared" si="2"/>
        <v>Avoid</v>
      </c>
      <c r="P752" s="21" t="str">
        <f t="shared" si="3"/>
        <v>60 DMA</v>
      </c>
      <c r="Q752" s="21" t="str">
        <f t="shared" si="4"/>
        <v/>
      </c>
      <c r="R752" s="22">
        <f>IFERROR(__xludf.DUMMYFUNCTION("GOOGLEFINANCE(B752, ""pe"")
"),13.73)</f>
        <v>13.73</v>
      </c>
    </row>
    <row r="753">
      <c r="A753" s="9" t="s">
        <v>765</v>
      </c>
      <c r="B753" s="11" t="str">
        <f t="shared" si="1"/>
        <v>NSE:SHAREINDIA</v>
      </c>
      <c r="C753" s="12">
        <f>IFERROR(__xludf.DUMMYFUNCTION("GOOGLEFINANCE(B753,""marketcap"")/10000000"),3808.2201497)</f>
        <v>3808.22015</v>
      </c>
      <c r="D753" s="13">
        <f>IFERROR(__xludf.DUMMYFUNCTION("GOOGLEFINANCE(B753,""price"")"),173.9)</f>
        <v>173.9</v>
      </c>
      <c r="E753" s="14">
        <f>IFERROR(__xludf.DUMMYFUNCTION("GOOGLEFINANCE(B753,""Volume"")"),109374.0)</f>
        <v>109374</v>
      </c>
      <c r="F753" s="14">
        <f t="array" ref="F753">F752</f>
        <v>14</v>
      </c>
      <c r="G753" s="15" t="str">
        <f>IFERROR(__xludf.DUMMYFUNCTION("IF(E753&gt;AVERAGE(INDEX(GOOGLEFINANCE(B753,""volume"",WORKDAY(TODAY(),-$F$1),TODAY()),,2)),""Breakout"","""")"),"")</f>
        <v/>
      </c>
      <c r="H753" s="16">
        <f>IFERROR(__xludf.DUMMYFUNCTION("GOOGLEFINANCE(B753,""price"")"),173.9)</f>
        <v>173.9</v>
      </c>
      <c r="I753" s="17">
        <f>IFERROR(__xludf.DUMMYFUNCTION("AVERAGE(QUERY(SORT(GOOGLEFINANCE(B753,""price"",TODAY()-365,TODAY()),1,0),""select Col2 limit 10""))"),176.215)</f>
        <v>176.215</v>
      </c>
      <c r="J753" s="17">
        <f>IFERROR(__xludf.DUMMYFUNCTION("AVERAGE(QUERY(SORT(GOOGLEFINANCE(B753,""price"",TODAY()-365,TODAY()),1,0),""select Col2 limit 30""))"),177.65566666666663)</f>
        <v>177.6556667</v>
      </c>
      <c r="K753" s="18">
        <f>IFERROR(__xludf.DUMMYFUNCTION("AVERAGE(QUERY(SORT(GOOGLEFINANCE(B753,""price"",TODAY()-365,TODAY()),1,0),""select Col2 limit 60""))"),174.74683333333329)</f>
        <v>174.7468333</v>
      </c>
      <c r="L753" s="17">
        <f>IFERROR(__xludf.DUMMYFUNCTION("AVERAGE(QUERY(SORT(GOOGLEFINANCE(B753,""price"",TODAY()-365,TODAY()),1,0),""select Col2 limit 90""))"),170.84133333333324)</f>
        <v>170.8413333</v>
      </c>
      <c r="M753" s="17">
        <f>IFERROR(__xludf.DUMMYFUNCTION("AVERAGE(QUERY(SORT(GOOGLEFINANCE(B753,""price"",TODAY()-365,TODAY()),1,0),""select Col2 limit 120""))"),179.55374999999987)</f>
        <v>179.55375</v>
      </c>
      <c r="N753" s="19">
        <f>IFERROR(__xludf.DUMMYFUNCTION("AVERAGE(QUERY(SORT(GOOGLEFINANCE(B753,""price"",TODAY()-365,TODAY()),1,0),""select Col2 limit 200""))"),224.19299999999987)</f>
        <v>224.193</v>
      </c>
      <c r="O753" s="20" t="str">
        <f t="shared" si="2"/>
        <v>Avoid</v>
      </c>
      <c r="P753" s="21" t="str">
        <f t="shared" si="3"/>
        <v>60 DMA</v>
      </c>
      <c r="Q753" s="21" t="str">
        <f t="shared" si="4"/>
        <v/>
      </c>
      <c r="R753" s="22">
        <f>IFERROR(__xludf.DUMMYFUNCTION("GOOGLEFINANCE(B753, ""pe"")
"),11.68)</f>
        <v>11.68</v>
      </c>
    </row>
    <row r="754">
      <c r="A754" s="9" t="s">
        <v>765</v>
      </c>
      <c r="B754" s="11" t="str">
        <f t="shared" si="1"/>
        <v>NSE:SHAREINDIA</v>
      </c>
      <c r="C754" s="12">
        <f>IFERROR(__xludf.DUMMYFUNCTION("GOOGLEFINANCE(B754,""marketcap"")/10000000"),3808.2201497)</f>
        <v>3808.22015</v>
      </c>
      <c r="D754" s="13">
        <f>IFERROR(__xludf.DUMMYFUNCTION("GOOGLEFINANCE(B754,""price"")"),173.9)</f>
        <v>173.9</v>
      </c>
      <c r="E754" s="14">
        <f>IFERROR(__xludf.DUMMYFUNCTION("GOOGLEFINANCE(B754,""Volume"")"),109374.0)</f>
        <v>109374</v>
      </c>
      <c r="F754" s="14">
        <f t="array" ref="F754">F753</f>
        <v>14</v>
      </c>
      <c r="G754" s="15" t="str">
        <f>IFERROR(__xludf.DUMMYFUNCTION("IF(E754&gt;AVERAGE(INDEX(GOOGLEFINANCE(B754,""volume"",WORKDAY(TODAY(),-$F$1),TODAY()),,2)),""Breakout"","""")"),"")</f>
        <v/>
      </c>
      <c r="H754" s="16">
        <f>IFERROR(__xludf.DUMMYFUNCTION("GOOGLEFINANCE(B754,""price"")"),173.9)</f>
        <v>173.9</v>
      </c>
      <c r="I754" s="17">
        <f>IFERROR(__xludf.DUMMYFUNCTION("AVERAGE(QUERY(SORT(GOOGLEFINANCE(B754,""price"",TODAY()-365,TODAY()),1,0),""select Col2 limit 10""))"),176.215)</f>
        <v>176.215</v>
      </c>
      <c r="J754" s="17">
        <f>IFERROR(__xludf.DUMMYFUNCTION("AVERAGE(QUERY(SORT(GOOGLEFINANCE(B754,""price"",TODAY()-365,TODAY()),1,0),""select Col2 limit 30""))"),177.65566666666663)</f>
        <v>177.6556667</v>
      </c>
      <c r="K754" s="18">
        <f>IFERROR(__xludf.DUMMYFUNCTION("AVERAGE(QUERY(SORT(GOOGLEFINANCE(B754,""price"",TODAY()-365,TODAY()),1,0),""select Col2 limit 60""))"),174.74683333333329)</f>
        <v>174.7468333</v>
      </c>
      <c r="L754" s="17">
        <f>IFERROR(__xludf.DUMMYFUNCTION("AVERAGE(QUERY(SORT(GOOGLEFINANCE(B754,""price"",TODAY()-365,TODAY()),1,0),""select Col2 limit 90""))"),170.84133333333324)</f>
        <v>170.8413333</v>
      </c>
      <c r="M754" s="17">
        <f>IFERROR(__xludf.DUMMYFUNCTION("AVERAGE(QUERY(SORT(GOOGLEFINANCE(B754,""price"",TODAY()-365,TODAY()),1,0),""select Col2 limit 120""))"),179.55374999999987)</f>
        <v>179.55375</v>
      </c>
      <c r="N754" s="19">
        <f>IFERROR(__xludf.DUMMYFUNCTION("AVERAGE(QUERY(SORT(GOOGLEFINANCE(B754,""price"",TODAY()-365,TODAY()),1,0),""select Col2 limit 200""))"),224.19299999999987)</f>
        <v>224.193</v>
      </c>
      <c r="O754" s="20" t="str">
        <f t="shared" si="2"/>
        <v>Avoid</v>
      </c>
      <c r="P754" s="21" t="str">
        <f t="shared" si="3"/>
        <v>60 DMA</v>
      </c>
      <c r="Q754" s="21" t="str">
        <f t="shared" si="4"/>
        <v/>
      </c>
      <c r="R754" s="22">
        <f>IFERROR(__xludf.DUMMYFUNCTION("GOOGLEFINANCE(B754, ""pe"")
"),11.68)</f>
        <v>11.68</v>
      </c>
    </row>
    <row r="755">
      <c r="A755" s="9" t="s">
        <v>766</v>
      </c>
      <c r="B755" s="11" t="str">
        <f t="shared" si="1"/>
        <v>NSE:SUDARSCHEM</v>
      </c>
      <c r="C755" s="12">
        <f>IFERROR(__xludf.DUMMYFUNCTION("GOOGLEFINANCE(B755,""marketcap"")/10000000"),11132.991559)</f>
        <v>11132.99156</v>
      </c>
      <c r="D755" s="13">
        <f>IFERROR(__xludf.DUMMYFUNCTION("GOOGLEFINANCE(B755,""price"")"),1435.2)</f>
        <v>1435.2</v>
      </c>
      <c r="E755" s="14">
        <f>IFERROR(__xludf.DUMMYFUNCTION("GOOGLEFINANCE(B755,""Volume"")"),1668418.0)</f>
        <v>1668418</v>
      </c>
      <c r="F755" s="14">
        <f t="array" ref="F755">F754</f>
        <v>14</v>
      </c>
      <c r="G755" s="15" t="str">
        <f>IFERROR(__xludf.DUMMYFUNCTION("IF(E755&gt;AVERAGE(INDEX(GOOGLEFINANCE(B755,""volume"",WORKDAY(TODAY(),-$F$1),TODAY()),,2)),""Breakout"","""")"),"Breakout")</f>
        <v>Breakout</v>
      </c>
      <c r="H755" s="16">
        <f>IFERROR(__xludf.DUMMYFUNCTION("GOOGLEFINANCE(B755,""price"")"),1435.2)</f>
        <v>1435.2</v>
      </c>
      <c r="I755" s="17">
        <f>IFERROR(__xludf.DUMMYFUNCTION("AVERAGE(QUERY(SORT(GOOGLEFINANCE(B755,""price"",TODAY()-365,TODAY()),1,0),""select Col2 limit 10""))"),1255.2500000000002)</f>
        <v>1255.25</v>
      </c>
      <c r="J755" s="17">
        <f>IFERROR(__xludf.DUMMYFUNCTION("AVERAGE(QUERY(SORT(GOOGLEFINANCE(B755,""price"",TODAY()-365,TODAY()),1,0),""select Col2 limit 30""))"),1243.1100000000001)</f>
        <v>1243.11</v>
      </c>
      <c r="K755" s="18">
        <f>IFERROR(__xludf.DUMMYFUNCTION("AVERAGE(QUERY(SORT(GOOGLEFINANCE(B755,""price"",TODAY()-365,TODAY()),1,0),""select Col2 limit 60""))"),1183.3016666666667)</f>
        <v>1183.301667</v>
      </c>
      <c r="L755" s="17">
        <f>IFERROR(__xludf.DUMMYFUNCTION("AVERAGE(QUERY(SORT(GOOGLEFINANCE(B755,""price"",TODAY()-365,TODAY()),1,0),""select Col2 limit 90""))"),1126.507777777778)</f>
        <v>1126.507778</v>
      </c>
      <c r="M755" s="17">
        <f>IFERROR(__xludf.DUMMYFUNCTION("AVERAGE(QUERY(SORT(GOOGLEFINANCE(B755,""price"",TODAY()-365,TODAY()),1,0),""select Col2 limit 120""))"),1080.6437500000002)</f>
        <v>1080.64375</v>
      </c>
      <c r="N755" s="19">
        <f>IFERROR(__xludf.DUMMYFUNCTION("AVERAGE(QUERY(SORT(GOOGLEFINANCE(B755,""price"",TODAY()-365,TODAY()),1,0),""select Col2 limit 200""))"),1073.1325000000006)</f>
        <v>1073.1325</v>
      </c>
      <c r="O755" s="20" t="str">
        <f t="shared" si="2"/>
        <v>Avoid</v>
      </c>
      <c r="P755" s="21" t="str">
        <f t="shared" si="3"/>
        <v/>
      </c>
      <c r="Q755" s="21" t="str">
        <f t="shared" si="4"/>
        <v/>
      </c>
      <c r="R755" s="22">
        <f>IFERROR(__xludf.DUMMYFUNCTION("GOOGLEFINANCE(B755, ""pe"")
"),83.69)</f>
        <v>83.69</v>
      </c>
    </row>
    <row r="756">
      <c r="A756" s="9" t="s">
        <v>767</v>
      </c>
      <c r="B756" s="11" t="str">
        <f t="shared" si="1"/>
        <v>NSE:HEMIPROP</v>
      </c>
      <c r="C756" s="12">
        <f>IFERROR(__xludf.DUMMYFUNCTION("GOOGLEFINANCE(B756,""marketcap"")/10000000"),3682.199913)</f>
        <v>3682.199913</v>
      </c>
      <c r="D756" s="13">
        <f>IFERROR(__xludf.DUMMYFUNCTION("GOOGLEFINANCE(B756,""price"")"),129.16)</f>
        <v>129.16</v>
      </c>
      <c r="E756" s="14">
        <f>IFERROR(__xludf.DUMMYFUNCTION("GOOGLEFINANCE(B756,""Volume"")"),202607.0)</f>
        <v>202607</v>
      </c>
      <c r="F756" s="14">
        <f t="array" ref="F756">F755</f>
        <v>14</v>
      </c>
      <c r="G756" s="15" t="str">
        <f>IFERROR(__xludf.DUMMYFUNCTION("IF(E756&gt;AVERAGE(INDEX(GOOGLEFINANCE(B756,""volume"",WORKDAY(TODAY(),-$F$1),TODAY()),,2)),""Breakout"","""")"),"")</f>
        <v/>
      </c>
      <c r="H756" s="16">
        <f>IFERROR(__xludf.DUMMYFUNCTION("GOOGLEFINANCE(B756,""price"")"),129.16)</f>
        <v>129.16</v>
      </c>
      <c r="I756" s="17">
        <f>IFERROR(__xludf.DUMMYFUNCTION("AVERAGE(QUERY(SORT(GOOGLEFINANCE(B756,""price"",TODAY()-365,TODAY()),1,0),""select Col2 limit 10""))"),134.854)</f>
        <v>134.854</v>
      </c>
      <c r="J756" s="17">
        <f>IFERROR(__xludf.DUMMYFUNCTION("AVERAGE(QUERY(SORT(GOOGLEFINANCE(B756,""price"",TODAY()-365,TODAY()),1,0),""select Col2 limit 30""))"),136.167)</f>
        <v>136.167</v>
      </c>
      <c r="K756" s="18">
        <f>IFERROR(__xludf.DUMMYFUNCTION("AVERAGE(QUERY(SORT(GOOGLEFINANCE(B756,""price"",TODAY()-365,TODAY()),1,0),""select Col2 limit 60""))"),136.8048333333334)</f>
        <v>136.8048333</v>
      </c>
      <c r="L756" s="17">
        <f>IFERROR(__xludf.DUMMYFUNCTION("AVERAGE(QUERY(SORT(GOOGLEFINANCE(B756,""price"",TODAY()-365,TODAY()),1,0),""select Col2 limit 90""))"),133.56622222222222)</f>
        <v>133.5662222</v>
      </c>
      <c r="M756" s="17">
        <f>IFERROR(__xludf.DUMMYFUNCTION("AVERAGE(QUERY(SORT(GOOGLEFINANCE(B756,""price"",TODAY()-365,TODAY()),1,0),""select Col2 limit 120""))"),133.6575)</f>
        <v>133.6575</v>
      </c>
      <c r="N756" s="19">
        <f>IFERROR(__xludf.DUMMYFUNCTION("AVERAGE(QUERY(SORT(GOOGLEFINANCE(B756,""price"",TODAY()-365,TODAY()),1,0),""select Col2 limit 200""))"),148.93570000000003)</f>
        <v>148.9357</v>
      </c>
      <c r="O756" s="20" t="str">
        <f t="shared" si="2"/>
        <v>Avoid</v>
      </c>
      <c r="P756" s="21" t="str">
        <f t="shared" si="3"/>
        <v/>
      </c>
      <c r="Q756" s="21" t="str">
        <f t="shared" si="4"/>
        <v/>
      </c>
      <c r="R756" s="22" t="str">
        <f>IFERROR(__xludf.DUMMYFUNCTION("GOOGLEFINANCE(B756, ""pe"")
"),"#N/A")</f>
        <v>#N/A</v>
      </c>
    </row>
    <row r="757">
      <c r="A757" s="9" t="s">
        <v>768</v>
      </c>
      <c r="B757" s="11" t="str">
        <f t="shared" si="1"/>
        <v>NSE:CYIENTDLM</v>
      </c>
      <c r="C757" s="12">
        <f>IFERROR(__xludf.DUMMYFUNCTION("GOOGLEFINANCE(B757,""marketcap"")/10000000"),3571.3971)</f>
        <v>3571.3971</v>
      </c>
      <c r="D757" s="13">
        <f>IFERROR(__xludf.DUMMYFUNCTION("GOOGLEFINANCE(B757,""price"")"),450.05)</f>
        <v>450.05</v>
      </c>
      <c r="E757" s="14">
        <f>IFERROR(__xludf.DUMMYFUNCTION("GOOGLEFINANCE(B757,""Volume"")"),57693.0)</f>
        <v>57693</v>
      </c>
      <c r="F757" s="14">
        <f t="array" ref="F757">F756</f>
        <v>14</v>
      </c>
      <c r="G757" s="15" t="str">
        <f>IFERROR(__xludf.DUMMYFUNCTION("IF(E757&gt;AVERAGE(INDEX(GOOGLEFINANCE(B757,""volume"",WORKDAY(TODAY(),-$F$1),TODAY()),,2)),""Breakout"","""")"),"")</f>
        <v/>
      </c>
      <c r="H757" s="16">
        <f>IFERROR(__xludf.DUMMYFUNCTION("GOOGLEFINANCE(B757,""price"")"),450.05)</f>
        <v>450.05</v>
      </c>
      <c r="I757" s="17">
        <f>IFERROR(__xludf.DUMMYFUNCTION("AVERAGE(QUERY(SORT(GOOGLEFINANCE(B757,""price"",TODAY()-365,TODAY()),1,0),""select Col2 limit 10""))"),475.9750000000001)</f>
        <v>475.975</v>
      </c>
      <c r="J757" s="17">
        <f>IFERROR(__xludf.DUMMYFUNCTION("AVERAGE(QUERY(SORT(GOOGLEFINANCE(B757,""price"",TODAY()-365,TODAY()),1,0),""select Col2 limit 30""))"),473.45666666666665)</f>
        <v>473.4566667</v>
      </c>
      <c r="K757" s="18">
        <f>IFERROR(__xludf.DUMMYFUNCTION("AVERAGE(QUERY(SORT(GOOGLEFINANCE(B757,""price"",TODAY()-365,TODAY()),1,0),""select Col2 limit 60""))"),471.1524999999999)</f>
        <v>471.1525</v>
      </c>
      <c r="L757" s="17">
        <f>IFERROR(__xludf.DUMMYFUNCTION("AVERAGE(QUERY(SORT(GOOGLEFINANCE(B757,""price"",TODAY()-365,TODAY()),1,0),""select Col2 limit 90""))"),461.5877777777779)</f>
        <v>461.5877778</v>
      </c>
      <c r="M757" s="17">
        <f>IFERROR(__xludf.DUMMYFUNCTION("AVERAGE(QUERY(SORT(GOOGLEFINANCE(B757,""price"",TODAY()-365,TODAY()),1,0),""select Col2 limit 120""))"),454.6070833333334)</f>
        <v>454.6070833</v>
      </c>
      <c r="N757" s="19">
        <f>IFERROR(__xludf.DUMMYFUNCTION("AVERAGE(QUERY(SORT(GOOGLEFINANCE(B757,""price"",TODAY()-365,TODAY()),1,0),""select Col2 limit 200""))"),531.3267499999998)</f>
        <v>531.32675</v>
      </c>
      <c r="O757" s="20" t="str">
        <f t="shared" si="2"/>
        <v>Avoid</v>
      </c>
      <c r="P757" s="21" t="str">
        <f t="shared" si="3"/>
        <v/>
      </c>
      <c r="Q757" s="21" t="str">
        <f t="shared" si="4"/>
        <v/>
      </c>
      <c r="R757" s="22">
        <f>IFERROR(__xludf.DUMMYFUNCTION("GOOGLEFINANCE(B757, ""pe"")
"),55.17)</f>
        <v>55.17</v>
      </c>
    </row>
    <row r="758">
      <c r="A758" s="9" t="s">
        <v>769</v>
      </c>
      <c r="B758" s="11" t="str">
        <f t="shared" si="1"/>
        <v>NSE:CSBBANK</v>
      </c>
      <c r="C758" s="12">
        <f>IFERROR(__xludf.DUMMYFUNCTION("GOOGLEFINANCE(B758,""marketcap"")/10000000"),7128.83931)</f>
        <v>7128.83931</v>
      </c>
      <c r="D758" s="13">
        <f>IFERROR(__xludf.DUMMYFUNCTION("GOOGLEFINANCE(B758,""price"")"),421.05)</f>
        <v>421.05</v>
      </c>
      <c r="E758" s="14">
        <f>IFERROR(__xludf.DUMMYFUNCTION("GOOGLEFINANCE(B758,""Volume"")"),134416.0)</f>
        <v>134416</v>
      </c>
      <c r="F758" s="14">
        <f t="array" ref="F758">F757</f>
        <v>14</v>
      </c>
      <c r="G758" s="15" t="str">
        <f>IFERROR(__xludf.DUMMYFUNCTION("IF(E758&gt;AVERAGE(INDEX(GOOGLEFINANCE(B758,""volume"",WORKDAY(TODAY(),-$F$1),TODAY()),,2)),""Breakout"","""")"),"")</f>
        <v/>
      </c>
      <c r="H758" s="16">
        <f>IFERROR(__xludf.DUMMYFUNCTION("GOOGLEFINANCE(B758,""price"")"),421.05)</f>
        <v>421.05</v>
      </c>
      <c r="I758" s="17">
        <f>IFERROR(__xludf.DUMMYFUNCTION("AVERAGE(QUERY(SORT(GOOGLEFINANCE(B758,""price"",TODAY()-365,TODAY()),1,0),""select Col2 limit 10""))"),426.86500000000007)</f>
        <v>426.865</v>
      </c>
      <c r="J758" s="17">
        <f>IFERROR(__xludf.DUMMYFUNCTION("AVERAGE(QUERY(SORT(GOOGLEFINANCE(B758,""price"",TODAY()-365,TODAY()),1,0),""select Col2 limit 30""))"),407.5466666666667)</f>
        <v>407.5466667</v>
      </c>
      <c r="K758" s="18">
        <f>IFERROR(__xludf.DUMMYFUNCTION("AVERAGE(QUERY(SORT(GOOGLEFINANCE(B758,""price"",TODAY()-365,TODAY()),1,0),""select Col2 limit 60""))"),385.8466666666667)</f>
        <v>385.8466667</v>
      </c>
      <c r="L758" s="17">
        <f>IFERROR(__xludf.DUMMYFUNCTION("AVERAGE(QUERY(SORT(GOOGLEFINANCE(B758,""price"",TODAY()-365,TODAY()),1,0),""select Col2 limit 90""))"),365.7933333333333)</f>
        <v>365.7933333</v>
      </c>
      <c r="M758" s="17">
        <f>IFERROR(__xludf.DUMMYFUNCTION("AVERAGE(QUERY(SORT(GOOGLEFINANCE(B758,""price"",TODAY()-365,TODAY()),1,0),""select Col2 limit 120""))"),346.9474999999998)</f>
        <v>346.9475</v>
      </c>
      <c r="N758" s="19">
        <f>IFERROR(__xludf.DUMMYFUNCTION("AVERAGE(QUERY(SORT(GOOGLEFINANCE(B758,""price"",TODAY()-365,TODAY()),1,0),""select Col2 limit 200""))"),332.4549999999997)</f>
        <v>332.455</v>
      </c>
      <c r="O758" s="20" t="str">
        <f t="shared" si="2"/>
        <v>Avoid</v>
      </c>
      <c r="P758" s="21" t="str">
        <f t="shared" si="3"/>
        <v/>
      </c>
      <c r="Q758" s="21" t="str">
        <f t="shared" si="4"/>
        <v/>
      </c>
      <c r="R758" s="22">
        <f>IFERROR(__xludf.DUMMYFUNCTION("GOOGLEFINANCE(B758, ""pe"")
"),12.3)</f>
        <v>12.3</v>
      </c>
    </row>
    <row r="759">
      <c r="A759" s="9" t="s">
        <v>770</v>
      </c>
      <c r="B759" s="11" t="str">
        <f t="shared" si="1"/>
        <v>NSE:TDPOWERSYS</v>
      </c>
      <c r="C759" s="12">
        <f>IFERROR(__xludf.DUMMYFUNCTION("GOOGLEFINANCE(B759,""marketcap"")/10000000"),7133.68593)</f>
        <v>7133.68593</v>
      </c>
      <c r="D759" s="13">
        <f>IFERROR(__xludf.DUMMYFUNCTION("GOOGLEFINANCE(B759,""price"")"),458.45)</f>
        <v>458.45</v>
      </c>
      <c r="E759" s="14">
        <f>IFERROR(__xludf.DUMMYFUNCTION("GOOGLEFINANCE(B759,""Volume"")"),574037.0)</f>
        <v>574037</v>
      </c>
      <c r="F759" s="14">
        <f t="array" ref="F759">F758</f>
        <v>14</v>
      </c>
      <c r="G759" s="15" t="str">
        <f>IFERROR(__xludf.DUMMYFUNCTION("IF(E759&gt;AVERAGE(INDEX(GOOGLEFINANCE(B759,""volume"",WORKDAY(TODAY(),-$F$1),TODAY()),,2)),""Breakout"","""")"),"Breakout")</f>
        <v>Breakout</v>
      </c>
      <c r="H759" s="16">
        <f>IFERROR(__xludf.DUMMYFUNCTION("GOOGLEFINANCE(B759,""price"")"),458.45)</f>
        <v>458.45</v>
      </c>
      <c r="I759" s="17">
        <f>IFERROR(__xludf.DUMMYFUNCTION("AVERAGE(QUERY(SORT(GOOGLEFINANCE(B759,""price"",TODAY()-365,TODAY()),1,0),""select Col2 limit 10""))"),489.89000000000004)</f>
        <v>489.89</v>
      </c>
      <c r="J759" s="17">
        <f>IFERROR(__xludf.DUMMYFUNCTION("AVERAGE(QUERY(SORT(GOOGLEFINANCE(B759,""price"",TODAY()-365,TODAY()),1,0),""select Col2 limit 30""))"),500.5883333333333)</f>
        <v>500.5883333</v>
      </c>
      <c r="K759" s="18">
        <f>IFERROR(__xludf.DUMMYFUNCTION("AVERAGE(QUERY(SORT(GOOGLEFINANCE(B759,""price"",TODAY()-365,TODAY()),1,0),""select Col2 limit 60""))"),488.86083333333323)</f>
        <v>488.8608333</v>
      </c>
      <c r="L759" s="17">
        <f>IFERROR(__xludf.DUMMYFUNCTION("AVERAGE(QUERY(SORT(GOOGLEFINANCE(B759,""price"",TODAY()-365,TODAY()),1,0),""select Col2 limit 90""))"),461.1011111111111)</f>
        <v>461.1011111</v>
      </c>
      <c r="M759" s="17">
        <f>IFERROR(__xludf.DUMMYFUNCTION("AVERAGE(QUERY(SORT(GOOGLEFINANCE(B759,""price"",TODAY()-365,TODAY()),1,0),""select Col2 limit 120""))"),431.5541666666667)</f>
        <v>431.5541667</v>
      </c>
      <c r="N759" s="19">
        <f>IFERROR(__xludf.DUMMYFUNCTION("AVERAGE(QUERY(SORT(GOOGLEFINANCE(B759,""price"",TODAY()-365,TODAY()),1,0),""select Col2 limit 200""))"),427.40125)</f>
        <v>427.40125</v>
      </c>
      <c r="O759" s="20" t="str">
        <f t="shared" si="2"/>
        <v>Avoid</v>
      </c>
      <c r="P759" s="21" t="str">
        <f t="shared" si="3"/>
        <v>90 DMA</v>
      </c>
      <c r="Q759" s="21" t="str">
        <f t="shared" si="4"/>
        <v/>
      </c>
      <c r="R759" s="22">
        <f>IFERROR(__xludf.DUMMYFUNCTION("GOOGLEFINANCE(B759, ""pe"")
"),41.04)</f>
        <v>41.04</v>
      </c>
    </row>
    <row r="760">
      <c r="A760" s="9" t="s">
        <v>771</v>
      </c>
      <c r="B760" s="11" t="str">
        <f t="shared" si="1"/>
        <v>NSE:PRICOLLTD</v>
      </c>
      <c r="C760" s="12">
        <f>IFERROR(__xludf.DUMMYFUNCTION("GOOGLEFINANCE(B760,""marketcap"")/10000000"),5298.7982125)</f>
        <v>5298.798213</v>
      </c>
      <c r="D760" s="13">
        <f>IFERROR(__xludf.DUMMYFUNCTION("GOOGLEFINANCE(B760,""price"")"),435.45)</f>
        <v>435.45</v>
      </c>
      <c r="E760" s="14">
        <f>IFERROR(__xludf.DUMMYFUNCTION("GOOGLEFINANCE(B760,""Volume"")"),99530.0)</f>
        <v>99530</v>
      </c>
      <c r="F760" s="14">
        <f t="array" ref="F760">F759</f>
        <v>14</v>
      </c>
      <c r="G760" s="15" t="str">
        <f>IFERROR(__xludf.DUMMYFUNCTION("IF(E760&gt;AVERAGE(INDEX(GOOGLEFINANCE(B760,""volume"",WORKDAY(TODAY(),-$F$1),TODAY()),,2)),""Breakout"","""")"),"")</f>
        <v/>
      </c>
      <c r="H760" s="16">
        <f>IFERROR(__xludf.DUMMYFUNCTION("GOOGLEFINANCE(B760,""price"")"),435.45)</f>
        <v>435.45</v>
      </c>
      <c r="I760" s="17">
        <f>IFERROR(__xludf.DUMMYFUNCTION("AVERAGE(QUERY(SORT(GOOGLEFINANCE(B760,""price"",TODAY()-365,TODAY()),1,0),""select Col2 limit 10""))"),447.09499999999997)</f>
        <v>447.095</v>
      </c>
      <c r="J760" s="17">
        <f>IFERROR(__xludf.DUMMYFUNCTION("AVERAGE(QUERY(SORT(GOOGLEFINANCE(B760,""price"",TODAY()-365,TODAY()),1,0),""select Col2 limit 30""))"),447.91)</f>
        <v>447.91</v>
      </c>
      <c r="K760" s="18">
        <f>IFERROR(__xludf.DUMMYFUNCTION("AVERAGE(QUERY(SORT(GOOGLEFINANCE(B760,""price"",TODAY()-365,TODAY()),1,0),""select Col2 limit 60""))"),444.78083333333325)</f>
        <v>444.7808333</v>
      </c>
      <c r="L760" s="17">
        <f>IFERROR(__xludf.DUMMYFUNCTION("AVERAGE(QUERY(SORT(GOOGLEFINANCE(B760,""price"",TODAY()-365,TODAY()),1,0),""select Col2 limit 90""))"),442.95999999999975)</f>
        <v>442.96</v>
      </c>
      <c r="M760" s="17">
        <f>IFERROR(__xludf.DUMMYFUNCTION("AVERAGE(QUERY(SORT(GOOGLEFINANCE(B760,""price"",TODAY()-365,TODAY()),1,0),""select Col2 limit 120""))"),445.8520833333331)</f>
        <v>445.8520833</v>
      </c>
      <c r="N760" s="19">
        <f>IFERROR(__xludf.DUMMYFUNCTION("AVERAGE(QUERY(SORT(GOOGLEFINANCE(B760,""price"",TODAY()-365,TODAY()),1,0),""select Col2 limit 200""))"),466.96149999999994)</f>
        <v>466.9615</v>
      </c>
      <c r="O760" s="20" t="str">
        <f t="shared" si="2"/>
        <v>Avoid</v>
      </c>
      <c r="P760" s="21" t="str">
        <f t="shared" si="3"/>
        <v/>
      </c>
      <c r="Q760" s="21" t="str">
        <f t="shared" si="4"/>
        <v/>
      </c>
      <c r="R760" s="22">
        <f>IFERROR(__xludf.DUMMYFUNCTION("GOOGLEFINANCE(B760, ""pe"")
"),31.73)</f>
        <v>31.73</v>
      </c>
    </row>
    <row r="761">
      <c r="A761" s="9" t="s">
        <v>772</v>
      </c>
      <c r="B761" s="11" t="str">
        <f t="shared" si="1"/>
        <v>NSE:TARC</v>
      </c>
      <c r="C761" s="12">
        <f>IFERROR(__xludf.DUMMYFUNCTION("GOOGLEFINANCE(B761,""marketcap"")/10000000"),5410.0005219)</f>
        <v>5410.000522</v>
      </c>
      <c r="D761" s="13">
        <f>IFERROR(__xludf.DUMMYFUNCTION("GOOGLEFINANCE(B761,""price"")"),183.24)</f>
        <v>183.24</v>
      </c>
      <c r="E761" s="14">
        <f>IFERROR(__xludf.DUMMYFUNCTION("GOOGLEFINANCE(B761,""Volume"")"),197472.0)</f>
        <v>197472</v>
      </c>
      <c r="F761" s="14">
        <f t="array" ref="F761">F760</f>
        <v>14</v>
      </c>
      <c r="G761" s="15" t="str">
        <f>IFERROR(__xludf.DUMMYFUNCTION("IF(E761&gt;AVERAGE(INDEX(GOOGLEFINANCE(B761,""volume"",WORKDAY(TODAY(),-$F$1),TODAY()),,2)),""Breakout"","""")"),"")</f>
        <v/>
      </c>
      <c r="H761" s="16">
        <f>IFERROR(__xludf.DUMMYFUNCTION("GOOGLEFINANCE(B761,""price"")"),183.24)</f>
        <v>183.24</v>
      </c>
      <c r="I761" s="17">
        <f>IFERROR(__xludf.DUMMYFUNCTION("AVERAGE(QUERY(SORT(GOOGLEFINANCE(B761,""price"",TODAY()-365,TODAY()),1,0),""select Col2 limit 10""))"),196.37099999999998)</f>
        <v>196.371</v>
      </c>
      <c r="J761" s="17">
        <f>IFERROR(__xludf.DUMMYFUNCTION("AVERAGE(QUERY(SORT(GOOGLEFINANCE(B761,""price"",TODAY()-365,TODAY()),1,0),""select Col2 limit 30""))"),190.18699999999995)</f>
        <v>190.187</v>
      </c>
      <c r="K761" s="18">
        <f>IFERROR(__xludf.DUMMYFUNCTION("AVERAGE(QUERY(SORT(GOOGLEFINANCE(B761,""price"",TODAY()-365,TODAY()),1,0),""select Col2 limit 60""))"),174.42666666666668)</f>
        <v>174.4266667</v>
      </c>
      <c r="L761" s="17">
        <f>IFERROR(__xludf.DUMMYFUNCTION("AVERAGE(QUERY(SORT(GOOGLEFINANCE(B761,""price"",TODAY()-365,TODAY()),1,0),""select Col2 limit 90""))"),159.20766666666665)</f>
        <v>159.2076667</v>
      </c>
      <c r="M761" s="17">
        <f>IFERROR(__xludf.DUMMYFUNCTION("AVERAGE(QUERY(SORT(GOOGLEFINANCE(B761,""price"",TODAY()-365,TODAY()),1,0),""select Col2 limit 120""))"),151.4016666666666)</f>
        <v>151.4016667</v>
      </c>
      <c r="N761" s="19">
        <f>IFERROR(__xludf.DUMMYFUNCTION("AVERAGE(QUERY(SORT(GOOGLEFINANCE(B761,""price"",TODAY()-365,TODAY()),1,0),""select Col2 limit 200""))"),176.03394999999992)</f>
        <v>176.03395</v>
      </c>
      <c r="O761" s="20" t="str">
        <f t="shared" si="2"/>
        <v>Avoid</v>
      </c>
      <c r="P761" s="21" t="str">
        <f t="shared" si="3"/>
        <v/>
      </c>
      <c r="Q761" s="21" t="str">
        <f t="shared" si="4"/>
        <v/>
      </c>
      <c r="R761" s="22" t="str">
        <f>IFERROR(__xludf.DUMMYFUNCTION("GOOGLEFINANCE(B761, ""pe"")
"),"#N/A")</f>
        <v>#N/A</v>
      </c>
    </row>
    <row r="762">
      <c r="A762" s="9" t="s">
        <v>773</v>
      </c>
      <c r="B762" s="11" t="str">
        <f t="shared" si="1"/>
        <v>NSE:ICRA</v>
      </c>
      <c r="C762" s="12">
        <f>IFERROR(__xludf.DUMMYFUNCTION("GOOGLEFINANCE(B762,""marketcap"")/10000000"),6365.5149822)</f>
        <v>6365.514982</v>
      </c>
      <c r="D762" s="13">
        <f>IFERROR(__xludf.DUMMYFUNCTION("GOOGLEFINANCE(B762,""price"")"),6609.0)</f>
        <v>6609</v>
      </c>
      <c r="E762" s="14">
        <f>IFERROR(__xludf.DUMMYFUNCTION("GOOGLEFINANCE(B762,""Volume"")"),1191.0)</f>
        <v>1191</v>
      </c>
      <c r="F762" s="14">
        <f t="array" ref="F762">F761</f>
        <v>14</v>
      </c>
      <c r="G762" s="15" t="str">
        <f>IFERROR(__xludf.DUMMYFUNCTION("IF(E762&gt;AVERAGE(INDEX(GOOGLEFINANCE(B762,""volume"",WORKDAY(TODAY(),-$F$1),TODAY()),,2)),""Breakout"","""")"),"")</f>
        <v/>
      </c>
      <c r="H762" s="16">
        <f>IFERROR(__xludf.DUMMYFUNCTION("GOOGLEFINANCE(B762,""price"")"),6609.0)</f>
        <v>6609</v>
      </c>
      <c r="I762" s="17">
        <f>IFERROR(__xludf.DUMMYFUNCTION("AVERAGE(QUERY(SORT(GOOGLEFINANCE(B762,""price"",TODAY()-365,TODAY()),1,0),""select Col2 limit 10""))"),6833.7)</f>
        <v>6833.7</v>
      </c>
      <c r="J762" s="17">
        <f>IFERROR(__xludf.DUMMYFUNCTION("AVERAGE(QUERY(SORT(GOOGLEFINANCE(B762,""price"",TODAY()-365,TODAY()),1,0),""select Col2 limit 30""))"),6782.966666666666)</f>
        <v>6782.966667</v>
      </c>
      <c r="K762" s="18">
        <f>IFERROR(__xludf.DUMMYFUNCTION("AVERAGE(QUERY(SORT(GOOGLEFINANCE(B762,""price"",TODAY()-365,TODAY()),1,0),""select Col2 limit 60""))"),6555.666666666667)</f>
        <v>6555.666667</v>
      </c>
      <c r="L762" s="17">
        <f>IFERROR(__xludf.DUMMYFUNCTION("AVERAGE(QUERY(SORT(GOOGLEFINANCE(B762,""price"",TODAY()-365,TODAY()),1,0),""select Col2 limit 90""))"),6225.203333333334)</f>
        <v>6225.203333</v>
      </c>
      <c r="M762" s="17">
        <f>IFERROR(__xludf.DUMMYFUNCTION("AVERAGE(QUERY(SORT(GOOGLEFINANCE(B762,""price"",TODAY()-365,TODAY()),1,0),""select Col2 limit 120""))"),6115.814583333334)</f>
        <v>6115.814583</v>
      </c>
      <c r="N762" s="19">
        <f>IFERROR(__xludf.DUMMYFUNCTION("AVERAGE(QUERY(SORT(GOOGLEFINANCE(B762,""price"",TODAY()-365,TODAY()),1,0),""select Col2 limit 200""))"),6300.570249999999)</f>
        <v>6300.57025</v>
      </c>
      <c r="O762" s="20" t="str">
        <f t="shared" si="2"/>
        <v>Avoid</v>
      </c>
      <c r="P762" s="21" t="str">
        <f t="shared" si="3"/>
        <v/>
      </c>
      <c r="Q762" s="21" t="str">
        <f t="shared" si="4"/>
        <v/>
      </c>
      <c r="R762" s="22">
        <f>IFERROR(__xludf.DUMMYFUNCTION("GOOGLEFINANCE(B762, ""pe"")
"),37.45)</f>
        <v>37.45</v>
      </c>
    </row>
    <row r="763">
      <c r="A763" s="9" t="s">
        <v>774</v>
      </c>
      <c r="B763" s="11" t="str">
        <f t="shared" si="1"/>
        <v>NSE:EPIGRAL</v>
      </c>
      <c r="C763" s="12">
        <f>IFERROR(__xludf.DUMMYFUNCTION("GOOGLEFINANCE(B763,""marketcap"")/10000000"),7886.6664319)</f>
        <v>7886.666432</v>
      </c>
      <c r="D763" s="13">
        <f>IFERROR(__xludf.DUMMYFUNCTION("GOOGLEFINANCE(B763,""price"")"),1829.7)</f>
        <v>1829.7</v>
      </c>
      <c r="E763" s="14">
        <f>IFERROR(__xludf.DUMMYFUNCTION("GOOGLEFINANCE(B763,""Volume"")"),26128.0)</f>
        <v>26128</v>
      </c>
      <c r="F763" s="14">
        <f t="array" ref="F763">F762</f>
        <v>14</v>
      </c>
      <c r="G763" s="15" t="str">
        <f>IFERROR(__xludf.DUMMYFUNCTION("IF(E763&gt;AVERAGE(INDEX(GOOGLEFINANCE(B763,""volume"",WORKDAY(TODAY(),-$F$1),TODAY()),,2)),""Breakout"","""")"),"")</f>
        <v/>
      </c>
      <c r="H763" s="16">
        <f>IFERROR(__xludf.DUMMYFUNCTION("GOOGLEFINANCE(B763,""price"")"),1829.7)</f>
        <v>1829.7</v>
      </c>
      <c r="I763" s="17">
        <f>IFERROR(__xludf.DUMMYFUNCTION("AVERAGE(QUERY(SORT(GOOGLEFINANCE(B763,""price"",TODAY()-365,TODAY()),1,0),""select Col2 limit 10""))"),1795.06)</f>
        <v>1795.06</v>
      </c>
      <c r="J763" s="17">
        <f>IFERROR(__xludf.DUMMYFUNCTION("AVERAGE(QUERY(SORT(GOOGLEFINANCE(B763,""price"",TODAY()-365,TODAY()),1,0),""select Col2 limit 30""))"),1789.0666666666668)</f>
        <v>1789.066667</v>
      </c>
      <c r="K763" s="18">
        <f>IFERROR(__xludf.DUMMYFUNCTION("AVERAGE(QUERY(SORT(GOOGLEFINANCE(B763,""price"",TODAY()-365,TODAY()),1,0),""select Col2 limit 60""))"),1806.0483333333336)</f>
        <v>1806.048333</v>
      </c>
      <c r="L763" s="17">
        <f>IFERROR(__xludf.DUMMYFUNCTION("AVERAGE(QUERY(SORT(GOOGLEFINANCE(B763,""price"",TODAY()-365,TODAY()),1,0),""select Col2 limit 90""))"),1821.7233333333331)</f>
        <v>1821.723333</v>
      </c>
      <c r="M763" s="17">
        <f>IFERROR(__xludf.DUMMYFUNCTION("AVERAGE(QUERY(SORT(GOOGLEFINANCE(B763,""price"",TODAY()-365,TODAY()),1,0),""select Col2 limit 120""))"),1813.5762500000008)</f>
        <v>1813.57625</v>
      </c>
      <c r="N763" s="19">
        <f>IFERROR(__xludf.DUMMYFUNCTION("AVERAGE(QUERY(SORT(GOOGLEFINANCE(B763,""price"",TODAY()-365,TODAY()),1,0),""select Col2 limit 200""))"),1883.345500000001)</f>
        <v>1883.3455</v>
      </c>
      <c r="O763" s="20" t="str">
        <f t="shared" si="2"/>
        <v>Buy Above 200 DMA</v>
      </c>
      <c r="P763" s="21" t="str">
        <f t="shared" si="3"/>
        <v/>
      </c>
      <c r="Q763" s="21" t="str">
        <f t="shared" si="4"/>
        <v/>
      </c>
      <c r="R763" s="22">
        <f>IFERROR(__xludf.DUMMYFUNCTION("GOOGLEFINANCE(B763, ""pe"")
"),21.61)</f>
        <v>21.61</v>
      </c>
    </row>
    <row r="764">
      <c r="A764" s="9" t="s">
        <v>775</v>
      </c>
      <c r="B764" s="11" t="str">
        <f t="shared" si="1"/>
        <v>NSE:MTARTECH</v>
      </c>
      <c r="C764" s="12">
        <f>IFERROR(__xludf.DUMMYFUNCTION("GOOGLEFINANCE(B764,""marketcap"")/10000000"),4524.4752206)</f>
        <v>4524.475221</v>
      </c>
      <c r="D764" s="13">
        <f>IFERROR(__xludf.DUMMYFUNCTION("GOOGLEFINANCE(B764,""price"")"),1477.9)</f>
        <v>1477.9</v>
      </c>
      <c r="E764" s="14">
        <f>IFERROR(__xludf.DUMMYFUNCTION("GOOGLEFINANCE(B764,""Volume"")"),27190.0)</f>
        <v>27190</v>
      </c>
      <c r="F764" s="14">
        <f t="array" ref="F764">F763</f>
        <v>14</v>
      </c>
      <c r="G764" s="15" t="str">
        <f>IFERROR(__xludf.DUMMYFUNCTION("IF(E764&gt;AVERAGE(INDEX(GOOGLEFINANCE(B764,""volume"",WORKDAY(TODAY(),-$F$1),TODAY()),,2)),""Breakout"","""")"),"")</f>
        <v/>
      </c>
      <c r="H764" s="16">
        <f>IFERROR(__xludf.DUMMYFUNCTION("GOOGLEFINANCE(B764,""price"")"),1477.9)</f>
        <v>1477.9</v>
      </c>
      <c r="I764" s="17">
        <f>IFERROR(__xludf.DUMMYFUNCTION("AVERAGE(QUERY(SORT(GOOGLEFINANCE(B764,""price"",TODAY()-365,TODAY()),1,0),""select Col2 limit 10""))"),1529.44)</f>
        <v>1529.44</v>
      </c>
      <c r="J764" s="17">
        <f>IFERROR(__xludf.DUMMYFUNCTION("AVERAGE(QUERY(SORT(GOOGLEFINANCE(B764,""price"",TODAY()-365,TODAY()),1,0),""select Col2 limit 30""))"),1589.3733333333332)</f>
        <v>1589.373333</v>
      </c>
      <c r="K764" s="18">
        <f>IFERROR(__xludf.DUMMYFUNCTION("AVERAGE(QUERY(SORT(GOOGLEFINANCE(B764,""price"",TODAY()-365,TODAY()),1,0),""select Col2 limit 60""))"),1598.6649999999997)</f>
        <v>1598.665</v>
      </c>
      <c r="L764" s="17">
        <f>IFERROR(__xludf.DUMMYFUNCTION("AVERAGE(QUERY(SORT(GOOGLEFINANCE(B764,""price"",TODAY()-365,TODAY()),1,0),""select Col2 limit 90""))"),1517.2372222222216)</f>
        <v>1517.237222</v>
      </c>
      <c r="M764" s="17">
        <f>IFERROR(__xludf.DUMMYFUNCTION("AVERAGE(QUERY(SORT(GOOGLEFINANCE(B764,""price"",TODAY()-365,TODAY()),1,0),""select Col2 limit 120""))"),1487.5233333333329)</f>
        <v>1487.523333</v>
      </c>
      <c r="N764" s="19">
        <f>IFERROR(__xludf.DUMMYFUNCTION("AVERAGE(QUERY(SORT(GOOGLEFINANCE(B764,""price"",TODAY()-365,TODAY()),1,0),""select Col2 limit 200""))"),1562.2529999999988)</f>
        <v>1562.253</v>
      </c>
      <c r="O764" s="20" t="str">
        <f t="shared" si="2"/>
        <v>Avoid</v>
      </c>
      <c r="P764" s="21" t="str">
        <f t="shared" si="3"/>
        <v>120 DMA</v>
      </c>
      <c r="Q764" s="21" t="str">
        <f t="shared" si="4"/>
        <v/>
      </c>
      <c r="R764" s="22">
        <f>IFERROR(__xludf.DUMMYFUNCTION("GOOGLEFINANCE(B764, ""pe"")
"),85.97)</f>
        <v>85.97</v>
      </c>
    </row>
    <row r="765">
      <c r="A765" s="24" t="s">
        <v>775</v>
      </c>
      <c r="B765" s="11" t="str">
        <f t="shared" si="1"/>
        <v>NSE:MTARTECH</v>
      </c>
      <c r="C765" s="12">
        <f>IFERROR(__xludf.DUMMYFUNCTION("GOOGLEFINANCE(B765,""marketcap"")/10000000"),4524.4752206)</f>
        <v>4524.475221</v>
      </c>
      <c r="D765" s="13">
        <f>IFERROR(__xludf.DUMMYFUNCTION("GOOGLEFINANCE(B765,""price"")"),1477.9)</f>
        <v>1477.9</v>
      </c>
      <c r="E765" s="14">
        <f>IFERROR(__xludf.DUMMYFUNCTION("GOOGLEFINANCE(B765,""Volume"")"),27190.0)</f>
        <v>27190</v>
      </c>
      <c r="F765" s="14">
        <f t="array" ref="F765">F764</f>
        <v>14</v>
      </c>
      <c r="G765" s="15" t="str">
        <f>IFERROR(__xludf.DUMMYFUNCTION("IF(E765&gt;AVERAGE(INDEX(GOOGLEFINANCE(B765,""volume"",WORKDAY(TODAY(),-$F$1),TODAY()),,2)),""Breakout"","""")"),"")</f>
        <v/>
      </c>
      <c r="H765" s="16">
        <f>IFERROR(__xludf.DUMMYFUNCTION("GOOGLEFINANCE(B765,""price"")"),1477.9)</f>
        <v>1477.9</v>
      </c>
      <c r="I765" s="17">
        <f>IFERROR(__xludf.DUMMYFUNCTION("AVERAGE(QUERY(SORT(GOOGLEFINANCE(B765,""price"",TODAY()-365,TODAY()),1,0),""select Col2 limit 10""))"),1529.44)</f>
        <v>1529.44</v>
      </c>
      <c r="J765" s="17">
        <f>IFERROR(__xludf.DUMMYFUNCTION("AVERAGE(QUERY(SORT(GOOGLEFINANCE(B765,""price"",TODAY()-365,TODAY()),1,0),""select Col2 limit 30""))"),1589.3733333333332)</f>
        <v>1589.373333</v>
      </c>
      <c r="K765" s="18">
        <f>IFERROR(__xludf.DUMMYFUNCTION("AVERAGE(QUERY(SORT(GOOGLEFINANCE(B765,""price"",TODAY()-365,TODAY()),1,0),""select Col2 limit 60""))"),1598.6649999999997)</f>
        <v>1598.665</v>
      </c>
      <c r="L765" s="17">
        <f>IFERROR(__xludf.DUMMYFUNCTION("AVERAGE(QUERY(SORT(GOOGLEFINANCE(B765,""price"",TODAY()-365,TODAY()),1,0),""select Col2 limit 90""))"),1517.2372222222216)</f>
        <v>1517.237222</v>
      </c>
      <c r="M765" s="17">
        <f>IFERROR(__xludf.DUMMYFUNCTION("AVERAGE(QUERY(SORT(GOOGLEFINANCE(B765,""price"",TODAY()-365,TODAY()),1,0),""select Col2 limit 120""))"),1487.5233333333329)</f>
        <v>1487.523333</v>
      </c>
      <c r="N765" s="19">
        <f>IFERROR(__xludf.DUMMYFUNCTION("AVERAGE(QUERY(SORT(GOOGLEFINANCE(B765,""price"",TODAY()-365,TODAY()),1,0),""select Col2 limit 200""))"),1562.2529999999988)</f>
        <v>1562.253</v>
      </c>
      <c r="O765" s="20" t="str">
        <f t="shared" si="2"/>
        <v>Avoid</v>
      </c>
      <c r="P765" s="21" t="str">
        <f t="shared" si="3"/>
        <v>120 DMA</v>
      </c>
      <c r="Q765" s="21" t="str">
        <f t="shared" si="4"/>
        <v/>
      </c>
      <c r="R765" s="22">
        <f>IFERROR(__xludf.DUMMYFUNCTION("GOOGLEFINANCE(B765, ""pe"")
"),85.97)</f>
        <v>85.97</v>
      </c>
    </row>
    <row r="766">
      <c r="A766" s="9" t="s">
        <v>776</v>
      </c>
      <c r="B766" s="11" t="str">
        <f t="shared" si="1"/>
        <v>NSE:GULFOILLUB</v>
      </c>
      <c r="C766" s="12">
        <f>IFERROR(__xludf.DUMMYFUNCTION("GOOGLEFINANCE(B766,""marketcap"")/10000000"),5831.2370607)</f>
        <v>5831.237061</v>
      </c>
      <c r="D766" s="13">
        <f>IFERROR(__xludf.DUMMYFUNCTION("GOOGLEFINANCE(B766,""price"")"),1184.6)</f>
        <v>1184.6</v>
      </c>
      <c r="E766" s="14">
        <f>IFERROR(__xludf.DUMMYFUNCTION("GOOGLEFINANCE(B766,""Volume"")"),51251.0)</f>
        <v>51251</v>
      </c>
      <c r="F766" s="14">
        <f t="array" ref="F766">F765</f>
        <v>14</v>
      </c>
      <c r="G766" s="15" t="str">
        <f>IFERROR(__xludf.DUMMYFUNCTION("IF(E766&gt;AVERAGE(INDEX(GOOGLEFINANCE(B766,""volume"",WORKDAY(TODAY(),-$F$1),TODAY()),,2)),""Breakout"","""")"),"")</f>
        <v/>
      </c>
      <c r="H766" s="16">
        <f>IFERROR(__xludf.DUMMYFUNCTION("GOOGLEFINANCE(B766,""price"")"),1184.6)</f>
        <v>1184.6</v>
      </c>
      <c r="I766" s="17">
        <f>IFERROR(__xludf.DUMMYFUNCTION("AVERAGE(QUERY(SORT(GOOGLEFINANCE(B766,""price"",TODAY()-365,TODAY()),1,0),""select Col2 limit 10""))"),1237.22)</f>
        <v>1237.22</v>
      </c>
      <c r="J766" s="17">
        <f>IFERROR(__xludf.DUMMYFUNCTION("AVERAGE(QUERY(SORT(GOOGLEFINANCE(B766,""price"",TODAY()-365,TODAY()),1,0),""select Col2 limit 30""))"),1233.8533333333332)</f>
        <v>1233.853333</v>
      </c>
      <c r="K766" s="18">
        <f>IFERROR(__xludf.DUMMYFUNCTION("AVERAGE(QUERY(SORT(GOOGLEFINANCE(B766,""price"",TODAY()-365,TODAY()),1,0),""select Col2 limit 60""))"),1215.8733333333332)</f>
        <v>1215.873333</v>
      </c>
      <c r="L766" s="17">
        <f>IFERROR(__xludf.DUMMYFUNCTION("AVERAGE(QUERY(SORT(GOOGLEFINANCE(B766,""price"",TODAY()-365,TODAY()),1,0),""select Col2 limit 90""))"),1203.2905555555556)</f>
        <v>1203.290556</v>
      </c>
      <c r="M766" s="17">
        <f>IFERROR(__xludf.DUMMYFUNCTION("AVERAGE(QUERY(SORT(GOOGLEFINANCE(B766,""price"",TODAY()-365,TODAY()),1,0),""select Col2 limit 120""))"),1183.685416666667)</f>
        <v>1183.685417</v>
      </c>
      <c r="N766" s="19">
        <f>IFERROR(__xludf.DUMMYFUNCTION("AVERAGE(QUERY(SORT(GOOGLEFINANCE(B766,""price"",TODAY()-365,TODAY()),1,0),""select Col2 limit 200""))"),1172.0700000000004)</f>
        <v>1172.07</v>
      </c>
      <c r="O766" s="20" t="str">
        <f t="shared" si="2"/>
        <v>Avoid</v>
      </c>
      <c r="P766" s="21" t="str">
        <f t="shared" si="3"/>
        <v/>
      </c>
      <c r="Q766" s="21" t="str">
        <f t="shared" si="4"/>
        <v/>
      </c>
      <c r="R766" s="22">
        <f>IFERROR(__xludf.DUMMYFUNCTION("GOOGLEFINANCE(B766, ""pe"")
"),16.34)</f>
        <v>16.34</v>
      </c>
    </row>
    <row r="767">
      <c r="A767" s="9" t="s">
        <v>777</v>
      </c>
      <c r="B767" s="11" t="str">
        <f t="shared" si="1"/>
        <v>NSE:KIRLOSIND</v>
      </c>
      <c r="C767" s="12">
        <f>IFERROR(__xludf.DUMMYFUNCTION("GOOGLEFINANCE(B767,""marketcap"")/10000000"),4356.761598)</f>
        <v>4356.761598</v>
      </c>
      <c r="D767" s="13">
        <f>IFERROR(__xludf.DUMMYFUNCTION("GOOGLEFINANCE(B767,""price"")"),4186.4)</f>
        <v>4186.4</v>
      </c>
      <c r="E767" s="14">
        <f>IFERROR(__xludf.DUMMYFUNCTION("GOOGLEFINANCE(B767,""Volume"")"),2828.0)</f>
        <v>2828</v>
      </c>
      <c r="F767" s="14">
        <f t="array" ref="F767">F766</f>
        <v>14</v>
      </c>
      <c r="G767" s="15" t="str">
        <f>IFERROR(__xludf.DUMMYFUNCTION("IF(E767&gt;AVERAGE(INDEX(GOOGLEFINANCE(B767,""volume"",WORKDAY(TODAY(),-$F$1),TODAY()),,2)),""Breakout"","""")"),"")</f>
        <v/>
      </c>
      <c r="H767" s="16">
        <f>IFERROR(__xludf.DUMMYFUNCTION("GOOGLEFINANCE(B767,""price"")"),4186.4)</f>
        <v>4186.4</v>
      </c>
      <c r="I767" s="17" t="str">
        <f>IFERROR(__xludf.DUMMYFUNCTION("AVERAGE(QUERY(SORT(GOOGLEFINANCE(B767,""price"",TODAY()-365,TODAY()),1,0),""select Col2 limit 10""))"),"#N/A")</f>
        <v>#N/A</v>
      </c>
      <c r="J767" s="17" t="str">
        <f>IFERROR(__xludf.DUMMYFUNCTION("AVERAGE(QUERY(SORT(GOOGLEFINANCE(B767,""price"",TODAY()-365,TODAY()),1,0),""select Col2 limit 30""))"),"#N/A")</f>
        <v>#N/A</v>
      </c>
      <c r="K767" s="18" t="str">
        <f>IFERROR(__xludf.DUMMYFUNCTION("AVERAGE(QUERY(SORT(GOOGLEFINANCE(B767,""price"",TODAY()-365,TODAY()),1,0),""select Col2 limit 60""))"),"#N/A")</f>
        <v>#N/A</v>
      </c>
      <c r="L767" s="17" t="str">
        <f>IFERROR(__xludf.DUMMYFUNCTION("AVERAGE(QUERY(SORT(GOOGLEFINANCE(B767,""price"",TODAY()-365,TODAY()),1,0),""select Col2 limit 90""))"),"#N/A")</f>
        <v>#N/A</v>
      </c>
      <c r="M767" s="17" t="str">
        <f>IFERROR(__xludf.DUMMYFUNCTION("AVERAGE(QUERY(SORT(GOOGLEFINANCE(B767,""price"",TODAY()-365,TODAY()),1,0),""select Col2 limit 120""))"),"#N/A")</f>
        <v>#N/A</v>
      </c>
      <c r="N767" s="19" t="str">
        <f>IFERROR(__xludf.DUMMYFUNCTION("AVERAGE(QUERY(SORT(GOOGLEFINANCE(B767,""price"",TODAY()-365,TODAY()),1,0),""select Col2 limit 200""))"),"#N/A")</f>
        <v>#N/A</v>
      </c>
      <c r="O767" s="20" t="str">
        <f t="shared" si="2"/>
        <v>#N/A</v>
      </c>
      <c r="P767" s="21" t="str">
        <f t="shared" si="3"/>
        <v>#N/A</v>
      </c>
      <c r="Q767" s="21" t="str">
        <f t="shared" si="4"/>
        <v>#N/A</v>
      </c>
      <c r="R767" s="22">
        <f>IFERROR(__xludf.DUMMYFUNCTION("GOOGLEFINANCE(B767, ""pe"")
"),29.13)</f>
        <v>29.13</v>
      </c>
    </row>
    <row r="768">
      <c r="A768" s="9" t="s">
        <v>778</v>
      </c>
      <c r="B768" s="11" t="str">
        <f t="shared" si="1"/>
        <v>NSE:GMRP&amp;UI</v>
      </c>
      <c r="C768" s="12">
        <f>IFERROR(__xludf.DUMMYFUNCTION("GOOGLEFINANCE(B768,""marketcap"")/10000000"),8277.8034141)</f>
        <v>8277.803414</v>
      </c>
      <c r="D768" s="13">
        <f>IFERROR(__xludf.DUMMYFUNCTION("GOOGLEFINANCE(B768,""price"")"),115.1)</f>
        <v>115.1</v>
      </c>
      <c r="E768" s="14">
        <f>IFERROR(__xludf.DUMMYFUNCTION("GOOGLEFINANCE(B768,""Volume"")"),1047018.0)</f>
        <v>1047018</v>
      </c>
      <c r="F768" s="14">
        <f t="array" ref="F768">F767</f>
        <v>14</v>
      </c>
      <c r="G768" s="15" t="str">
        <f>IFERROR(__xludf.DUMMYFUNCTION("IF(E768&gt;AVERAGE(INDEX(GOOGLEFINANCE(B768,""volume"",WORKDAY(TODAY(),-$F$1),TODAY()),,2)),""Breakout"","""")"),"")</f>
        <v/>
      </c>
      <c r="H768" s="16">
        <f>IFERROR(__xludf.DUMMYFUNCTION("GOOGLEFINANCE(B768,""price"")"),115.1)</f>
        <v>115.1</v>
      </c>
      <c r="I768" s="17">
        <f>IFERROR(__xludf.DUMMYFUNCTION("AVERAGE(QUERY(SORT(GOOGLEFINANCE(B768,""price"",TODAY()-365,TODAY()),1,0),""select Col2 limit 10""))"),116.30099999999997)</f>
        <v>116.301</v>
      </c>
      <c r="J768" s="17">
        <f>IFERROR(__xludf.DUMMYFUNCTION("AVERAGE(QUERY(SORT(GOOGLEFINANCE(B768,""price"",TODAY()-365,TODAY()),1,0),""select Col2 limit 30""))"),113.24299999999997)</f>
        <v>113.243</v>
      </c>
      <c r="K768" s="18">
        <f>IFERROR(__xludf.DUMMYFUNCTION("AVERAGE(QUERY(SORT(GOOGLEFINANCE(B768,""price"",TODAY()-365,TODAY()),1,0),""select Col2 limit 60""))"),113.86366666666665)</f>
        <v>113.8636667</v>
      </c>
      <c r="L768" s="17">
        <f>IFERROR(__xludf.DUMMYFUNCTION("AVERAGE(QUERY(SORT(GOOGLEFINANCE(B768,""price"",TODAY()-365,TODAY()),1,0),""select Col2 limit 90""))"),115.13377777777775)</f>
        <v>115.1337778</v>
      </c>
      <c r="M768" s="17">
        <f>IFERROR(__xludf.DUMMYFUNCTION("AVERAGE(QUERY(SORT(GOOGLEFINANCE(B768,""price"",TODAY()-365,TODAY()),1,0),""select Col2 limit 120""))"),112.39625000000001)</f>
        <v>112.39625</v>
      </c>
      <c r="N768" s="19">
        <f>IFERROR(__xludf.DUMMYFUNCTION("AVERAGE(QUERY(SORT(GOOGLEFINANCE(B768,""price"",TODAY()-365,TODAY()),1,0),""select Col2 limit 200""))"),114.31640000000009)</f>
        <v>114.3164</v>
      </c>
      <c r="O768" s="20" t="str">
        <f t="shared" si="2"/>
        <v>Avoid</v>
      </c>
      <c r="P768" s="21" t="str">
        <f t="shared" si="3"/>
        <v>90 DMA</v>
      </c>
      <c r="Q768" s="21" t="str">
        <f t="shared" si="4"/>
        <v/>
      </c>
      <c r="R768" s="22">
        <f>IFERROR(__xludf.DUMMYFUNCTION("GOOGLEFINANCE(B768, ""pe"")
"),4.94)</f>
        <v>4.94</v>
      </c>
    </row>
    <row r="769">
      <c r="A769" s="9" t="s">
        <v>779</v>
      </c>
      <c r="B769" s="11" t="str">
        <f t="shared" si="1"/>
        <v>NSE:PRIVISCL</v>
      </c>
      <c r="C769" s="12">
        <f>IFERROR(__xludf.DUMMYFUNCTION("GOOGLEFINANCE(B769,""marketcap"")/10000000"),9641.8464317)</f>
        <v>9641.846432</v>
      </c>
      <c r="D769" s="13">
        <f>IFERROR(__xludf.DUMMYFUNCTION("GOOGLEFINANCE(B769,""price"")"),2466.2)</f>
        <v>2466.2</v>
      </c>
      <c r="E769" s="14">
        <f>IFERROR(__xludf.DUMMYFUNCTION("GOOGLEFINANCE(B769,""Volume"")"),31961.0)</f>
        <v>31961</v>
      </c>
      <c r="F769" s="14">
        <f t="array" ref="F769">F768</f>
        <v>14</v>
      </c>
      <c r="G769" s="15" t="str">
        <f>IFERROR(__xludf.DUMMYFUNCTION("IF(E769&gt;AVERAGE(INDEX(GOOGLEFINANCE(B769,""volume"",WORKDAY(TODAY(),-$F$1),TODAY()),,2)),""Breakout"","""")"),"")</f>
        <v/>
      </c>
      <c r="H769" s="16">
        <f>IFERROR(__xludf.DUMMYFUNCTION("GOOGLEFINANCE(B769,""price"")"),2466.2)</f>
        <v>2466.2</v>
      </c>
      <c r="I769" s="17">
        <f>IFERROR(__xludf.DUMMYFUNCTION("AVERAGE(QUERY(SORT(GOOGLEFINANCE(B769,""price"",TODAY()-365,TODAY()),1,0),""select Col2 limit 10""))"),2433.21)</f>
        <v>2433.21</v>
      </c>
      <c r="J769" s="17">
        <f>IFERROR(__xludf.DUMMYFUNCTION("AVERAGE(QUERY(SORT(GOOGLEFINANCE(B769,""price"",TODAY()-365,TODAY()),1,0),""select Col2 limit 30""))"),2397.156666666667)</f>
        <v>2397.156667</v>
      </c>
      <c r="K769" s="18">
        <f>IFERROR(__xludf.DUMMYFUNCTION("AVERAGE(QUERY(SORT(GOOGLEFINANCE(B769,""price"",TODAY()-365,TODAY()),1,0),""select Col2 limit 60""))"),2335.4683333333337)</f>
        <v>2335.468333</v>
      </c>
      <c r="L769" s="17">
        <f>IFERROR(__xludf.DUMMYFUNCTION("AVERAGE(QUERY(SORT(GOOGLEFINANCE(B769,""price"",TODAY()-365,TODAY()),1,0),""select Col2 limit 90""))"),2144.0788888888887)</f>
        <v>2144.078889</v>
      </c>
      <c r="M769" s="17">
        <f>IFERROR(__xludf.DUMMYFUNCTION("AVERAGE(QUERY(SORT(GOOGLEFINANCE(B769,""price"",TODAY()-365,TODAY()),1,0),""select Col2 limit 120""))"),2006.9716666666673)</f>
        <v>2006.971667</v>
      </c>
      <c r="N769" s="19">
        <f>IFERROR(__xludf.DUMMYFUNCTION("AVERAGE(QUERY(SORT(GOOGLEFINANCE(B769,""price"",TODAY()-365,TODAY()),1,0),""select Col2 limit 200""))"),1914.4739999999993)</f>
        <v>1914.474</v>
      </c>
      <c r="O769" s="20" t="str">
        <f t="shared" si="2"/>
        <v>Avoid</v>
      </c>
      <c r="P769" s="21" t="str">
        <f t="shared" si="3"/>
        <v/>
      </c>
      <c r="Q769" s="21" t="str">
        <f t="shared" si="4"/>
        <v/>
      </c>
      <c r="R769" s="22">
        <f>IFERROR(__xludf.DUMMYFUNCTION("GOOGLEFINANCE(B769, ""pe"")
"),51.53)</f>
        <v>51.53</v>
      </c>
    </row>
    <row r="770">
      <c r="A770" s="9" t="s">
        <v>780</v>
      </c>
      <c r="B770" s="11" t="str">
        <f t="shared" si="1"/>
        <v>NSE:SUNDARMHLD</v>
      </c>
      <c r="C770" s="12">
        <f>IFERROR(__xludf.DUMMYFUNCTION("GOOGLEFINANCE(B770,""marketcap"")/10000000"),10624.340192)</f>
        <v>10624.34019</v>
      </c>
      <c r="D770" s="13">
        <f>IFERROR(__xludf.DUMMYFUNCTION("GOOGLEFINANCE(B770,""price"")"),479.35)</f>
        <v>479.35</v>
      </c>
      <c r="E770" s="14">
        <f>IFERROR(__xludf.DUMMYFUNCTION("GOOGLEFINANCE(B770,""Volume"")"),43967.0)</f>
        <v>43967</v>
      </c>
      <c r="F770" s="14">
        <f t="array" ref="F770">F769</f>
        <v>14</v>
      </c>
      <c r="G770" s="15" t="str">
        <f>IFERROR(__xludf.DUMMYFUNCTION("IF(E770&gt;AVERAGE(INDEX(GOOGLEFINANCE(B770,""volume"",WORKDAY(TODAY(),-$F$1),TODAY()),,2)),""Breakout"","""")"),"")</f>
        <v/>
      </c>
      <c r="H770" s="16">
        <f>IFERROR(__xludf.DUMMYFUNCTION("GOOGLEFINANCE(B770,""price"")"),479.35)</f>
        <v>479.35</v>
      </c>
      <c r="I770" s="17">
        <f>IFERROR(__xludf.DUMMYFUNCTION("AVERAGE(QUERY(SORT(GOOGLEFINANCE(B770,""price"",TODAY()-365,TODAY()),1,0),""select Col2 limit 10""))"),503.975)</f>
        <v>503.975</v>
      </c>
      <c r="J770" s="17">
        <f>IFERROR(__xludf.DUMMYFUNCTION("AVERAGE(QUERY(SORT(GOOGLEFINANCE(B770,""price"",TODAY()-365,TODAY()),1,0),""select Col2 limit 30""))"),495.07499999999993)</f>
        <v>495.075</v>
      </c>
      <c r="K770" s="18">
        <f>IFERROR(__xludf.DUMMYFUNCTION("AVERAGE(QUERY(SORT(GOOGLEFINANCE(B770,""price"",TODAY()-365,TODAY()),1,0),""select Col2 limit 60""))"),433.13083333333327)</f>
        <v>433.1308333</v>
      </c>
      <c r="L770" s="17">
        <f>IFERROR(__xludf.DUMMYFUNCTION("AVERAGE(QUERY(SORT(GOOGLEFINANCE(B770,""price"",TODAY()-365,TODAY()),1,0),""select Col2 limit 90""))"),395.1178888888887)</f>
        <v>395.1178889</v>
      </c>
      <c r="M770" s="17">
        <f>IFERROR(__xludf.DUMMYFUNCTION("AVERAGE(QUERY(SORT(GOOGLEFINANCE(B770,""price"",TODAY()-365,TODAY()),1,0),""select Col2 limit 120""))"),364.0887499999997)</f>
        <v>364.08875</v>
      </c>
      <c r="N770" s="19">
        <f>IFERROR(__xludf.DUMMYFUNCTION("AVERAGE(QUERY(SORT(GOOGLEFINANCE(B770,""price"",TODAY()-365,TODAY()),1,0),""select Col2 limit 200""))"),343.84724999999975)</f>
        <v>343.84725</v>
      </c>
      <c r="O770" s="20" t="str">
        <f t="shared" si="2"/>
        <v>Avoid</v>
      </c>
      <c r="P770" s="21" t="str">
        <f t="shared" si="3"/>
        <v/>
      </c>
      <c r="Q770" s="21" t="str">
        <f t="shared" si="4"/>
        <v/>
      </c>
      <c r="R770" s="22">
        <f>IFERROR(__xludf.DUMMYFUNCTION("GOOGLEFINANCE(B770, ""pe"")
"),25.77)</f>
        <v>25.77</v>
      </c>
    </row>
    <row r="771">
      <c r="A771" s="9" t="s">
        <v>781</v>
      </c>
      <c r="B771" s="11" t="str">
        <f t="shared" si="1"/>
        <v>NSE:ORIENTELEC</v>
      </c>
      <c r="C771" s="12">
        <f>IFERROR(__xludf.DUMMYFUNCTION("GOOGLEFINANCE(B771,""marketcap"")/10000000"),4661.18941)</f>
        <v>4661.18941</v>
      </c>
      <c r="D771" s="13">
        <f>IFERROR(__xludf.DUMMYFUNCTION("GOOGLEFINANCE(B771,""price"")"),218.67)</f>
        <v>218.67</v>
      </c>
      <c r="E771" s="14">
        <f>IFERROR(__xludf.DUMMYFUNCTION("GOOGLEFINANCE(B771,""Volume"")"),279716.0)</f>
        <v>279716</v>
      </c>
      <c r="F771" s="14">
        <f t="array" ref="F771">F770</f>
        <v>14</v>
      </c>
      <c r="G771" s="15" t="str">
        <f>IFERROR(__xludf.DUMMYFUNCTION("IF(E771&gt;AVERAGE(INDEX(GOOGLEFINANCE(B771,""volume"",WORKDAY(TODAY(),-$F$1),TODAY()),,2)),""Breakout"","""")"),"Breakout")</f>
        <v>Breakout</v>
      </c>
      <c r="H771" s="16">
        <f>IFERROR(__xludf.DUMMYFUNCTION("GOOGLEFINANCE(B771,""price"")"),218.67)</f>
        <v>218.67</v>
      </c>
      <c r="I771" s="17">
        <f>IFERROR(__xludf.DUMMYFUNCTION("AVERAGE(QUERY(SORT(GOOGLEFINANCE(B771,""price"",TODAY()-365,TODAY()),1,0),""select Col2 limit 10""))"),222.392)</f>
        <v>222.392</v>
      </c>
      <c r="J771" s="17">
        <f>IFERROR(__xludf.DUMMYFUNCTION("AVERAGE(QUERY(SORT(GOOGLEFINANCE(B771,""price"",TODAY()-365,TODAY()),1,0),""select Col2 limit 30""))"),221.79)</f>
        <v>221.79</v>
      </c>
      <c r="K771" s="18">
        <f>IFERROR(__xludf.DUMMYFUNCTION("AVERAGE(QUERY(SORT(GOOGLEFINANCE(B771,""price"",TODAY()-365,TODAY()),1,0),""select Col2 limit 60""))"),227.38833333333343)</f>
        <v>227.3883333</v>
      </c>
      <c r="L771" s="17">
        <f>IFERROR(__xludf.DUMMYFUNCTION("AVERAGE(QUERY(SORT(GOOGLEFINANCE(B771,""price"",TODAY()-365,TODAY()),1,0),""select Col2 limit 90""))"),224.17766666666674)</f>
        <v>224.1776667</v>
      </c>
      <c r="M771" s="17">
        <f>IFERROR(__xludf.DUMMYFUNCTION("AVERAGE(QUERY(SORT(GOOGLEFINANCE(B771,""price"",TODAY()-365,TODAY()),1,0),""select Col2 limit 120""))"),222.60508333333334)</f>
        <v>222.6050833</v>
      </c>
      <c r="N771" s="19">
        <f>IFERROR(__xludf.DUMMYFUNCTION("AVERAGE(QUERY(SORT(GOOGLEFINANCE(B771,""price"",TODAY()-365,TODAY()),1,0),""select Col2 limit 200""))"),227.84229999999985)</f>
        <v>227.8423</v>
      </c>
      <c r="O771" s="20" t="str">
        <f t="shared" si="2"/>
        <v>Avoid</v>
      </c>
      <c r="P771" s="21" t="str">
        <f t="shared" si="3"/>
        <v/>
      </c>
      <c r="Q771" s="21" t="str">
        <f t="shared" si="4"/>
        <v/>
      </c>
      <c r="R771" s="22">
        <f>IFERROR(__xludf.DUMMYFUNCTION("GOOGLEFINANCE(B771, ""pe"")
"),53.92)</f>
        <v>53.92</v>
      </c>
    </row>
    <row r="772">
      <c r="A772" s="9" t="s">
        <v>782</v>
      </c>
      <c r="B772" s="11" t="str">
        <f t="shared" si="1"/>
        <v>NSE:LUXIND</v>
      </c>
      <c r="C772" s="12">
        <f>IFERROR(__xludf.DUMMYFUNCTION("GOOGLEFINANCE(B772,""marketcap"")/10000000"),4246.4218593)</f>
        <v>4246.421859</v>
      </c>
      <c r="D772" s="13">
        <f>IFERROR(__xludf.DUMMYFUNCTION("GOOGLEFINANCE(B772,""price"")"),1411.5)</f>
        <v>1411.5</v>
      </c>
      <c r="E772" s="14">
        <f>IFERROR(__xludf.DUMMYFUNCTION("GOOGLEFINANCE(B772,""Volume"")"),6599.0)</f>
        <v>6599</v>
      </c>
      <c r="F772" s="14">
        <f t="array" ref="F772">F771</f>
        <v>14</v>
      </c>
      <c r="G772" s="15" t="str">
        <f>IFERROR(__xludf.DUMMYFUNCTION("IF(E772&gt;AVERAGE(INDEX(GOOGLEFINANCE(B772,""volume"",WORKDAY(TODAY(),-$F$1),TODAY()),,2)),""Breakout"","""")"),"")</f>
        <v/>
      </c>
      <c r="H772" s="16">
        <f>IFERROR(__xludf.DUMMYFUNCTION("GOOGLEFINANCE(B772,""price"")"),1411.5)</f>
        <v>1411.5</v>
      </c>
      <c r="I772" s="17">
        <f>IFERROR(__xludf.DUMMYFUNCTION("AVERAGE(QUERY(SORT(GOOGLEFINANCE(B772,""price"",TODAY()-365,TODAY()),1,0),""select Col2 limit 10""))"),1454.46)</f>
        <v>1454.46</v>
      </c>
      <c r="J772" s="17">
        <f>IFERROR(__xludf.DUMMYFUNCTION("AVERAGE(QUERY(SORT(GOOGLEFINANCE(B772,""price"",TODAY()-365,TODAY()),1,0),""select Col2 limit 30""))"),1450.4000000000003)</f>
        <v>1450.4</v>
      </c>
      <c r="K772" s="18">
        <f>IFERROR(__xludf.DUMMYFUNCTION("AVERAGE(QUERY(SORT(GOOGLEFINANCE(B772,""price"",TODAY()-365,TODAY()),1,0),""select Col2 limit 60""))"),1468.6099999999997)</f>
        <v>1468.61</v>
      </c>
      <c r="L772" s="17">
        <f>IFERROR(__xludf.DUMMYFUNCTION("AVERAGE(QUERY(SORT(GOOGLEFINANCE(B772,""price"",TODAY()-365,TODAY()),1,0),""select Col2 limit 90""))"),1439.7077777777777)</f>
        <v>1439.707778</v>
      </c>
      <c r="M772" s="17">
        <f>IFERROR(__xludf.DUMMYFUNCTION("AVERAGE(QUERY(SORT(GOOGLEFINANCE(B772,""price"",TODAY()-365,TODAY()),1,0),""select Col2 limit 120""))"),1429.710416666666)</f>
        <v>1429.710417</v>
      </c>
      <c r="N772" s="19">
        <f>IFERROR(__xludf.DUMMYFUNCTION("AVERAGE(QUERY(SORT(GOOGLEFINANCE(B772,""price"",TODAY()-365,TODAY()),1,0),""select Col2 limit 200""))"),1621.012749999999)</f>
        <v>1621.01275</v>
      </c>
      <c r="O772" s="20" t="str">
        <f t="shared" si="2"/>
        <v>Avoid</v>
      </c>
      <c r="P772" s="21" t="str">
        <f t="shared" si="3"/>
        <v/>
      </c>
      <c r="Q772" s="21" t="str">
        <f t="shared" si="4"/>
        <v/>
      </c>
      <c r="R772" s="22">
        <f>IFERROR(__xludf.DUMMYFUNCTION("GOOGLEFINANCE(B772, ""pe"")
"),25.69)</f>
        <v>25.69</v>
      </c>
    </row>
    <row r="773">
      <c r="A773" s="9" t="s">
        <v>783</v>
      </c>
      <c r="B773" s="11" t="str">
        <f t="shared" si="1"/>
        <v>NSE:RSYSTEMS</v>
      </c>
      <c r="C773" s="12">
        <f>IFERROR(__xludf.DUMMYFUNCTION("GOOGLEFINANCE(B773,""marketcap"")/10000000"),5027.7473895)</f>
        <v>5027.74739</v>
      </c>
      <c r="D773" s="13">
        <f>IFERROR(__xludf.DUMMYFUNCTION("GOOGLEFINANCE(B773,""price"")"),425.95)</f>
        <v>425.95</v>
      </c>
      <c r="E773" s="14">
        <f>IFERROR(__xludf.DUMMYFUNCTION("GOOGLEFINANCE(B773,""Volume"")"),124484.0)</f>
        <v>124484</v>
      </c>
      <c r="F773" s="14">
        <f t="array" ref="F773">F772</f>
        <v>14</v>
      </c>
      <c r="G773" s="15" t="str">
        <f>IFERROR(__xludf.DUMMYFUNCTION("IF(E773&gt;AVERAGE(INDEX(GOOGLEFINANCE(B773,""volume"",WORKDAY(TODAY(),-$F$1),TODAY()),,2)),""Breakout"","""")"),"Breakout")</f>
        <v>Breakout</v>
      </c>
      <c r="H773" s="16">
        <f>IFERROR(__xludf.DUMMYFUNCTION("GOOGLEFINANCE(B773,""price"")"),425.95)</f>
        <v>425.95</v>
      </c>
      <c r="I773" s="17">
        <f>IFERROR(__xludf.DUMMYFUNCTION("AVERAGE(QUERY(SORT(GOOGLEFINANCE(B773,""price"",TODAY()-365,TODAY()),1,0),""select Col2 limit 10""))"),442.445)</f>
        <v>442.445</v>
      </c>
      <c r="J773" s="17">
        <f>IFERROR(__xludf.DUMMYFUNCTION("AVERAGE(QUERY(SORT(GOOGLEFINANCE(B773,""price"",TODAY()-365,TODAY()),1,0),""select Col2 limit 30""))"),446.14333333333343)</f>
        <v>446.1433333</v>
      </c>
      <c r="K773" s="18">
        <f>IFERROR(__xludf.DUMMYFUNCTION("AVERAGE(QUERY(SORT(GOOGLEFINANCE(B773,""price"",TODAY()-365,TODAY()),1,0),""select Col2 limit 60""))"),408.6650000000001)</f>
        <v>408.665</v>
      </c>
      <c r="L773" s="17">
        <f>IFERROR(__xludf.DUMMYFUNCTION("AVERAGE(QUERY(SORT(GOOGLEFINANCE(B773,""price"",TODAY()-365,TODAY()),1,0),""select Col2 limit 90""))"),381.04222222222234)</f>
        <v>381.0422222</v>
      </c>
      <c r="M773" s="17">
        <f>IFERROR(__xludf.DUMMYFUNCTION("AVERAGE(QUERY(SORT(GOOGLEFINANCE(B773,""price"",TODAY()-365,TODAY()),1,0),""select Col2 limit 120""))"),377.99250000000006)</f>
        <v>377.9925</v>
      </c>
      <c r="N773" s="19">
        <f>IFERROR(__xludf.DUMMYFUNCTION("AVERAGE(QUERY(SORT(GOOGLEFINANCE(B773,""price"",TODAY()-365,TODAY()),1,0),""select Col2 limit 200""))"),419.0920000000001)</f>
        <v>419.092</v>
      </c>
      <c r="O773" s="20" t="str">
        <f t="shared" si="2"/>
        <v>Avoid</v>
      </c>
      <c r="P773" s="21" t="str">
        <f t="shared" si="3"/>
        <v/>
      </c>
      <c r="Q773" s="21" t="str">
        <f t="shared" si="4"/>
        <v/>
      </c>
      <c r="R773" s="22">
        <f>IFERROR(__xludf.DUMMYFUNCTION("GOOGLEFINANCE(B773, ""pe"")
"),37.49)</f>
        <v>37.49</v>
      </c>
    </row>
    <row r="774">
      <c r="A774" s="9" t="s">
        <v>784</v>
      </c>
      <c r="B774" s="11" t="str">
        <f t="shared" si="1"/>
        <v>NSE:IIFLSEC</v>
      </c>
      <c r="C774" s="12" t="str">
        <f>IFERROR(__xludf.DUMMYFUNCTION("GOOGLEFINANCE(B774,""marketcap"")/10000000"),"#N/A")</f>
        <v>#N/A</v>
      </c>
      <c r="D774" s="13" t="str">
        <f>IFERROR(__xludf.DUMMYFUNCTION("GOOGLEFINANCE(B774,""price"")"),"#N/A")</f>
        <v>#N/A</v>
      </c>
      <c r="E774" s="14" t="str">
        <f>IFERROR(__xludf.DUMMYFUNCTION("GOOGLEFINANCE(B774,""Volume"")"),"#N/A")</f>
        <v>#N/A</v>
      </c>
      <c r="F774" s="14">
        <f t="array" ref="F774">F773</f>
        <v>14</v>
      </c>
      <c r="G774" s="15" t="str">
        <f>IFERROR(__xludf.DUMMYFUNCTION("IF(E774&gt;AVERAGE(INDEX(GOOGLEFINANCE(B774,""volume"",WORKDAY(TODAY(),-$F$1),TODAY()),,2)),""Breakout"","""")"),"#N/A")</f>
        <v>#N/A</v>
      </c>
      <c r="H774" s="16" t="str">
        <f>IFERROR(__xludf.DUMMYFUNCTION("GOOGLEFINANCE(B774,""price"")"),"#N/A")</f>
        <v>#N/A</v>
      </c>
      <c r="I774" s="17" t="str">
        <f>IFERROR(__xludf.DUMMYFUNCTION("AVERAGE(QUERY(SORT(GOOGLEFINANCE(B774,""price"",TODAY()-365,TODAY()),1,0),""select Col2 limit 10""))"),"#N/A")</f>
        <v>#N/A</v>
      </c>
      <c r="J774" s="17" t="str">
        <f>IFERROR(__xludf.DUMMYFUNCTION("AVERAGE(QUERY(SORT(GOOGLEFINANCE(B774,""price"",TODAY()-365,TODAY()),1,0),""select Col2 limit 30""))"),"#N/A")</f>
        <v>#N/A</v>
      </c>
      <c r="K774" s="18" t="str">
        <f>IFERROR(__xludf.DUMMYFUNCTION("AVERAGE(QUERY(SORT(GOOGLEFINANCE(B774,""price"",TODAY()-365,TODAY()),1,0),""select Col2 limit 60""))"),"#N/A")</f>
        <v>#N/A</v>
      </c>
      <c r="L774" s="17" t="str">
        <f>IFERROR(__xludf.DUMMYFUNCTION("AVERAGE(QUERY(SORT(GOOGLEFINANCE(B774,""price"",TODAY()-365,TODAY()),1,0),""select Col2 limit 90""))"),"#N/A")</f>
        <v>#N/A</v>
      </c>
      <c r="M774" s="17" t="str">
        <f>IFERROR(__xludf.DUMMYFUNCTION("AVERAGE(QUERY(SORT(GOOGLEFINANCE(B774,""price"",TODAY()-365,TODAY()),1,0),""select Col2 limit 120""))"),"#N/A")</f>
        <v>#N/A</v>
      </c>
      <c r="N774" s="19" t="str">
        <f>IFERROR(__xludf.DUMMYFUNCTION("AVERAGE(QUERY(SORT(GOOGLEFINANCE(B774,""price"",TODAY()-365,TODAY()),1,0),""select Col2 limit 200""))"),"#N/A")</f>
        <v>#N/A</v>
      </c>
      <c r="O774" s="20" t="str">
        <f t="shared" si="2"/>
        <v>#N/A</v>
      </c>
      <c r="P774" s="21" t="str">
        <f t="shared" si="3"/>
        <v>#N/A</v>
      </c>
      <c r="Q774" s="21" t="str">
        <f t="shared" si="4"/>
        <v>#N/A</v>
      </c>
      <c r="R774" s="22" t="str">
        <f>IFERROR(__xludf.DUMMYFUNCTION("GOOGLEFINANCE(B774, ""pe"")
"),"#N/A")</f>
        <v>#N/A</v>
      </c>
    </row>
    <row r="775">
      <c r="A775" s="9" t="s">
        <v>785</v>
      </c>
      <c r="B775" s="11" t="str">
        <f t="shared" si="1"/>
        <v>NSE:GUJALKALI</v>
      </c>
      <c r="C775" s="12">
        <f>IFERROR(__xludf.DUMMYFUNCTION("GOOGLEFINANCE(B775,""marketcap"")/10000000"),4308.911281)</f>
        <v>4308.911281</v>
      </c>
      <c r="D775" s="13">
        <f>IFERROR(__xludf.DUMMYFUNCTION("GOOGLEFINANCE(B775,""price"")"),586.9)</f>
        <v>586.9</v>
      </c>
      <c r="E775" s="14">
        <f>IFERROR(__xludf.DUMMYFUNCTION("GOOGLEFINANCE(B775,""Volume"")"),19937.0)</f>
        <v>19937</v>
      </c>
      <c r="F775" s="14">
        <f t="array" ref="F775">F774</f>
        <v>14</v>
      </c>
      <c r="G775" s="15" t="str">
        <f>IFERROR(__xludf.DUMMYFUNCTION("IF(E775&gt;AVERAGE(INDEX(GOOGLEFINANCE(B775,""volume"",WORKDAY(TODAY(),-$F$1),TODAY()),,2)),""Breakout"","""")"),"")</f>
        <v/>
      </c>
      <c r="H775" s="16">
        <f>IFERROR(__xludf.DUMMYFUNCTION("GOOGLEFINANCE(B775,""price"")"),586.9)</f>
        <v>586.9</v>
      </c>
      <c r="I775" s="17">
        <f>IFERROR(__xludf.DUMMYFUNCTION("AVERAGE(QUERY(SORT(GOOGLEFINANCE(B775,""price"",TODAY()-365,TODAY()),1,0),""select Col2 limit 10""))"),591.75)</f>
        <v>591.75</v>
      </c>
      <c r="J775" s="17">
        <f>IFERROR(__xludf.DUMMYFUNCTION("AVERAGE(QUERY(SORT(GOOGLEFINANCE(B775,""price"",TODAY()-365,TODAY()),1,0),""select Col2 limit 30""))"),589.67)</f>
        <v>589.67</v>
      </c>
      <c r="K775" s="18">
        <f>IFERROR(__xludf.DUMMYFUNCTION("AVERAGE(QUERY(SORT(GOOGLEFINANCE(B775,""price"",TODAY()-365,TODAY()),1,0),""select Col2 limit 60""))"),600.5791666666665)</f>
        <v>600.5791667</v>
      </c>
      <c r="L775" s="17">
        <f>IFERROR(__xludf.DUMMYFUNCTION("AVERAGE(QUERY(SORT(GOOGLEFINANCE(B775,""price"",TODAY()-365,TODAY()),1,0),""select Col2 limit 90""))"),597.2549999999998)</f>
        <v>597.255</v>
      </c>
      <c r="M775" s="17">
        <f>IFERROR(__xludf.DUMMYFUNCTION("AVERAGE(QUERY(SORT(GOOGLEFINANCE(B775,""price"",TODAY()-365,TODAY()),1,0),""select Col2 limit 120""))"),601.5)</f>
        <v>601.5</v>
      </c>
      <c r="N775" s="19">
        <f>IFERROR(__xludf.DUMMYFUNCTION("AVERAGE(QUERY(SORT(GOOGLEFINANCE(B775,""price"",TODAY()-365,TODAY()),1,0),""select Col2 limit 200""))"),676.8165000000001)</f>
        <v>676.8165</v>
      </c>
      <c r="O775" s="20" t="str">
        <f t="shared" si="2"/>
        <v>Avoid</v>
      </c>
      <c r="P775" s="21" t="str">
        <f t="shared" si="3"/>
        <v>10 DMA</v>
      </c>
      <c r="Q775" s="21" t="str">
        <f t="shared" si="4"/>
        <v>10 DMA cross best</v>
      </c>
      <c r="R775" s="22" t="str">
        <f>IFERROR(__xludf.DUMMYFUNCTION("GOOGLEFINANCE(B775, ""pe"")
"),"#N/A")</f>
        <v>#N/A</v>
      </c>
    </row>
    <row r="776">
      <c r="A776" s="9" t="s">
        <v>786</v>
      </c>
      <c r="B776" s="11" t="str">
        <f t="shared" si="1"/>
        <v>NSE:GOCOLORS</v>
      </c>
      <c r="C776" s="12">
        <f>IFERROR(__xludf.DUMMYFUNCTION("GOOGLEFINANCE(B776,""marketcap"")/10000000"),4578.6112795)</f>
        <v>4578.61128</v>
      </c>
      <c r="D776" s="13">
        <f>IFERROR(__xludf.DUMMYFUNCTION("GOOGLEFINANCE(B776,""price"")"),847.35)</f>
        <v>847.35</v>
      </c>
      <c r="E776" s="14">
        <f>IFERROR(__xludf.DUMMYFUNCTION("GOOGLEFINANCE(B776,""Volume"")"),19629.0)</f>
        <v>19629</v>
      </c>
      <c r="F776" s="14">
        <f t="array" ref="F776">F775</f>
        <v>14</v>
      </c>
      <c r="G776" s="15" t="str">
        <f>IFERROR(__xludf.DUMMYFUNCTION("IF(E776&gt;AVERAGE(INDEX(GOOGLEFINANCE(B776,""volume"",WORKDAY(TODAY(),-$F$1),TODAY()),,2)),""Breakout"","""")"),"")</f>
        <v/>
      </c>
      <c r="H776" s="16">
        <f>IFERROR(__xludf.DUMMYFUNCTION("GOOGLEFINANCE(B776,""price"")"),847.35)</f>
        <v>847.35</v>
      </c>
      <c r="I776" s="17">
        <f>IFERROR(__xludf.DUMMYFUNCTION("AVERAGE(QUERY(SORT(GOOGLEFINANCE(B776,""price"",TODAY()-365,TODAY()),1,0),""select Col2 limit 10""))"),884.085)</f>
        <v>884.085</v>
      </c>
      <c r="J776" s="17">
        <f>IFERROR(__xludf.DUMMYFUNCTION("AVERAGE(QUERY(SORT(GOOGLEFINANCE(B776,""price"",TODAY()-365,TODAY()),1,0),""select Col2 limit 30""))"),881.3383333333334)</f>
        <v>881.3383333</v>
      </c>
      <c r="K776" s="18">
        <f>IFERROR(__xludf.DUMMYFUNCTION("AVERAGE(QUERY(SORT(GOOGLEFINANCE(B776,""price"",TODAY()-365,TODAY()),1,0),""select Col2 limit 60""))"),874.4733333333332)</f>
        <v>874.4733333</v>
      </c>
      <c r="L776" s="17">
        <f>IFERROR(__xludf.DUMMYFUNCTION("AVERAGE(QUERY(SORT(GOOGLEFINANCE(B776,""price"",TODAY()-365,TODAY()),1,0),""select Col2 limit 90""))"),821.2138888888886)</f>
        <v>821.2138889</v>
      </c>
      <c r="M776" s="17">
        <f>IFERROR(__xludf.DUMMYFUNCTION("AVERAGE(QUERY(SORT(GOOGLEFINANCE(B776,""price"",TODAY()-365,TODAY()),1,0),""select Col2 limit 120""))"),818.8941666666663)</f>
        <v>818.8941667</v>
      </c>
      <c r="N776" s="19">
        <f>IFERROR(__xludf.DUMMYFUNCTION("AVERAGE(QUERY(SORT(GOOGLEFINANCE(B776,""price"",TODAY()-365,TODAY()),1,0),""select Col2 limit 200""))"),927.0827499999994)</f>
        <v>927.08275</v>
      </c>
      <c r="O776" s="20" t="str">
        <f t="shared" si="2"/>
        <v>Avoid</v>
      </c>
      <c r="P776" s="21" t="str">
        <f t="shared" si="3"/>
        <v/>
      </c>
      <c r="Q776" s="21" t="str">
        <f t="shared" si="4"/>
        <v/>
      </c>
      <c r="R776" s="22">
        <f>IFERROR(__xludf.DUMMYFUNCTION("GOOGLEFINANCE(B776, ""pe"")
"),48.97)</f>
        <v>48.97</v>
      </c>
    </row>
    <row r="777">
      <c r="A777" s="9" t="s">
        <v>787</v>
      </c>
      <c r="B777" s="11" t="str">
        <f t="shared" si="1"/>
        <v>NSE:GATEWAY</v>
      </c>
      <c r="C777" s="12">
        <f>IFERROR(__xludf.DUMMYFUNCTION("GOOGLEFINANCE(B777,""marketcap"")/10000000"),3218.2058987)</f>
        <v>3218.205899</v>
      </c>
      <c r="D777" s="13">
        <f>IFERROR(__xludf.DUMMYFUNCTION("GOOGLEFINANCE(B777,""price"")"),64.41)</f>
        <v>64.41</v>
      </c>
      <c r="E777" s="14">
        <f>IFERROR(__xludf.DUMMYFUNCTION("GOOGLEFINANCE(B777,""Volume"")"),372670.0)</f>
        <v>372670</v>
      </c>
      <c r="F777" s="14">
        <f t="array" ref="F777">F776</f>
        <v>14</v>
      </c>
      <c r="G777" s="15" t="str">
        <f>IFERROR(__xludf.DUMMYFUNCTION("IF(E777&gt;AVERAGE(INDEX(GOOGLEFINANCE(B777,""volume"",WORKDAY(TODAY(),-$F$1),TODAY()),,2)),""Breakout"","""")"),"")</f>
        <v/>
      </c>
      <c r="H777" s="16">
        <f>IFERROR(__xludf.DUMMYFUNCTION("GOOGLEFINANCE(B777,""price"")"),64.41)</f>
        <v>64.41</v>
      </c>
      <c r="I777" s="17">
        <f>IFERROR(__xludf.DUMMYFUNCTION("AVERAGE(QUERY(SORT(GOOGLEFINANCE(B777,""price"",TODAY()-365,TODAY()),1,0),""select Col2 limit 10""))"),65.53899999999999)</f>
        <v>65.539</v>
      </c>
      <c r="J777" s="17">
        <f>IFERROR(__xludf.DUMMYFUNCTION("AVERAGE(QUERY(SORT(GOOGLEFINANCE(B777,""price"",TODAY()-365,TODAY()),1,0),""select Col2 limit 30""))"),65.10666666666667)</f>
        <v>65.10666667</v>
      </c>
      <c r="K777" s="18">
        <f>IFERROR(__xludf.DUMMYFUNCTION("AVERAGE(QUERY(SORT(GOOGLEFINANCE(B777,""price"",TODAY()-365,TODAY()),1,0),""select Col2 limit 60""))"),64.58)</f>
        <v>64.58</v>
      </c>
      <c r="L777" s="17">
        <f>IFERROR(__xludf.DUMMYFUNCTION("AVERAGE(QUERY(SORT(GOOGLEFINANCE(B777,""price"",TODAY()-365,TODAY()),1,0),""select Col2 limit 90""))"),63.65666666666667)</f>
        <v>63.65666667</v>
      </c>
      <c r="M777" s="17">
        <f>IFERROR(__xludf.DUMMYFUNCTION("AVERAGE(QUERY(SORT(GOOGLEFINANCE(B777,""price"",TODAY()-365,TODAY()),1,0),""select Col2 limit 120""))"),64.71241666666667)</f>
        <v>64.71241667</v>
      </c>
      <c r="N777" s="19">
        <f>IFERROR(__xludf.DUMMYFUNCTION("AVERAGE(QUERY(SORT(GOOGLEFINANCE(B777,""price"",TODAY()-365,TODAY()),1,0),""select Col2 limit 200""))"),72.15254999999998)</f>
        <v>72.15255</v>
      </c>
      <c r="O777" s="20" t="str">
        <f t="shared" si="2"/>
        <v>Avoid</v>
      </c>
      <c r="P777" s="21" t="str">
        <f t="shared" si="3"/>
        <v>60 DMA</v>
      </c>
      <c r="Q777" s="21" t="str">
        <f t="shared" si="4"/>
        <v/>
      </c>
      <c r="R777" s="22">
        <f>IFERROR(__xludf.DUMMYFUNCTION("GOOGLEFINANCE(B777, ""pe"")
"),8.68)</f>
        <v>8.68</v>
      </c>
    </row>
    <row r="778">
      <c r="A778" s="9" t="s">
        <v>788</v>
      </c>
      <c r="B778" s="11" t="str">
        <f t="shared" si="1"/>
        <v>NSE:UTKARSHBNK</v>
      </c>
      <c r="C778" s="12">
        <f>IFERROR(__xludf.DUMMYFUNCTION("GOOGLEFINANCE(B778,""marketcap"")/10000000"),2445.572064)</f>
        <v>2445.572064</v>
      </c>
      <c r="D778" s="13">
        <f>IFERROR(__xludf.DUMMYFUNCTION("GOOGLEFINANCE(B778,""price"")"),22.2)</f>
        <v>22.2</v>
      </c>
      <c r="E778" s="14">
        <f>IFERROR(__xludf.DUMMYFUNCTION("GOOGLEFINANCE(B778,""Volume"")"),1180592.0)</f>
        <v>1180592</v>
      </c>
      <c r="F778" s="14">
        <f t="array" ref="F778">F777</f>
        <v>14</v>
      </c>
      <c r="G778" s="15" t="str">
        <f>IFERROR(__xludf.DUMMYFUNCTION("IF(E778&gt;AVERAGE(INDEX(GOOGLEFINANCE(B778,""volume"",WORKDAY(TODAY(),-$F$1),TODAY()),,2)),""Breakout"","""")"),"")</f>
        <v/>
      </c>
      <c r="H778" s="16">
        <f>IFERROR(__xludf.DUMMYFUNCTION("GOOGLEFINANCE(B778,""price"")"),22.2)</f>
        <v>22.2</v>
      </c>
      <c r="I778" s="17">
        <f>IFERROR(__xludf.DUMMYFUNCTION("AVERAGE(QUERY(SORT(GOOGLEFINANCE(B778,""price"",TODAY()-365,TODAY()),1,0),""select Col2 limit 10""))"),23.153)</f>
        <v>23.153</v>
      </c>
      <c r="J778" s="17">
        <f>IFERROR(__xludf.DUMMYFUNCTION("AVERAGE(QUERY(SORT(GOOGLEFINANCE(B778,""price"",TODAY()-365,TODAY()),1,0),""select Col2 limit 30""))"),23.594000000000005)</f>
        <v>23.594</v>
      </c>
      <c r="K778" s="18">
        <f>IFERROR(__xludf.DUMMYFUNCTION("AVERAGE(QUERY(SORT(GOOGLEFINANCE(B778,""price"",TODAY()-365,TODAY()),1,0),""select Col2 limit 60""))"),23.682000000000006)</f>
        <v>23.682</v>
      </c>
      <c r="L778" s="17">
        <f>IFERROR(__xludf.DUMMYFUNCTION("AVERAGE(QUERY(SORT(GOOGLEFINANCE(B778,""price"",TODAY()-365,TODAY()),1,0),""select Col2 limit 90""))"),23.801777777777776)</f>
        <v>23.80177778</v>
      </c>
      <c r="M778" s="17">
        <f>IFERROR(__xludf.DUMMYFUNCTION("AVERAGE(QUERY(SORT(GOOGLEFINANCE(B778,""price"",TODAY()-365,TODAY()),1,0),""select Col2 limit 120""))"),24.57175)</f>
        <v>24.57175</v>
      </c>
      <c r="N778" s="19">
        <f>IFERROR(__xludf.DUMMYFUNCTION("AVERAGE(QUERY(SORT(GOOGLEFINANCE(B778,""price"",TODAY()-365,TODAY()),1,0),""select Col2 limit 200""))"),29.5123)</f>
        <v>29.5123</v>
      </c>
      <c r="O778" s="20" t="str">
        <f t="shared" si="2"/>
        <v>Avoid</v>
      </c>
      <c r="P778" s="21" t="str">
        <f t="shared" si="3"/>
        <v/>
      </c>
      <c r="Q778" s="21" t="str">
        <f t="shared" si="4"/>
        <v/>
      </c>
      <c r="R778" s="22">
        <f>IFERROR(__xludf.DUMMYFUNCTION("GOOGLEFINANCE(B778, ""pe"")
"),100.82)</f>
        <v>100.82</v>
      </c>
    </row>
    <row r="779">
      <c r="A779" s="9" t="s">
        <v>789</v>
      </c>
      <c r="B779" s="11" t="str">
        <f t="shared" si="1"/>
        <v>NSE:PILANIINVS</v>
      </c>
      <c r="C779" s="12">
        <f>IFERROR(__xludf.DUMMYFUNCTION("GOOGLEFINANCE(B779,""marketcap"")/10000000"),5653.49085)</f>
        <v>5653.49085</v>
      </c>
      <c r="D779" s="13">
        <f>IFERROR(__xludf.DUMMYFUNCTION("GOOGLEFINANCE(B779,""price"")"),5104.5)</f>
        <v>5104.5</v>
      </c>
      <c r="E779" s="14">
        <f>IFERROR(__xludf.DUMMYFUNCTION("GOOGLEFINANCE(B779,""Volume"")"),1157.0)</f>
        <v>1157</v>
      </c>
      <c r="F779" s="14">
        <f t="array" ref="F779">F778</f>
        <v>14</v>
      </c>
      <c r="G779" s="15" t="str">
        <f>IFERROR(__xludf.DUMMYFUNCTION("IF(E779&gt;AVERAGE(INDEX(GOOGLEFINANCE(B779,""volume"",WORKDAY(TODAY(),-$F$1),TODAY()),,2)),""Breakout"","""")"),"")</f>
        <v/>
      </c>
      <c r="H779" s="16">
        <f>IFERROR(__xludf.DUMMYFUNCTION("GOOGLEFINANCE(B779,""price"")"),5104.5)</f>
        <v>5104.5</v>
      </c>
      <c r="I779" s="17">
        <f>IFERROR(__xludf.DUMMYFUNCTION("AVERAGE(QUERY(SORT(GOOGLEFINANCE(B779,""price"",TODAY()-365,TODAY()),1,0),""select Col2 limit 10""))"),5278.65)</f>
        <v>5278.65</v>
      </c>
      <c r="J779" s="17">
        <f>IFERROR(__xludf.DUMMYFUNCTION("AVERAGE(QUERY(SORT(GOOGLEFINANCE(B779,""price"",TODAY()-365,TODAY()),1,0),""select Col2 limit 30""))"),5316.443333333334)</f>
        <v>5316.443333</v>
      </c>
      <c r="K779" s="18">
        <f>IFERROR(__xludf.DUMMYFUNCTION("AVERAGE(QUERY(SORT(GOOGLEFINANCE(B779,""price"",TODAY()-365,TODAY()),1,0),""select Col2 limit 60""))"),5032.756666666668)</f>
        <v>5032.756667</v>
      </c>
      <c r="L779" s="17">
        <f>IFERROR(__xludf.DUMMYFUNCTION("AVERAGE(QUERY(SORT(GOOGLEFINANCE(B779,""price"",TODAY()-365,TODAY()),1,0),""select Col2 limit 90""))"),4749.826666666668)</f>
        <v>4749.826667</v>
      </c>
      <c r="M779" s="17">
        <f>IFERROR(__xludf.DUMMYFUNCTION("AVERAGE(QUERY(SORT(GOOGLEFINANCE(B779,""price"",TODAY()-365,TODAY()),1,0),""select Col2 limit 120""))"),4572.211666666667)</f>
        <v>4572.211667</v>
      </c>
      <c r="N779" s="19">
        <f>IFERROR(__xludf.DUMMYFUNCTION("AVERAGE(QUERY(SORT(GOOGLEFINANCE(B779,""price"",TODAY()-365,TODAY()),1,0),""select Col2 limit 200""))"),5038.311000000002)</f>
        <v>5038.311</v>
      </c>
      <c r="O779" s="20" t="str">
        <f t="shared" si="2"/>
        <v>Avoid</v>
      </c>
      <c r="P779" s="21" t="str">
        <f t="shared" si="3"/>
        <v/>
      </c>
      <c r="Q779" s="21" t="str">
        <f t="shared" si="4"/>
        <v/>
      </c>
      <c r="R779" s="22">
        <f>IFERROR(__xludf.DUMMYFUNCTION("GOOGLEFINANCE(B779, ""pe"")
"),57.41)</f>
        <v>57.41</v>
      </c>
    </row>
    <row r="780">
      <c r="A780" s="9" t="s">
        <v>790</v>
      </c>
      <c r="B780" s="11" t="str">
        <f t="shared" si="1"/>
        <v>NSE:EDELWEISS</v>
      </c>
      <c r="C780" s="12">
        <f>IFERROR(__xludf.DUMMYFUNCTION("GOOGLEFINANCE(B780,""marketcap"")/10000000"),9868.0179137)</f>
        <v>9868.017914</v>
      </c>
      <c r="D780" s="13">
        <f>IFERROR(__xludf.DUMMYFUNCTION("GOOGLEFINANCE(B780,""price"")"),104.91)</f>
        <v>104.91</v>
      </c>
      <c r="E780" s="14">
        <f>IFERROR(__xludf.DUMMYFUNCTION("GOOGLEFINANCE(B780,""Volume"")"),2771526.0)</f>
        <v>2771526</v>
      </c>
      <c r="F780" s="14">
        <f t="array" ref="F780">F779</f>
        <v>14</v>
      </c>
      <c r="G780" s="15" t="str">
        <f>IFERROR(__xludf.DUMMYFUNCTION("IF(E780&gt;AVERAGE(INDEX(GOOGLEFINANCE(B780,""volume"",WORKDAY(TODAY(),-$F$1),TODAY()),,2)),""Breakout"","""")"),"")</f>
        <v/>
      </c>
      <c r="H780" s="16">
        <f>IFERROR(__xludf.DUMMYFUNCTION("GOOGLEFINANCE(B780,""price"")"),104.91)</f>
        <v>104.91</v>
      </c>
      <c r="I780" s="17">
        <f>IFERROR(__xludf.DUMMYFUNCTION("AVERAGE(QUERY(SORT(GOOGLEFINANCE(B780,""price"",TODAY()-365,TODAY()),1,0),""select Col2 limit 10""))"),114.83099999999999)</f>
        <v>114.831</v>
      </c>
      <c r="J780" s="17">
        <f>IFERROR(__xludf.DUMMYFUNCTION("AVERAGE(QUERY(SORT(GOOGLEFINANCE(B780,""price"",TODAY()-365,TODAY()),1,0),""select Col2 limit 30""))"),112.478)</f>
        <v>112.478</v>
      </c>
      <c r="K780" s="18">
        <f>IFERROR(__xludf.DUMMYFUNCTION("AVERAGE(QUERY(SORT(GOOGLEFINANCE(B780,""price"",TODAY()-365,TODAY()),1,0),""select Col2 limit 60""))"),104.61933333333334)</f>
        <v>104.6193333</v>
      </c>
      <c r="L780" s="17">
        <f>IFERROR(__xludf.DUMMYFUNCTION("AVERAGE(QUERY(SORT(GOOGLEFINANCE(B780,""price"",TODAY()-365,TODAY()),1,0),""select Col2 limit 90""))"),98.241)</f>
        <v>98.241</v>
      </c>
      <c r="M780" s="17">
        <f>IFERROR(__xludf.DUMMYFUNCTION("AVERAGE(QUERY(SORT(GOOGLEFINANCE(B780,""price"",TODAY()-365,TODAY()),1,0),""select Col2 limit 120""))"),98.73791666666669)</f>
        <v>98.73791667</v>
      </c>
      <c r="N780" s="19">
        <f>IFERROR(__xludf.DUMMYFUNCTION("AVERAGE(QUERY(SORT(GOOGLEFINANCE(B780,""price"",TODAY()-365,TODAY()),1,0),""select Col2 limit 200""))"),106.36875)</f>
        <v>106.36875</v>
      </c>
      <c r="O780" s="20" t="str">
        <f t="shared" si="2"/>
        <v>Avoid</v>
      </c>
      <c r="P780" s="21" t="str">
        <f t="shared" si="3"/>
        <v/>
      </c>
      <c r="Q780" s="21" t="str">
        <f t="shared" si="4"/>
        <v/>
      </c>
      <c r="R780" s="22">
        <f>IFERROR(__xludf.DUMMYFUNCTION("GOOGLEFINANCE(B780, ""pe"")
"),18.08)</f>
        <v>18.08</v>
      </c>
    </row>
    <row r="781">
      <c r="A781" s="9" t="s">
        <v>791</v>
      </c>
      <c r="B781" s="11" t="str">
        <f t="shared" si="1"/>
        <v>NSE:RBA</v>
      </c>
      <c r="C781" s="12">
        <f>IFERROR(__xludf.DUMMYFUNCTION("GOOGLEFINANCE(B781,""marketcap"")/10000000"),4731.3953566)</f>
        <v>4731.395357</v>
      </c>
      <c r="D781" s="13">
        <f>IFERROR(__xludf.DUMMYFUNCTION("GOOGLEFINANCE(B781,""price"")"),81.24)</f>
        <v>81.24</v>
      </c>
      <c r="E781" s="14">
        <f>IFERROR(__xludf.DUMMYFUNCTION("GOOGLEFINANCE(B781,""Volume"")"),259583.0)</f>
        <v>259583</v>
      </c>
      <c r="F781" s="14">
        <f t="array" ref="F781">F780</f>
        <v>14</v>
      </c>
      <c r="G781" s="15" t="str">
        <f>IFERROR(__xludf.DUMMYFUNCTION("IF(E781&gt;AVERAGE(INDEX(GOOGLEFINANCE(B781,""volume"",WORKDAY(TODAY(),-$F$1),TODAY()),,2)),""Breakout"","""")"),"")</f>
        <v/>
      </c>
      <c r="H781" s="16">
        <f>IFERROR(__xludf.DUMMYFUNCTION("GOOGLEFINANCE(B781,""price"")"),81.24)</f>
        <v>81.24</v>
      </c>
      <c r="I781" s="17">
        <f>IFERROR(__xludf.DUMMYFUNCTION("AVERAGE(QUERY(SORT(GOOGLEFINANCE(B781,""price"",TODAY()-365,TODAY()),1,0),""select Col2 limit 10""))"),83.553)</f>
        <v>83.553</v>
      </c>
      <c r="J781" s="17">
        <f>IFERROR(__xludf.DUMMYFUNCTION("AVERAGE(QUERY(SORT(GOOGLEFINANCE(B781,""price"",TODAY()-365,TODAY()),1,0),""select Col2 limit 30""))"),81.79866666666666)</f>
        <v>81.79866667</v>
      </c>
      <c r="K781" s="18">
        <f>IFERROR(__xludf.DUMMYFUNCTION("AVERAGE(QUERY(SORT(GOOGLEFINANCE(B781,""price"",TODAY()-365,TODAY()),1,0),""select Col2 limit 60""))"),81.46116666666667)</f>
        <v>81.46116667</v>
      </c>
      <c r="L781" s="17">
        <f>IFERROR(__xludf.DUMMYFUNCTION("AVERAGE(QUERY(SORT(GOOGLEFINANCE(B781,""price"",TODAY()-365,TODAY()),1,0),""select Col2 limit 90""))"),77.88022222222223)</f>
        <v>77.88022222</v>
      </c>
      <c r="M781" s="17">
        <f>IFERROR(__xludf.DUMMYFUNCTION("AVERAGE(QUERY(SORT(GOOGLEFINANCE(B781,""price"",TODAY()-365,TODAY()),1,0),""select Col2 limit 120""))"),75.77024999999999)</f>
        <v>75.77025</v>
      </c>
      <c r="N781" s="19">
        <f>IFERROR(__xludf.DUMMYFUNCTION("AVERAGE(QUERY(SORT(GOOGLEFINANCE(B781,""price"",TODAY()-365,TODAY()),1,0),""select Col2 limit 200""))"),80.25684999999997)</f>
        <v>80.25685</v>
      </c>
      <c r="O781" s="20" t="str">
        <f t="shared" si="2"/>
        <v>Avoid</v>
      </c>
      <c r="P781" s="21" t="str">
        <f t="shared" si="3"/>
        <v>30 DMA</v>
      </c>
      <c r="Q781" s="21" t="str">
        <f t="shared" si="4"/>
        <v/>
      </c>
      <c r="R781" s="22" t="str">
        <f>IFERROR(__xludf.DUMMYFUNCTION("GOOGLEFINANCE(B781, ""pe"")
"),"#N/A")</f>
        <v>#N/A</v>
      </c>
    </row>
    <row r="782">
      <c r="A782" s="9" t="s">
        <v>792</v>
      </c>
      <c r="B782" s="11" t="str">
        <f t="shared" si="1"/>
        <v>NSE:RAIN</v>
      </c>
      <c r="C782" s="12">
        <f>IFERROR(__xludf.DUMMYFUNCTION("GOOGLEFINANCE(B782,""marketcap"")/10000000"),5166.2686212)</f>
        <v>5166.268621</v>
      </c>
      <c r="D782" s="13">
        <f>IFERROR(__xludf.DUMMYFUNCTION("GOOGLEFINANCE(B782,""price"")"),153.75)</f>
        <v>153.75</v>
      </c>
      <c r="E782" s="14">
        <f>IFERROR(__xludf.DUMMYFUNCTION("GOOGLEFINANCE(B782,""Volume"")"),557564.0)</f>
        <v>557564</v>
      </c>
      <c r="F782" s="14">
        <f t="array" ref="F782">F781</f>
        <v>14</v>
      </c>
      <c r="G782" s="15" t="str">
        <f>IFERROR(__xludf.DUMMYFUNCTION("IF(E782&gt;AVERAGE(INDEX(GOOGLEFINANCE(B782,""volume"",WORKDAY(TODAY(),-$F$1),TODAY()),,2)),""Breakout"","""")"),"")</f>
        <v/>
      </c>
      <c r="H782" s="16">
        <f>IFERROR(__xludf.DUMMYFUNCTION("GOOGLEFINANCE(B782,""price"")"),153.75)</f>
        <v>153.75</v>
      </c>
      <c r="I782" s="17">
        <f>IFERROR(__xludf.DUMMYFUNCTION("AVERAGE(QUERY(SORT(GOOGLEFINANCE(B782,""price"",TODAY()-365,TODAY()),1,0),""select Col2 limit 10""))"),152.531)</f>
        <v>152.531</v>
      </c>
      <c r="J782" s="17">
        <f>IFERROR(__xludf.DUMMYFUNCTION("AVERAGE(QUERY(SORT(GOOGLEFINANCE(B782,""price"",TODAY()-365,TODAY()),1,0),""select Col2 limit 30""))"),148.43566666666666)</f>
        <v>148.4356667</v>
      </c>
      <c r="K782" s="18">
        <f>IFERROR(__xludf.DUMMYFUNCTION("AVERAGE(QUERY(SORT(GOOGLEFINANCE(B782,""price"",TODAY()-365,TODAY()),1,0),""select Col2 limit 60""))"),146.92016666666666)</f>
        <v>146.9201667</v>
      </c>
      <c r="L782" s="17">
        <f>IFERROR(__xludf.DUMMYFUNCTION("AVERAGE(QUERY(SORT(GOOGLEFINANCE(B782,""price"",TODAY()-365,TODAY()),1,0),""select Col2 limit 90""))"),144.52166666666668)</f>
        <v>144.5216667</v>
      </c>
      <c r="M782" s="17">
        <f>IFERROR(__xludf.DUMMYFUNCTION("AVERAGE(QUERY(SORT(GOOGLEFINANCE(B782,""price"",TODAY()-365,TODAY()),1,0),""select Col2 limit 120""))"),141.50058333333334)</f>
        <v>141.5005833</v>
      </c>
      <c r="N782" s="19">
        <f>IFERROR(__xludf.DUMMYFUNCTION("AVERAGE(QUERY(SORT(GOOGLEFINANCE(B782,""price"",TODAY()-365,TODAY()),1,0),""select Col2 limit 200""))"),150.48274999999998)</f>
        <v>150.48275</v>
      </c>
      <c r="O782" s="20" t="str">
        <f t="shared" si="2"/>
        <v>Avoid</v>
      </c>
      <c r="P782" s="21" t="str">
        <f t="shared" si="3"/>
        <v/>
      </c>
      <c r="Q782" s="21" t="str">
        <f t="shared" si="4"/>
        <v/>
      </c>
      <c r="R782" s="22" t="str">
        <f>IFERROR(__xludf.DUMMYFUNCTION("GOOGLEFINANCE(B782, ""pe"")
"),"#N/A")</f>
        <v>#N/A</v>
      </c>
    </row>
    <row r="783">
      <c r="A783" s="9" t="s">
        <v>793</v>
      </c>
      <c r="B783" s="11" t="str">
        <f t="shared" si="1"/>
        <v>NSE:AMIORG</v>
      </c>
      <c r="C783" s="12" t="str">
        <f>IFERROR(__xludf.DUMMYFUNCTION("GOOGLEFINANCE(B783,""marketcap"")/10000000"),"#N/A")</f>
        <v>#N/A</v>
      </c>
      <c r="D783" s="13" t="str">
        <f>IFERROR(__xludf.DUMMYFUNCTION("GOOGLEFINANCE(B783,""price"")"),"#N/A")</f>
        <v>#N/A</v>
      </c>
      <c r="E783" s="14" t="str">
        <f>IFERROR(__xludf.DUMMYFUNCTION("GOOGLEFINANCE(B783,""Volume"")"),"#N/A")</f>
        <v>#N/A</v>
      </c>
      <c r="F783" s="14">
        <f t="array" ref="F783">F782</f>
        <v>14</v>
      </c>
      <c r="G783" s="15" t="str">
        <f>IFERROR(__xludf.DUMMYFUNCTION("IF(E783&gt;AVERAGE(INDEX(GOOGLEFINANCE(B783,""volume"",WORKDAY(TODAY(),-$F$1),TODAY()),,2)),""Breakout"","""")"),"#N/A")</f>
        <v>#N/A</v>
      </c>
      <c r="H783" s="16" t="str">
        <f>IFERROR(__xludf.DUMMYFUNCTION("GOOGLEFINANCE(B783,""price"")"),"#N/A")</f>
        <v>#N/A</v>
      </c>
      <c r="I783" s="17" t="str">
        <f>IFERROR(__xludf.DUMMYFUNCTION("AVERAGE(QUERY(SORT(GOOGLEFINANCE(B783,""price"",TODAY()-365,TODAY()),1,0),""select Col2 limit 10""))"),"#N/A")</f>
        <v>#N/A</v>
      </c>
      <c r="J783" s="17" t="str">
        <f>IFERROR(__xludf.DUMMYFUNCTION("AVERAGE(QUERY(SORT(GOOGLEFINANCE(B783,""price"",TODAY()-365,TODAY()),1,0),""select Col2 limit 30""))"),"#N/A")</f>
        <v>#N/A</v>
      </c>
      <c r="K783" s="18" t="str">
        <f>IFERROR(__xludf.DUMMYFUNCTION("AVERAGE(QUERY(SORT(GOOGLEFINANCE(B783,""price"",TODAY()-365,TODAY()),1,0),""select Col2 limit 60""))"),"#N/A")</f>
        <v>#N/A</v>
      </c>
      <c r="L783" s="17" t="str">
        <f>IFERROR(__xludf.DUMMYFUNCTION("AVERAGE(QUERY(SORT(GOOGLEFINANCE(B783,""price"",TODAY()-365,TODAY()),1,0),""select Col2 limit 90""))"),"#N/A")</f>
        <v>#N/A</v>
      </c>
      <c r="M783" s="17" t="str">
        <f>IFERROR(__xludf.DUMMYFUNCTION("AVERAGE(QUERY(SORT(GOOGLEFINANCE(B783,""price"",TODAY()-365,TODAY()),1,0),""select Col2 limit 120""))"),"#N/A")</f>
        <v>#N/A</v>
      </c>
      <c r="N783" s="19" t="str">
        <f>IFERROR(__xludf.DUMMYFUNCTION("AVERAGE(QUERY(SORT(GOOGLEFINANCE(B783,""price"",TODAY()-365,TODAY()),1,0),""select Col2 limit 200""))"),"#N/A")</f>
        <v>#N/A</v>
      </c>
      <c r="O783" s="20" t="str">
        <f t="shared" si="2"/>
        <v>#N/A</v>
      </c>
      <c r="P783" s="21" t="str">
        <f t="shared" si="3"/>
        <v>#N/A</v>
      </c>
      <c r="Q783" s="21" t="str">
        <f t="shared" si="4"/>
        <v>#N/A</v>
      </c>
      <c r="R783" s="22" t="str">
        <f>IFERROR(__xludf.DUMMYFUNCTION("GOOGLEFINANCE(B783, ""pe"")
"),"#N/A")</f>
        <v>#N/A</v>
      </c>
    </row>
    <row r="784">
      <c r="A784" s="9" t="s">
        <v>794</v>
      </c>
      <c r="B784" s="11" t="str">
        <f t="shared" si="1"/>
        <v>NSE:JCHAC</v>
      </c>
      <c r="C784" s="12">
        <f>IFERROR(__xludf.DUMMYFUNCTION("GOOGLEFINANCE(B784,""marketcap"")/10000000"),4719.7930831)</f>
        <v>4719.793083</v>
      </c>
      <c r="D784" s="13">
        <f>IFERROR(__xludf.DUMMYFUNCTION("GOOGLEFINANCE(B784,""price"")"),1735.0)</f>
        <v>1735</v>
      </c>
      <c r="E784" s="14">
        <f>IFERROR(__xludf.DUMMYFUNCTION("GOOGLEFINANCE(B784,""Volume"")"),20014.0)</f>
        <v>20014</v>
      </c>
      <c r="F784" s="14">
        <f t="array" ref="F784">F783</f>
        <v>14</v>
      </c>
      <c r="G784" s="15" t="str">
        <f>IFERROR(__xludf.DUMMYFUNCTION("IF(E784&gt;AVERAGE(INDEX(GOOGLEFINANCE(B784,""volume"",WORKDAY(TODAY(),-$F$1),TODAY()),,2)),""Breakout"","""")"),"")</f>
        <v/>
      </c>
      <c r="H784" s="16">
        <f>IFERROR(__xludf.DUMMYFUNCTION("GOOGLEFINANCE(B784,""price"")"),1735.0)</f>
        <v>1735</v>
      </c>
      <c r="I784" s="17">
        <f>IFERROR(__xludf.DUMMYFUNCTION("AVERAGE(QUERY(SORT(GOOGLEFINANCE(B784,""price"",TODAY()-365,TODAY()),1,0),""select Col2 limit 10""))"),1749.8399999999997)</f>
        <v>1749.84</v>
      </c>
      <c r="J784" s="17">
        <f>IFERROR(__xludf.DUMMYFUNCTION("AVERAGE(QUERY(SORT(GOOGLEFINANCE(B784,""price"",TODAY()-365,TODAY()),1,0),""select Col2 limit 30""))"),1760.5766666666666)</f>
        <v>1760.576667</v>
      </c>
      <c r="K784" s="18">
        <f>IFERROR(__xludf.DUMMYFUNCTION("AVERAGE(QUERY(SORT(GOOGLEFINANCE(B784,""price"",TODAY()-365,TODAY()),1,0),""select Col2 limit 60""))"),1746.0583333333334)</f>
        <v>1746.058333</v>
      </c>
      <c r="L784" s="17">
        <f>IFERROR(__xludf.DUMMYFUNCTION("AVERAGE(QUERY(SORT(GOOGLEFINANCE(B784,""price"",TODAY()-365,TODAY()),1,0),""select Col2 limit 90""))"),1758.1822222222224)</f>
        <v>1758.182222</v>
      </c>
      <c r="M784" s="17">
        <f>IFERROR(__xludf.DUMMYFUNCTION("AVERAGE(QUERY(SORT(GOOGLEFINANCE(B784,""price"",TODAY()-365,TODAY()),1,0),""select Col2 limit 120""))"),1737.2579166666667)</f>
        <v>1737.257917</v>
      </c>
      <c r="N784" s="19">
        <f>IFERROR(__xludf.DUMMYFUNCTION("AVERAGE(QUERY(SORT(GOOGLEFINANCE(B784,""price"",TODAY()-365,TODAY()),1,0),""select Col2 limit 200""))"),1828.0800000000008)</f>
        <v>1828.08</v>
      </c>
      <c r="O784" s="20" t="str">
        <f t="shared" si="2"/>
        <v>Avoid</v>
      </c>
      <c r="P784" s="21" t="str">
        <f t="shared" si="3"/>
        <v>10 DMA</v>
      </c>
      <c r="Q784" s="21" t="str">
        <f t="shared" si="4"/>
        <v>10 DMA cross best</v>
      </c>
      <c r="R784" s="22">
        <f>IFERROR(__xludf.DUMMYFUNCTION("GOOGLEFINANCE(B784, ""pe"")
"),116.53)</f>
        <v>116.53</v>
      </c>
    </row>
    <row r="785">
      <c r="A785" s="9" t="s">
        <v>795</v>
      </c>
      <c r="B785" s="11" t="str">
        <f t="shared" si="1"/>
        <v>NSE:HEIDELBERG</v>
      </c>
      <c r="C785" s="12">
        <f>IFERROR(__xludf.DUMMYFUNCTION("GOOGLEFINANCE(B785,""marketcap"")/10000000"),4832.7508461)</f>
        <v>4832.750846</v>
      </c>
      <c r="D785" s="13">
        <f>IFERROR(__xludf.DUMMYFUNCTION("GOOGLEFINANCE(B785,""price"")"),213.23)</f>
        <v>213.23</v>
      </c>
      <c r="E785" s="14">
        <f>IFERROR(__xludf.DUMMYFUNCTION("GOOGLEFINANCE(B785,""Volume"")"),65091.0)</f>
        <v>65091</v>
      </c>
      <c r="F785" s="14">
        <f t="array" ref="F785">F784</f>
        <v>14</v>
      </c>
      <c r="G785" s="15" t="str">
        <f>IFERROR(__xludf.DUMMYFUNCTION("IF(E785&gt;AVERAGE(INDEX(GOOGLEFINANCE(B785,""volume"",WORKDAY(TODAY(),-$F$1),TODAY()),,2)),""Breakout"","""")"),"")</f>
        <v/>
      </c>
      <c r="H785" s="16">
        <f>IFERROR(__xludf.DUMMYFUNCTION("GOOGLEFINANCE(B785,""price"")"),213.23)</f>
        <v>213.23</v>
      </c>
      <c r="I785" s="17">
        <f>IFERROR(__xludf.DUMMYFUNCTION("AVERAGE(QUERY(SORT(GOOGLEFINANCE(B785,""price"",TODAY()-365,TODAY()),1,0),""select Col2 limit 10""))"),213.78900000000004)</f>
        <v>213.789</v>
      </c>
      <c r="J785" s="17">
        <f>IFERROR(__xludf.DUMMYFUNCTION("AVERAGE(QUERY(SORT(GOOGLEFINANCE(B785,""price"",TODAY()-365,TODAY()),1,0),""select Col2 limit 30""))"),207.91833333333338)</f>
        <v>207.9183333</v>
      </c>
      <c r="K785" s="18">
        <f>IFERROR(__xludf.DUMMYFUNCTION("AVERAGE(QUERY(SORT(GOOGLEFINANCE(B785,""price"",TODAY()-365,TODAY()),1,0),""select Col2 limit 60""))"),201.9118333333334)</f>
        <v>201.9118333</v>
      </c>
      <c r="L785" s="17">
        <f>IFERROR(__xludf.DUMMYFUNCTION("AVERAGE(QUERY(SORT(GOOGLEFINANCE(B785,""price"",TODAY()-365,TODAY()),1,0),""select Col2 limit 90""))"),199.89511111111116)</f>
        <v>199.8951111</v>
      </c>
      <c r="M785" s="17">
        <f>IFERROR(__xludf.DUMMYFUNCTION("AVERAGE(QUERY(SORT(GOOGLEFINANCE(B785,""price"",TODAY()-365,TODAY()),1,0),""select Col2 limit 120""))"),201.18775000000002)</f>
        <v>201.18775</v>
      </c>
      <c r="N785" s="19">
        <f>IFERROR(__xludf.DUMMYFUNCTION("AVERAGE(QUERY(SORT(GOOGLEFINANCE(B785,""price"",TODAY()-365,TODAY()),1,0),""select Col2 limit 200""))"),208.38494999999995)</f>
        <v>208.38495</v>
      </c>
      <c r="O785" s="20" t="str">
        <f t="shared" si="2"/>
        <v>Avoid</v>
      </c>
      <c r="P785" s="21" t="str">
        <f t="shared" si="3"/>
        <v>10 DMA</v>
      </c>
      <c r="Q785" s="21" t="str">
        <f t="shared" si="4"/>
        <v/>
      </c>
      <c r="R785" s="22">
        <f>IFERROR(__xludf.DUMMYFUNCTION("GOOGLEFINANCE(B785, ""pe"")
"),45.37)</f>
        <v>45.37</v>
      </c>
    </row>
    <row r="786">
      <c r="A786" s="9" t="s">
        <v>796</v>
      </c>
      <c r="B786" s="11" t="str">
        <f t="shared" si="1"/>
        <v>NSE:GRWRHITECH</v>
      </c>
      <c r="C786" s="12">
        <f>IFERROR(__xludf.DUMMYFUNCTION("GOOGLEFINANCE(B786,""marketcap"")/10000000"),8327.6501955)</f>
        <v>8327.650196</v>
      </c>
      <c r="D786" s="13">
        <f>IFERROR(__xludf.DUMMYFUNCTION("GOOGLEFINANCE(B786,""price"")"),3585.8)</f>
        <v>3585.8</v>
      </c>
      <c r="E786" s="14">
        <f>IFERROR(__xludf.DUMMYFUNCTION("GOOGLEFINANCE(B786,""Volume"")"),14801.0)</f>
        <v>14801</v>
      </c>
      <c r="F786" s="14">
        <f t="array" ref="F786">F785</f>
        <v>14</v>
      </c>
      <c r="G786" s="15" t="str">
        <f>IFERROR(__xludf.DUMMYFUNCTION("IF(E786&gt;AVERAGE(INDEX(GOOGLEFINANCE(B786,""volume"",WORKDAY(TODAY(),-$F$1),TODAY()),,2)),""Breakout"","""")"),"#N/A")</f>
        <v>#N/A</v>
      </c>
      <c r="H786" s="16">
        <f>IFERROR(__xludf.DUMMYFUNCTION("GOOGLEFINANCE(B786,""price"")"),3585.8)</f>
        <v>3585.8</v>
      </c>
      <c r="I786" s="17">
        <f>IFERROR(__xludf.DUMMYFUNCTION("AVERAGE(QUERY(SORT(GOOGLEFINANCE(B786,""price"",TODAY()-365,TODAY()),1,0),""select Col2 limit 10""))"),3697.3700000000003)</f>
        <v>3697.37</v>
      </c>
      <c r="J786" s="17">
        <f>IFERROR(__xludf.DUMMYFUNCTION("AVERAGE(QUERY(SORT(GOOGLEFINANCE(B786,""price"",TODAY()-365,TODAY()),1,0),""select Col2 limit 30""))"),3907.3266666666673)</f>
        <v>3907.326667</v>
      </c>
      <c r="K786" s="18">
        <f>IFERROR(__xludf.DUMMYFUNCTION("AVERAGE(QUERY(SORT(GOOGLEFINANCE(B786,""price"",TODAY()-365,TODAY()),1,0),""select Col2 limit 60""))"),3994.9649999999992)</f>
        <v>3994.965</v>
      </c>
      <c r="L786" s="17">
        <f>IFERROR(__xludf.DUMMYFUNCTION("AVERAGE(QUERY(SORT(GOOGLEFINANCE(B786,""price"",TODAY()-365,TODAY()),1,0),""select Col2 limit 90""))"),3801.1772222222235)</f>
        <v>3801.177222</v>
      </c>
      <c r="M786" s="17">
        <f>IFERROR(__xludf.DUMMYFUNCTION("AVERAGE(QUERY(SORT(GOOGLEFINANCE(B786,""price"",TODAY()-365,TODAY()),1,0),""select Col2 limit 120""))"),3821.043333333334)</f>
        <v>3821.043333</v>
      </c>
      <c r="N786" s="19">
        <f>IFERROR(__xludf.DUMMYFUNCTION("AVERAGE(QUERY(SORT(GOOGLEFINANCE(B786,""price"",TODAY()-365,TODAY()),1,0),""select Col2 limit 200""))"),4060.183)</f>
        <v>4060.183</v>
      </c>
      <c r="O786" s="20" t="str">
        <f t="shared" si="2"/>
        <v>Avoid</v>
      </c>
      <c r="P786" s="21" t="str">
        <f t="shared" si="3"/>
        <v/>
      </c>
      <c r="Q786" s="21" t="str">
        <f t="shared" si="4"/>
        <v/>
      </c>
      <c r="R786" s="22">
        <f>IFERROR(__xludf.DUMMYFUNCTION("GOOGLEFINANCE(B786, ""pe"")
"),25.14)</f>
        <v>25.14</v>
      </c>
    </row>
    <row r="787">
      <c r="A787" s="9" t="s">
        <v>797</v>
      </c>
      <c r="B787" s="11" t="str">
        <f t="shared" si="1"/>
        <v>NSE:EXICOM</v>
      </c>
      <c r="C787" s="12">
        <f>IFERROR(__xludf.DUMMYFUNCTION("GOOGLEFINANCE(B787,""marketcap"")/10000000"),2412.0591352)</f>
        <v>2412.059135</v>
      </c>
      <c r="D787" s="13">
        <f>IFERROR(__xludf.DUMMYFUNCTION("GOOGLEFINANCE(B787,""price"")"),173.67)</f>
        <v>173.67</v>
      </c>
      <c r="E787" s="14">
        <f>IFERROR(__xludf.DUMMYFUNCTION("GOOGLEFINANCE(B787,""Volume"")"),906166.0)</f>
        <v>906166</v>
      </c>
      <c r="F787" s="14">
        <f t="array" ref="F787">F786</f>
        <v>14</v>
      </c>
      <c r="G787" s="15" t="str">
        <f>IFERROR(__xludf.DUMMYFUNCTION("IF(E787&gt;AVERAGE(INDEX(GOOGLEFINANCE(B787,""volume"",WORKDAY(TODAY(),-$F$1),TODAY()),,2)),""Breakout"","""")"),"Breakout")</f>
        <v>Breakout</v>
      </c>
      <c r="H787" s="16">
        <f>IFERROR(__xludf.DUMMYFUNCTION("GOOGLEFINANCE(B787,""price"")"),173.67)</f>
        <v>173.67</v>
      </c>
      <c r="I787" s="17">
        <f>IFERROR(__xludf.DUMMYFUNCTION("AVERAGE(QUERY(SORT(GOOGLEFINANCE(B787,""price"",TODAY()-365,TODAY()),1,0),""select Col2 limit 10""))"),173.21299999999997)</f>
        <v>173.213</v>
      </c>
      <c r="J787" s="17">
        <f>IFERROR(__xludf.DUMMYFUNCTION("AVERAGE(QUERY(SORT(GOOGLEFINANCE(B787,""price"",TODAY()-365,TODAY()),1,0),""select Col2 limit 30""))"),180.41066666666666)</f>
        <v>180.4106667</v>
      </c>
      <c r="K787" s="18">
        <f>IFERROR(__xludf.DUMMYFUNCTION("AVERAGE(QUERY(SORT(GOOGLEFINANCE(B787,""price"",TODAY()-365,TODAY()),1,0),""select Col2 limit 60""))"),175.31066666666672)</f>
        <v>175.3106667</v>
      </c>
      <c r="L787" s="17">
        <f>IFERROR(__xludf.DUMMYFUNCTION("AVERAGE(QUERY(SORT(GOOGLEFINANCE(B787,""price"",TODAY()-365,TODAY()),1,0),""select Col2 limit 90""))"),167.6275555555556)</f>
        <v>167.6275556</v>
      </c>
      <c r="M787" s="17">
        <f>IFERROR(__xludf.DUMMYFUNCTION("AVERAGE(QUERY(SORT(GOOGLEFINANCE(B787,""price"",TODAY()-365,TODAY()),1,0),""select Col2 limit 120""))"),169.30499999999998)</f>
        <v>169.305</v>
      </c>
      <c r="N787" s="19">
        <f>IFERROR(__xludf.DUMMYFUNCTION("AVERAGE(QUERY(SORT(GOOGLEFINANCE(B787,""price"",TODAY()-365,TODAY()),1,0),""select Col2 limit 200""))"),211.23919999999995)</f>
        <v>211.2392</v>
      </c>
      <c r="O787" s="20" t="str">
        <f t="shared" si="2"/>
        <v>Avoid</v>
      </c>
      <c r="P787" s="21" t="str">
        <f t="shared" si="3"/>
        <v>60 DMA</v>
      </c>
      <c r="Q787" s="21" t="str">
        <f t="shared" si="4"/>
        <v/>
      </c>
      <c r="R787" s="22" t="str">
        <f>IFERROR(__xludf.DUMMYFUNCTION("GOOGLEFINANCE(B787, ""pe"")
"),"#N/A")</f>
        <v>#N/A</v>
      </c>
    </row>
    <row r="788">
      <c r="A788" s="9" t="s">
        <v>798</v>
      </c>
      <c r="B788" s="11" t="str">
        <f t="shared" si="1"/>
        <v>NSE:AARTIPHARM</v>
      </c>
      <c r="C788" s="12">
        <f>IFERROR(__xludf.DUMMYFUNCTION("GOOGLEFINANCE(B788,""marketcap"")/10000000"),8454.3972429)</f>
        <v>8454.397243</v>
      </c>
      <c r="D788" s="13">
        <f>IFERROR(__xludf.DUMMYFUNCTION("GOOGLEFINANCE(B788,""price"")"),929.6)</f>
        <v>929.6</v>
      </c>
      <c r="E788" s="14">
        <f>IFERROR(__xludf.DUMMYFUNCTION("GOOGLEFINANCE(B788,""Volume"")"),148429.0)</f>
        <v>148429</v>
      </c>
      <c r="F788" s="14">
        <f t="array" ref="F788">F787</f>
        <v>14</v>
      </c>
      <c r="G788" s="15" t="str">
        <f>IFERROR(__xludf.DUMMYFUNCTION("IF(E788&gt;AVERAGE(INDEX(GOOGLEFINANCE(B788,""volume"",WORKDAY(TODAY(),-$F$1),TODAY()),,2)),""Breakout"","""")"),"")</f>
        <v/>
      </c>
      <c r="H788" s="16">
        <f>IFERROR(__xludf.DUMMYFUNCTION("GOOGLEFINANCE(B788,""price"")"),929.6)</f>
        <v>929.6</v>
      </c>
      <c r="I788" s="17">
        <f>IFERROR(__xludf.DUMMYFUNCTION("AVERAGE(QUERY(SORT(GOOGLEFINANCE(B788,""price"",TODAY()-365,TODAY()),1,0),""select Col2 limit 10""))"),946.6849999999998)</f>
        <v>946.685</v>
      </c>
      <c r="J788" s="17">
        <f>IFERROR(__xludf.DUMMYFUNCTION("AVERAGE(QUERY(SORT(GOOGLEFINANCE(B788,""price"",TODAY()-365,TODAY()),1,0),""select Col2 limit 30""))"),905.8433333333334)</f>
        <v>905.8433333</v>
      </c>
      <c r="K788" s="18">
        <f>IFERROR(__xludf.DUMMYFUNCTION("AVERAGE(QUERY(SORT(GOOGLEFINANCE(B788,""price"",TODAY()-365,TODAY()),1,0),""select Col2 limit 60""))"),878.1049999999998)</f>
        <v>878.105</v>
      </c>
      <c r="L788" s="17">
        <f>IFERROR(__xludf.DUMMYFUNCTION("AVERAGE(QUERY(SORT(GOOGLEFINANCE(B788,""price"",TODAY()-365,TODAY()),1,0),""select Col2 limit 90""))"),827.9683333333331)</f>
        <v>827.9683333</v>
      </c>
      <c r="M788" s="17">
        <f>IFERROR(__xludf.DUMMYFUNCTION("AVERAGE(QUERY(SORT(GOOGLEFINANCE(B788,""price"",TODAY()-365,TODAY()),1,0),""select Col2 limit 120""))"),801.8016666666666)</f>
        <v>801.8016667</v>
      </c>
      <c r="N788" s="19">
        <f>IFERROR(__xludf.DUMMYFUNCTION("AVERAGE(QUERY(SORT(GOOGLEFINANCE(B788,""price"",TODAY()-365,TODAY()),1,0),""select Col2 limit 200""))"),733.9627500000001)</f>
        <v>733.96275</v>
      </c>
      <c r="O788" s="20" t="str">
        <f t="shared" si="2"/>
        <v>Avoid</v>
      </c>
      <c r="P788" s="21" t="str">
        <f t="shared" si="3"/>
        <v/>
      </c>
      <c r="Q788" s="21" t="str">
        <f t="shared" si="4"/>
        <v/>
      </c>
      <c r="R788" s="22">
        <f>IFERROR(__xludf.DUMMYFUNCTION("GOOGLEFINANCE(B788, ""pe"")
"),31.0)</f>
        <v>31</v>
      </c>
    </row>
    <row r="789">
      <c r="A789" s="9" t="s">
        <v>799</v>
      </c>
      <c r="B789" s="11" t="str">
        <f t="shared" si="1"/>
        <v>NSE:MASFIN</v>
      </c>
      <c r="C789" s="12">
        <f>IFERROR(__xludf.DUMMYFUNCTION("GOOGLEFINANCE(B789,""marketcap"")/10000000"),5833.723595)</f>
        <v>5833.723595</v>
      </c>
      <c r="D789" s="13">
        <f>IFERROR(__xludf.DUMMYFUNCTION("GOOGLEFINANCE(B789,""price"")"),321.5)</f>
        <v>321.5</v>
      </c>
      <c r="E789" s="14">
        <f>IFERROR(__xludf.DUMMYFUNCTION("GOOGLEFINANCE(B789,""Volume"")"),282522.0)</f>
        <v>282522</v>
      </c>
      <c r="F789" s="14">
        <f t="array" ref="F789">F788</f>
        <v>14</v>
      </c>
      <c r="G789" s="15" t="str">
        <f>IFERROR(__xludf.DUMMYFUNCTION("IF(E789&gt;AVERAGE(INDEX(GOOGLEFINANCE(B789,""volume"",WORKDAY(TODAY(),-$F$1),TODAY()),,2)),""Breakout"","""")"),"")</f>
        <v/>
      </c>
      <c r="H789" s="16">
        <f>IFERROR(__xludf.DUMMYFUNCTION("GOOGLEFINANCE(B789,""price"")"),321.5)</f>
        <v>321.5</v>
      </c>
      <c r="I789" s="17">
        <f>IFERROR(__xludf.DUMMYFUNCTION("AVERAGE(QUERY(SORT(GOOGLEFINANCE(B789,""price"",TODAY()-365,TODAY()),1,0),""select Col2 limit 10""))"),331.15)</f>
        <v>331.15</v>
      </c>
      <c r="J789" s="17">
        <f>IFERROR(__xludf.DUMMYFUNCTION("AVERAGE(QUERY(SORT(GOOGLEFINANCE(B789,""price"",TODAY()-365,TODAY()),1,0),""select Col2 limit 30""))"),313.0766666666667)</f>
        <v>313.0766667</v>
      </c>
      <c r="K789" s="18">
        <f>IFERROR(__xludf.DUMMYFUNCTION("AVERAGE(QUERY(SORT(GOOGLEFINANCE(B789,""price"",TODAY()-365,TODAY()),1,0),""select Col2 limit 60""))"),298.14500000000004)</f>
        <v>298.145</v>
      </c>
      <c r="L789" s="17">
        <f>IFERROR(__xludf.DUMMYFUNCTION("AVERAGE(QUERY(SORT(GOOGLEFINANCE(B789,""price"",TODAY()-365,TODAY()),1,0),""select Col2 limit 90""))"),285.8194444444444)</f>
        <v>285.8194444</v>
      </c>
      <c r="M789" s="17">
        <f>IFERROR(__xludf.DUMMYFUNCTION("AVERAGE(QUERY(SORT(GOOGLEFINANCE(B789,""price"",TODAY()-365,TODAY()),1,0),""select Col2 limit 120""))"),275.5199166666666)</f>
        <v>275.5199167</v>
      </c>
      <c r="N789" s="19">
        <f>IFERROR(__xludf.DUMMYFUNCTION("AVERAGE(QUERY(SORT(GOOGLEFINANCE(B789,""price"",TODAY()-365,TODAY()),1,0),""select Col2 limit 200""))"),275.03594999999996)</f>
        <v>275.03595</v>
      </c>
      <c r="O789" s="20" t="str">
        <f t="shared" si="2"/>
        <v>Avoid</v>
      </c>
      <c r="P789" s="21" t="str">
        <f t="shared" si="3"/>
        <v/>
      </c>
      <c r="Q789" s="21" t="str">
        <f t="shared" si="4"/>
        <v/>
      </c>
      <c r="R789" s="22">
        <f>IFERROR(__xludf.DUMMYFUNCTION("GOOGLEFINANCE(B789, ""pe"")
"),17.88)</f>
        <v>17.88</v>
      </c>
    </row>
    <row r="790">
      <c r="A790" s="9" t="s">
        <v>800</v>
      </c>
      <c r="B790" s="11" t="str">
        <f t="shared" si="1"/>
        <v>NSE:VAIBHAVGBL</v>
      </c>
      <c r="C790" s="12">
        <f>IFERROR(__xludf.DUMMYFUNCTION("GOOGLEFINANCE(B790,""marketcap"")/10000000"),3901.0301085)</f>
        <v>3901.030109</v>
      </c>
      <c r="D790" s="13">
        <f>IFERROR(__xludf.DUMMYFUNCTION("GOOGLEFINANCE(B790,""price"")"),234.51)</f>
        <v>234.51</v>
      </c>
      <c r="E790" s="14">
        <f>IFERROR(__xludf.DUMMYFUNCTION("GOOGLEFINANCE(B790,""Volume"")"),112324.0)</f>
        <v>112324</v>
      </c>
      <c r="F790" s="14">
        <f t="array" ref="F790">F789</f>
        <v>14</v>
      </c>
      <c r="G790" s="15" t="str">
        <f>IFERROR(__xludf.DUMMYFUNCTION("IF(E790&gt;AVERAGE(INDEX(GOOGLEFINANCE(B790,""volume"",WORKDAY(TODAY(),-$F$1),TODAY()),,2)),""Breakout"","""")"),"")</f>
        <v/>
      </c>
      <c r="H790" s="16">
        <f>IFERROR(__xludf.DUMMYFUNCTION("GOOGLEFINANCE(B790,""price"")"),234.51)</f>
        <v>234.51</v>
      </c>
      <c r="I790" s="17">
        <f>IFERROR(__xludf.DUMMYFUNCTION("AVERAGE(QUERY(SORT(GOOGLEFINANCE(B790,""price"",TODAY()-365,TODAY()),1,0),""select Col2 limit 10""))"),239.79699999999997)</f>
        <v>239.797</v>
      </c>
      <c r="J790" s="17">
        <f>IFERROR(__xludf.DUMMYFUNCTION("AVERAGE(QUERY(SORT(GOOGLEFINANCE(B790,""price"",TODAY()-365,TODAY()),1,0),""select Col2 limit 30""))"),238.26899999999998)</f>
        <v>238.269</v>
      </c>
      <c r="K790" s="18">
        <f>IFERROR(__xludf.DUMMYFUNCTION("AVERAGE(QUERY(SORT(GOOGLEFINANCE(B790,""price"",TODAY()-365,TODAY()),1,0),""select Col2 limit 60""))"),241.83716666666666)</f>
        <v>241.8371667</v>
      </c>
      <c r="L790" s="17">
        <f>IFERROR(__xludf.DUMMYFUNCTION("AVERAGE(QUERY(SORT(GOOGLEFINANCE(B790,""price"",TODAY()-365,TODAY()),1,0),""select Col2 limit 90""))"),235.49911111111112)</f>
        <v>235.4991111</v>
      </c>
      <c r="M790" s="17">
        <f>IFERROR(__xludf.DUMMYFUNCTION("AVERAGE(QUERY(SORT(GOOGLEFINANCE(B790,""price"",TODAY()-365,TODAY()),1,0),""select Col2 limit 120""))"),238.39800000000014)</f>
        <v>238.398</v>
      </c>
      <c r="N790" s="19">
        <f>IFERROR(__xludf.DUMMYFUNCTION("AVERAGE(QUERY(SORT(GOOGLEFINANCE(B790,""price"",TODAY()-365,TODAY()),1,0),""select Col2 limit 200""))"),258.72455000000014)</f>
        <v>258.72455</v>
      </c>
      <c r="O790" s="20" t="str">
        <f t="shared" si="2"/>
        <v>Avoid</v>
      </c>
      <c r="P790" s="21" t="str">
        <f t="shared" si="3"/>
        <v>90 DMA</v>
      </c>
      <c r="Q790" s="21" t="str">
        <f t="shared" si="4"/>
        <v/>
      </c>
      <c r="R790" s="22">
        <f>IFERROR(__xludf.DUMMYFUNCTION("GOOGLEFINANCE(B790, ""pe"")
"),25.75)</f>
        <v>25.75</v>
      </c>
    </row>
    <row r="791">
      <c r="A791" s="9" t="s">
        <v>801</v>
      </c>
      <c r="B791" s="11" t="str">
        <f t="shared" si="1"/>
        <v>NSE:SPANDANA</v>
      </c>
      <c r="C791" s="12">
        <f>IFERROR(__xludf.DUMMYFUNCTION("GOOGLEFINANCE(B791,""marketcap"")/10000000"),2436.0473958)</f>
        <v>2436.047396</v>
      </c>
      <c r="D791" s="13">
        <f>IFERROR(__xludf.DUMMYFUNCTION("GOOGLEFINANCE(B791,""price"")"),275.45)</f>
        <v>275.45</v>
      </c>
      <c r="E791" s="14">
        <f>IFERROR(__xludf.DUMMYFUNCTION("GOOGLEFINANCE(B791,""Volume"")"),89328.0)</f>
        <v>89328</v>
      </c>
      <c r="F791" s="14">
        <f t="array" ref="F791">F790</f>
        <v>14</v>
      </c>
      <c r="G791" s="15" t="str">
        <f>IFERROR(__xludf.DUMMYFUNCTION("IF(E791&gt;AVERAGE(INDEX(GOOGLEFINANCE(B791,""volume"",WORKDAY(TODAY(),-$F$1),TODAY()),,2)),""Breakout"","""")"),"")</f>
        <v/>
      </c>
      <c r="H791" s="16">
        <f>IFERROR(__xludf.DUMMYFUNCTION("GOOGLEFINANCE(B791,""price"")"),275.45)</f>
        <v>275.45</v>
      </c>
      <c r="I791" s="17">
        <f>IFERROR(__xludf.DUMMYFUNCTION("AVERAGE(QUERY(SORT(GOOGLEFINANCE(B791,""price"",TODAY()-365,TODAY()),1,0),""select Col2 limit 10""))"),288.95799999999997)</f>
        <v>288.958</v>
      </c>
      <c r="J791" s="17">
        <f>IFERROR(__xludf.DUMMYFUNCTION("AVERAGE(QUERY(SORT(GOOGLEFINANCE(B791,""price"",TODAY()-365,TODAY()),1,0),""select Col2 limit 30""))"),271.40133333333335)</f>
        <v>271.4013333</v>
      </c>
      <c r="K791" s="18">
        <f>IFERROR(__xludf.DUMMYFUNCTION("AVERAGE(QUERY(SORT(GOOGLEFINANCE(B791,""price"",TODAY()-365,TODAY()),1,0),""select Col2 limit 60""))"),269.75683333333325)</f>
        <v>269.7568333</v>
      </c>
      <c r="L791" s="17">
        <f>IFERROR(__xludf.DUMMYFUNCTION("AVERAGE(QUERY(SORT(GOOGLEFINANCE(B791,""price"",TODAY()-365,TODAY()),1,0),""select Col2 limit 90""))"),263.32955555555554)</f>
        <v>263.3295556</v>
      </c>
      <c r="M791" s="17">
        <f>IFERROR(__xludf.DUMMYFUNCTION("AVERAGE(QUERY(SORT(GOOGLEFINANCE(B791,""price"",TODAY()-365,TODAY()),1,0),""select Col2 limit 120""))"),266.54816666666676)</f>
        <v>266.5481667</v>
      </c>
      <c r="N791" s="19">
        <f>IFERROR(__xludf.DUMMYFUNCTION("AVERAGE(QUERY(SORT(GOOGLEFINANCE(B791,""price"",TODAY()-365,TODAY()),1,0),""select Col2 limit 200""))"),311.3676500000001)</f>
        <v>311.36765</v>
      </c>
      <c r="O791" s="20" t="str">
        <f t="shared" si="2"/>
        <v>Avoid</v>
      </c>
      <c r="P791" s="21" t="str">
        <f t="shared" si="3"/>
        <v/>
      </c>
      <c r="Q791" s="21" t="str">
        <f t="shared" si="4"/>
        <v/>
      </c>
      <c r="R791" s="22" t="str">
        <f>IFERROR(__xludf.DUMMYFUNCTION("GOOGLEFINANCE(B791, ""pe"")
"),"#N/A")</f>
        <v>#N/A</v>
      </c>
    </row>
    <row r="792">
      <c r="A792" s="9" t="s">
        <v>802</v>
      </c>
      <c r="B792" s="11" t="str">
        <f t="shared" si="1"/>
        <v>NSE:GHCL</v>
      </c>
      <c r="C792" s="12">
        <f>IFERROR(__xludf.DUMMYFUNCTION("GOOGLEFINANCE(B792,""marketcap"")/10000000"),5723.494166)</f>
        <v>5723.494166</v>
      </c>
      <c r="D792" s="13">
        <f>IFERROR(__xludf.DUMMYFUNCTION("GOOGLEFINANCE(B792,""price"")"),595.45)</f>
        <v>595.45</v>
      </c>
      <c r="E792" s="14">
        <f>IFERROR(__xludf.DUMMYFUNCTION("GOOGLEFINANCE(B792,""Volume"")"),51033.0)</f>
        <v>51033</v>
      </c>
      <c r="F792" s="14">
        <f t="array" ref="F792">F791</f>
        <v>14</v>
      </c>
      <c r="G792" s="15" t="str">
        <f>IFERROR(__xludf.DUMMYFUNCTION("IF(E792&gt;AVERAGE(INDEX(GOOGLEFINANCE(B792,""volume"",WORKDAY(TODAY(),-$F$1),TODAY()),,2)),""Breakout"","""")"),"#N/A")</f>
        <v>#N/A</v>
      </c>
      <c r="H792" s="16">
        <f>IFERROR(__xludf.DUMMYFUNCTION("GOOGLEFINANCE(B792,""price"")"),595.45)</f>
        <v>595.45</v>
      </c>
      <c r="I792" s="17">
        <f>IFERROR(__xludf.DUMMYFUNCTION("AVERAGE(QUERY(SORT(GOOGLEFINANCE(B792,""price"",TODAY()-365,TODAY()),1,0),""select Col2 limit 10""))"),611.9)</f>
        <v>611.9</v>
      </c>
      <c r="J792" s="17">
        <f>IFERROR(__xludf.DUMMYFUNCTION("AVERAGE(QUERY(SORT(GOOGLEFINANCE(B792,""price"",TODAY()-365,TODAY()),1,0),""select Col2 limit 30""))"),608.6083333333335)</f>
        <v>608.6083333</v>
      </c>
      <c r="K792" s="18">
        <f>IFERROR(__xludf.DUMMYFUNCTION("AVERAGE(QUERY(SORT(GOOGLEFINANCE(B792,""price"",TODAY()-365,TODAY()),1,0),""select Col2 limit 60""))"),612.5291666666667)</f>
        <v>612.5291667</v>
      </c>
      <c r="L792" s="17">
        <f>IFERROR(__xludf.DUMMYFUNCTION("AVERAGE(QUERY(SORT(GOOGLEFINANCE(B792,""price"",TODAY()-365,TODAY()),1,0),""select Col2 limit 90""))"),612.2044444444443)</f>
        <v>612.2044444</v>
      </c>
      <c r="M792" s="17">
        <f>IFERROR(__xludf.DUMMYFUNCTION("AVERAGE(QUERY(SORT(GOOGLEFINANCE(B792,""price"",TODAY()-365,TODAY()),1,0),""select Col2 limit 120""))"),620.4262500000001)</f>
        <v>620.42625</v>
      </c>
      <c r="N792" s="19">
        <f>IFERROR(__xludf.DUMMYFUNCTION("AVERAGE(QUERY(SORT(GOOGLEFINANCE(B792,""price"",TODAY()-365,TODAY()),1,0),""select Col2 limit 200""))"),631.08125)</f>
        <v>631.08125</v>
      </c>
      <c r="O792" s="20" t="str">
        <f t="shared" si="2"/>
        <v>Avoid</v>
      </c>
      <c r="P792" s="21" t="str">
        <f t="shared" si="3"/>
        <v/>
      </c>
      <c r="Q792" s="21" t="str">
        <f t="shared" si="4"/>
        <v/>
      </c>
      <c r="R792" s="22">
        <f>IFERROR(__xludf.DUMMYFUNCTION("GOOGLEFINANCE(B792, ""pe"")
"),9.12)</f>
        <v>9.12</v>
      </c>
    </row>
    <row r="793">
      <c r="A793" s="9" t="s">
        <v>803</v>
      </c>
      <c r="B793" s="11" t="str">
        <f t="shared" si="1"/>
        <v>NSE:JTEKTINDIA</v>
      </c>
      <c r="C793" s="12">
        <f>IFERROR(__xludf.DUMMYFUNCTION("GOOGLEFINANCE(B793,""marketcap"")/10000000"),3587.017953)</f>
        <v>3587.017953</v>
      </c>
      <c r="D793" s="13">
        <f>IFERROR(__xludf.DUMMYFUNCTION("GOOGLEFINANCE(B793,""price"")"),129.59)</f>
        <v>129.59</v>
      </c>
      <c r="E793" s="14">
        <f>IFERROR(__xludf.DUMMYFUNCTION("GOOGLEFINANCE(B793,""Volume"")"),157001.0)</f>
        <v>157001</v>
      </c>
      <c r="F793" s="14">
        <f t="array" ref="F793">F792</f>
        <v>14</v>
      </c>
      <c r="G793" s="15" t="str">
        <f>IFERROR(__xludf.DUMMYFUNCTION("IF(E793&gt;AVERAGE(INDEX(GOOGLEFINANCE(B793,""volume"",WORKDAY(TODAY(),-$F$1),TODAY()),,2)),""Breakout"","""")"),"")</f>
        <v/>
      </c>
      <c r="H793" s="16">
        <f>IFERROR(__xludf.DUMMYFUNCTION("GOOGLEFINANCE(B793,""price"")"),129.59)</f>
        <v>129.59</v>
      </c>
      <c r="I793" s="17">
        <f>IFERROR(__xludf.DUMMYFUNCTION("AVERAGE(QUERY(SORT(GOOGLEFINANCE(B793,""price"",TODAY()-365,TODAY()),1,0),""select Col2 limit 10""))"),140.572)</f>
        <v>140.572</v>
      </c>
      <c r="J793" s="17">
        <f>IFERROR(__xludf.DUMMYFUNCTION("AVERAGE(QUERY(SORT(GOOGLEFINANCE(B793,""price"",TODAY()-365,TODAY()),1,0),""select Col2 limit 30""))"),139.48399999999998)</f>
        <v>139.484</v>
      </c>
      <c r="K793" s="18">
        <f>IFERROR(__xludf.DUMMYFUNCTION("AVERAGE(QUERY(SORT(GOOGLEFINANCE(B793,""price"",TODAY()-365,TODAY()),1,0),""select Col2 limit 60""))"),137.93799999999996)</f>
        <v>137.938</v>
      </c>
      <c r="L793" s="17">
        <f>IFERROR(__xludf.DUMMYFUNCTION("AVERAGE(QUERY(SORT(GOOGLEFINANCE(B793,""price"",TODAY()-365,TODAY()),1,0),""select Col2 limit 90""))"),135.02755555555555)</f>
        <v>135.0275556</v>
      </c>
      <c r="M793" s="17">
        <f>IFERROR(__xludf.DUMMYFUNCTION("AVERAGE(QUERY(SORT(GOOGLEFINANCE(B793,""price"",TODAY()-365,TODAY()),1,0),""select Col2 limit 120""))"),133.63358333333335)</f>
        <v>133.6335833</v>
      </c>
      <c r="N793" s="19">
        <f>IFERROR(__xludf.DUMMYFUNCTION("AVERAGE(QUERY(SORT(GOOGLEFINANCE(B793,""price"",TODAY()-365,TODAY()),1,0),""select Col2 limit 200""))"),145.32380000000003)</f>
        <v>145.3238</v>
      </c>
      <c r="O793" s="20" t="str">
        <f t="shared" si="2"/>
        <v>Avoid</v>
      </c>
      <c r="P793" s="21" t="str">
        <f t="shared" si="3"/>
        <v/>
      </c>
      <c r="Q793" s="21" t="str">
        <f t="shared" si="4"/>
        <v/>
      </c>
      <c r="R793" s="22">
        <f>IFERROR(__xludf.DUMMYFUNCTION("GOOGLEFINANCE(B793, ""pe"")
"),44.75)</f>
        <v>44.75</v>
      </c>
    </row>
    <row r="794">
      <c r="A794" s="9" t="s">
        <v>804</v>
      </c>
      <c r="B794" s="11" t="str">
        <f t="shared" si="1"/>
        <v>NSE:PARAS</v>
      </c>
      <c r="C794" s="12">
        <f>IFERROR(__xludf.DUMMYFUNCTION("GOOGLEFINANCE(B794,""marketcap"")/10000000"),5691.2426333)</f>
        <v>5691.242633</v>
      </c>
      <c r="D794" s="13">
        <f>IFERROR(__xludf.DUMMYFUNCTION("GOOGLEFINANCE(B794,""price"")"),704.7)</f>
        <v>704.7</v>
      </c>
      <c r="E794" s="14">
        <f>IFERROR(__xludf.DUMMYFUNCTION("GOOGLEFINANCE(B794,""Volume"")"),1136244.0)</f>
        <v>1136244</v>
      </c>
      <c r="F794" s="14">
        <f t="array" ref="F794">F793</f>
        <v>14</v>
      </c>
      <c r="G794" s="15" t="str">
        <f>IFERROR(__xludf.DUMMYFUNCTION("IF(E794&gt;AVERAGE(INDEX(GOOGLEFINANCE(B794,""volume"",WORKDAY(TODAY(),-$F$1),TODAY()),,2)),""Breakout"","""")"),"Breakout")</f>
        <v>Breakout</v>
      </c>
      <c r="H794" s="16">
        <f>IFERROR(__xludf.DUMMYFUNCTION("GOOGLEFINANCE(B794,""price"")"),704.7)</f>
        <v>704.7</v>
      </c>
      <c r="I794" s="17">
        <f>IFERROR(__xludf.DUMMYFUNCTION("AVERAGE(QUERY(SORT(GOOGLEFINANCE(B794,""price"",TODAY()-365,TODAY()),1,0),""select Col2 limit 10""))"),798.9399999999999)</f>
        <v>798.94</v>
      </c>
      <c r="J794" s="17">
        <f>IFERROR(__xludf.DUMMYFUNCTION("AVERAGE(QUERY(SORT(GOOGLEFINANCE(B794,""price"",TODAY()-365,TODAY()),1,0),""select Col2 limit 30""))"),822.5966666666666)</f>
        <v>822.5966667</v>
      </c>
      <c r="K794" s="18">
        <f>IFERROR(__xludf.DUMMYFUNCTION("AVERAGE(QUERY(SORT(GOOGLEFINANCE(B794,""price"",TODAY()-365,TODAY()),1,0),""select Col2 limit 60""))"),802.5825)</f>
        <v>802.5825</v>
      </c>
      <c r="L794" s="17">
        <f>IFERROR(__xludf.DUMMYFUNCTION("AVERAGE(QUERY(SORT(GOOGLEFINANCE(B794,""price"",TODAY()-365,TODAY()),1,0),""select Col2 limit 90""))"),707.3422222222223)</f>
        <v>707.3422222</v>
      </c>
      <c r="M794" s="17">
        <f>IFERROR(__xludf.DUMMYFUNCTION("AVERAGE(QUERY(SORT(GOOGLEFINANCE(B794,""price"",TODAY()-365,TODAY()),1,0),""select Col2 limit 120""))"),647.8903333333332)</f>
        <v>647.8903333</v>
      </c>
      <c r="N794" s="19">
        <f>IFERROR(__xludf.DUMMYFUNCTION("AVERAGE(QUERY(SORT(GOOGLEFINANCE(B794,""price"",TODAY()-365,TODAY()),1,0),""select Col2 limit 200""))"),596.2992999999996)</f>
        <v>596.2993</v>
      </c>
      <c r="O794" s="20" t="str">
        <f t="shared" si="2"/>
        <v>Avoid</v>
      </c>
      <c r="P794" s="21" t="str">
        <f t="shared" si="3"/>
        <v>90 DMA</v>
      </c>
      <c r="Q794" s="21" t="str">
        <f t="shared" si="4"/>
        <v/>
      </c>
      <c r="R794" s="22">
        <f>IFERROR(__xludf.DUMMYFUNCTION("GOOGLEFINANCE(B794, ""pe"")
"),88.11)</f>
        <v>88.11</v>
      </c>
    </row>
    <row r="795">
      <c r="A795" s="9" t="s">
        <v>805</v>
      </c>
      <c r="B795" s="11" t="str">
        <f t="shared" si="1"/>
        <v>NSE:AGI</v>
      </c>
      <c r="C795" s="12">
        <f>IFERROR(__xludf.DUMMYFUNCTION("GOOGLEFINANCE(B795,""marketcap"")/10000000"),6158.5428082)</f>
        <v>6158.542808</v>
      </c>
      <c r="D795" s="13">
        <f>IFERROR(__xludf.DUMMYFUNCTION("GOOGLEFINANCE(B795,""price"")"),958.0)</f>
        <v>958</v>
      </c>
      <c r="E795" s="14">
        <f>IFERROR(__xludf.DUMMYFUNCTION("GOOGLEFINANCE(B795,""Volume"")"),205016.0)</f>
        <v>205016</v>
      </c>
      <c r="F795" s="14">
        <f t="array" ref="F795">F794</f>
        <v>14</v>
      </c>
      <c r="G795" s="15" t="str">
        <f>IFERROR(__xludf.DUMMYFUNCTION("IF(E795&gt;AVERAGE(INDEX(GOOGLEFINANCE(B795,""volume"",WORKDAY(TODAY(),-$F$1),TODAY()),,2)),""Breakout"","""")"),"")</f>
        <v/>
      </c>
      <c r="H795" s="16">
        <f>IFERROR(__xludf.DUMMYFUNCTION("GOOGLEFINANCE(B795,""price"")"),958.0)</f>
        <v>958</v>
      </c>
      <c r="I795" s="17">
        <f>IFERROR(__xludf.DUMMYFUNCTION("AVERAGE(QUERY(SORT(GOOGLEFINANCE(B795,""price"",TODAY()-365,TODAY()),1,0),""select Col2 limit 10""))"),882.8549999999999)</f>
        <v>882.855</v>
      </c>
      <c r="J795" s="17">
        <f>IFERROR(__xludf.DUMMYFUNCTION("AVERAGE(QUERY(SORT(GOOGLEFINANCE(B795,""price"",TODAY()-365,TODAY()),1,0),""select Col2 limit 30""))"),833.5383333333333)</f>
        <v>833.5383333</v>
      </c>
      <c r="K795" s="18">
        <f>IFERROR(__xludf.DUMMYFUNCTION("AVERAGE(QUERY(SORT(GOOGLEFINANCE(B795,""price"",TODAY()-365,TODAY()),1,0),""select Col2 limit 60""))"),835.8608333333334)</f>
        <v>835.8608333</v>
      </c>
      <c r="L795" s="17">
        <f>IFERROR(__xludf.DUMMYFUNCTION("AVERAGE(QUERY(SORT(GOOGLEFINANCE(B795,""price"",TODAY()-365,TODAY()),1,0),""select Col2 limit 90""))"),808.7805555555557)</f>
        <v>808.7805556</v>
      </c>
      <c r="M795" s="17">
        <f>IFERROR(__xludf.DUMMYFUNCTION("AVERAGE(QUERY(SORT(GOOGLEFINANCE(B795,""price"",TODAY()-365,TODAY()),1,0),""select Col2 limit 120""))"),790.7537500000002)</f>
        <v>790.75375</v>
      </c>
      <c r="N795" s="19">
        <f>IFERROR(__xludf.DUMMYFUNCTION("AVERAGE(QUERY(SORT(GOOGLEFINANCE(B795,""price"",TODAY()-365,TODAY()),1,0),""select Col2 limit 200""))"),881.3689999999999)</f>
        <v>881.369</v>
      </c>
      <c r="O795" s="20" t="str">
        <f t="shared" si="2"/>
        <v>Avoid</v>
      </c>
      <c r="P795" s="21" t="str">
        <f t="shared" si="3"/>
        <v/>
      </c>
      <c r="Q795" s="21" t="str">
        <f t="shared" si="4"/>
        <v/>
      </c>
      <c r="R795" s="22">
        <f>IFERROR(__xludf.DUMMYFUNCTION("GOOGLEFINANCE(B795, ""pe"")
"),17.81)</f>
        <v>17.81</v>
      </c>
    </row>
    <row r="796">
      <c r="A796" s="9" t="s">
        <v>806</v>
      </c>
      <c r="B796" s="11" t="str">
        <f t="shared" si="1"/>
        <v>NSE:HCG</v>
      </c>
      <c r="C796" s="12">
        <f>IFERROR(__xludf.DUMMYFUNCTION("GOOGLEFINANCE(B796,""marketcap"")/10000000"),7946.6721)</f>
        <v>7946.6721</v>
      </c>
      <c r="D796" s="13">
        <f>IFERROR(__xludf.DUMMYFUNCTION("GOOGLEFINANCE(B796,""price"")"),570.0)</f>
        <v>570</v>
      </c>
      <c r="E796" s="14">
        <f>IFERROR(__xludf.DUMMYFUNCTION("GOOGLEFINANCE(B796,""Volume"")"),70619.0)</f>
        <v>70619</v>
      </c>
      <c r="F796" s="14">
        <f t="array" ref="F796">F795</f>
        <v>14</v>
      </c>
      <c r="G796" s="15" t="str">
        <f>IFERROR(__xludf.DUMMYFUNCTION("IF(E796&gt;AVERAGE(INDEX(GOOGLEFINANCE(B796,""volume"",WORKDAY(TODAY(),-$F$1),TODAY()),,2)),""Breakout"","""")"),"")</f>
        <v/>
      </c>
      <c r="H796" s="16">
        <f>IFERROR(__xludf.DUMMYFUNCTION("GOOGLEFINANCE(B796,""price"")"),570.0)</f>
        <v>570</v>
      </c>
      <c r="I796" s="17">
        <f>IFERROR(__xludf.DUMMYFUNCTION("AVERAGE(QUERY(SORT(GOOGLEFINANCE(B796,""price"",TODAY()-365,TODAY()),1,0),""select Col2 limit 10""))"),567.465)</f>
        <v>567.465</v>
      </c>
      <c r="J796" s="17">
        <f>IFERROR(__xludf.DUMMYFUNCTION("AVERAGE(QUERY(SORT(GOOGLEFINANCE(B796,""price"",TODAY()-365,TODAY()),1,0),""select Col2 limit 30""))"),552.9983333333334)</f>
        <v>552.9983333</v>
      </c>
      <c r="K796" s="18">
        <f>IFERROR(__xludf.DUMMYFUNCTION("AVERAGE(QUERY(SORT(GOOGLEFINANCE(B796,""price"",TODAY()-365,TODAY()),1,0),""select Col2 limit 60""))"),560.3825)</f>
        <v>560.3825</v>
      </c>
      <c r="L796" s="17">
        <f>IFERROR(__xludf.DUMMYFUNCTION("AVERAGE(QUERY(SORT(GOOGLEFINANCE(B796,""price"",TODAY()-365,TODAY()),1,0),""select Col2 limit 90""))"),554.4750000000001)</f>
        <v>554.475</v>
      </c>
      <c r="M796" s="17">
        <f>IFERROR(__xludf.DUMMYFUNCTION("AVERAGE(QUERY(SORT(GOOGLEFINANCE(B796,""price"",TODAY()-365,TODAY()),1,0),""select Col2 limit 120""))"),542.6933333333335)</f>
        <v>542.6933333</v>
      </c>
      <c r="N796" s="19">
        <f>IFERROR(__xludf.DUMMYFUNCTION("AVERAGE(QUERY(SORT(GOOGLEFINANCE(B796,""price"",TODAY()-365,TODAY()),1,0),""select Col2 limit 200""))"),516.7310000000001)</f>
        <v>516.731</v>
      </c>
      <c r="O796" s="20" t="str">
        <f t="shared" si="2"/>
        <v>Avoid</v>
      </c>
      <c r="P796" s="21" t="str">
        <f t="shared" si="3"/>
        <v/>
      </c>
      <c r="Q796" s="21" t="str">
        <f t="shared" si="4"/>
        <v/>
      </c>
      <c r="R796" s="22">
        <f>IFERROR(__xludf.DUMMYFUNCTION("GOOGLEFINANCE(B796, ""pe"")
"),181.53)</f>
        <v>181.53</v>
      </c>
    </row>
    <row r="797">
      <c r="A797" s="9" t="s">
        <v>807</v>
      </c>
      <c r="B797" s="11" t="str">
        <f t="shared" si="1"/>
        <v>NSE:BAJAJHIND</v>
      </c>
      <c r="C797" s="12">
        <f>IFERROR(__xludf.DUMMYFUNCTION("GOOGLEFINANCE(B797,""marketcap"")/10000000"),3099.6568726)</f>
        <v>3099.656873</v>
      </c>
      <c r="D797" s="13">
        <f>IFERROR(__xludf.DUMMYFUNCTION("GOOGLEFINANCE(B797,""price"")"),24.33)</f>
        <v>24.33</v>
      </c>
      <c r="E797" s="14">
        <f>IFERROR(__xludf.DUMMYFUNCTION("GOOGLEFINANCE(B797,""Volume"")"),3856541.0)</f>
        <v>3856541</v>
      </c>
      <c r="F797" s="14">
        <f t="array" ref="F797">F796</f>
        <v>14</v>
      </c>
      <c r="G797" s="15" t="str">
        <f>IFERROR(__xludf.DUMMYFUNCTION("IF(E797&gt;AVERAGE(INDEX(GOOGLEFINANCE(B797,""volume"",WORKDAY(TODAY(),-$F$1),TODAY()),,2)),""Breakout"","""")"),"")</f>
        <v/>
      </c>
      <c r="H797" s="16">
        <f>IFERROR(__xludf.DUMMYFUNCTION("GOOGLEFINANCE(B797,""price"")"),24.33)</f>
        <v>24.33</v>
      </c>
      <c r="I797" s="17">
        <f>IFERROR(__xludf.DUMMYFUNCTION("AVERAGE(QUERY(SORT(GOOGLEFINANCE(B797,""price"",TODAY()-365,TODAY()),1,0),""select Col2 limit 10""))"),26.385)</f>
        <v>26.385</v>
      </c>
      <c r="J797" s="17">
        <f>IFERROR(__xludf.DUMMYFUNCTION("AVERAGE(QUERY(SORT(GOOGLEFINANCE(B797,""price"",TODAY()-365,TODAY()),1,0),""select Col2 limit 30""))"),25.92033333333334)</f>
        <v>25.92033333</v>
      </c>
      <c r="K797" s="18">
        <f>IFERROR(__xludf.DUMMYFUNCTION("AVERAGE(QUERY(SORT(GOOGLEFINANCE(B797,""price"",TODAY()-365,TODAY()),1,0),""select Col2 limit 60""))"),24.394666666666662)</f>
        <v>24.39466667</v>
      </c>
      <c r="L797" s="17">
        <f>IFERROR(__xludf.DUMMYFUNCTION("AVERAGE(QUERY(SORT(GOOGLEFINANCE(B797,""price"",TODAY()-365,TODAY()),1,0),""select Col2 limit 90""))"),22.811555555555547)</f>
        <v>22.81155556</v>
      </c>
      <c r="M797" s="17">
        <f>IFERROR(__xludf.DUMMYFUNCTION("AVERAGE(QUERY(SORT(GOOGLEFINANCE(B797,""price"",TODAY()-365,TODAY()),1,0),""select Col2 limit 120""))"),22.819083333333325)</f>
        <v>22.81908333</v>
      </c>
      <c r="N797" s="19">
        <f>IFERROR(__xludf.DUMMYFUNCTION("AVERAGE(QUERY(SORT(GOOGLEFINANCE(B797,""price"",TODAY()-365,TODAY()),1,0),""select Col2 limit 200""))"),26.797650000000008)</f>
        <v>26.79765</v>
      </c>
      <c r="O797" s="20" t="str">
        <f t="shared" si="2"/>
        <v>Avoid</v>
      </c>
      <c r="P797" s="21" t="str">
        <f t="shared" si="3"/>
        <v>60 DMA</v>
      </c>
      <c r="Q797" s="21" t="str">
        <f t="shared" si="4"/>
        <v/>
      </c>
      <c r="R797" s="22" t="str">
        <f>IFERROR(__xludf.DUMMYFUNCTION("GOOGLEFINANCE(B797, ""pe"")
"),"#N/A")</f>
        <v>#N/A</v>
      </c>
    </row>
    <row r="798">
      <c r="A798" s="9" t="s">
        <v>808</v>
      </c>
      <c r="B798" s="11" t="str">
        <f t="shared" si="1"/>
        <v>NSE:BBL</v>
      </c>
      <c r="C798" s="12">
        <f>IFERROR(__xludf.DUMMYFUNCTION("GOOGLEFINANCE(B798,""marketcap"")/10000000"),3244.7866032)</f>
        <v>3244.786603</v>
      </c>
      <c r="D798" s="13">
        <f>IFERROR(__xludf.DUMMYFUNCTION("GOOGLEFINANCE(B798,""price"")"),2876.4)</f>
        <v>2876.4</v>
      </c>
      <c r="E798" s="14">
        <f>IFERROR(__xludf.DUMMYFUNCTION("GOOGLEFINANCE(B798,""Volume"")"),47664.0)</f>
        <v>47664</v>
      </c>
      <c r="F798" s="14">
        <f t="array" ref="F798">F797</f>
        <v>14</v>
      </c>
      <c r="G798" s="15" t="str">
        <f>IFERROR(__xludf.DUMMYFUNCTION("IF(E798&gt;AVERAGE(INDEX(GOOGLEFINANCE(B798,""volume"",WORKDAY(TODAY(),-$F$1),TODAY()),,2)),""Breakout"","""")"),"#N/A")</f>
        <v>#N/A</v>
      </c>
      <c r="H798" s="16">
        <f>IFERROR(__xludf.DUMMYFUNCTION("GOOGLEFINANCE(B798,""price"")"),2876.4)</f>
        <v>2876.4</v>
      </c>
      <c r="I798" s="17">
        <f>IFERROR(__xludf.DUMMYFUNCTION("AVERAGE(QUERY(SORT(GOOGLEFINANCE(B798,""price"",TODAY()-365,TODAY()),1,0),""select Col2 limit 10""))"),3210.75)</f>
        <v>3210.75</v>
      </c>
      <c r="J798" s="17">
        <f>IFERROR(__xludf.DUMMYFUNCTION("AVERAGE(QUERY(SORT(GOOGLEFINANCE(B798,""price"",TODAY()-365,TODAY()),1,0),""select Col2 limit 30""))"),3074.2066666666674)</f>
        <v>3074.206667</v>
      </c>
      <c r="K798" s="18">
        <f>IFERROR(__xludf.DUMMYFUNCTION("AVERAGE(QUERY(SORT(GOOGLEFINANCE(B798,""price"",TODAY()-365,TODAY()),1,0),""select Col2 limit 60""))"),3058.7416666666663)</f>
        <v>3058.741667</v>
      </c>
      <c r="L798" s="17">
        <f>IFERROR(__xludf.DUMMYFUNCTION("AVERAGE(QUERY(SORT(GOOGLEFINANCE(B798,""price"",TODAY()-365,TODAY()),1,0),""select Col2 limit 90""))"),3002.308888888889)</f>
        <v>3002.308889</v>
      </c>
      <c r="M798" s="17">
        <f>IFERROR(__xludf.DUMMYFUNCTION("AVERAGE(QUERY(SORT(GOOGLEFINANCE(B798,""price"",TODAY()-365,TODAY()),1,0),""select Col2 limit 120""))"),2964.98125)</f>
        <v>2964.98125</v>
      </c>
      <c r="N798" s="19">
        <f>IFERROR(__xludf.DUMMYFUNCTION("AVERAGE(QUERY(SORT(GOOGLEFINANCE(B798,""price"",TODAY()-365,TODAY()),1,0),""select Col2 limit 200""))"),3361.509000000001)</f>
        <v>3361.509</v>
      </c>
      <c r="O798" s="20" t="str">
        <f t="shared" si="2"/>
        <v>Avoid</v>
      </c>
      <c r="P798" s="21" t="str">
        <f t="shared" si="3"/>
        <v/>
      </c>
      <c r="Q798" s="21" t="str">
        <f t="shared" si="4"/>
        <v/>
      </c>
      <c r="R798" s="22">
        <f>IFERROR(__xludf.DUMMYFUNCTION("GOOGLEFINANCE(B798, ""pe"")
"),23.64)</f>
        <v>23.64</v>
      </c>
    </row>
    <row r="799">
      <c r="A799" s="9" t="s">
        <v>809</v>
      </c>
      <c r="B799" s="11" t="str">
        <f t="shared" si="1"/>
        <v>NSE:SHANTIGEAR</v>
      </c>
      <c r="C799" s="12">
        <f>IFERROR(__xludf.DUMMYFUNCTION("GOOGLEFINANCE(B799,""marketcap"")/10000000"),4347.535437)</f>
        <v>4347.535437</v>
      </c>
      <c r="D799" s="13">
        <f>IFERROR(__xludf.DUMMYFUNCTION("GOOGLEFINANCE(B799,""price"")"),568.0)</f>
        <v>568</v>
      </c>
      <c r="E799" s="14">
        <f>IFERROR(__xludf.DUMMYFUNCTION("GOOGLEFINANCE(B799,""Volume"")"),75543.0)</f>
        <v>75543</v>
      </c>
      <c r="F799" s="14">
        <f t="array" ref="F799">F798</f>
        <v>14</v>
      </c>
      <c r="G799" s="15" t="str">
        <f>IFERROR(__xludf.DUMMYFUNCTION("IF(E799&gt;AVERAGE(INDEX(GOOGLEFINANCE(B799,""volume"",WORKDAY(TODAY(),-$F$1),TODAY()),,2)),""Breakout"","""")"),"")</f>
        <v/>
      </c>
      <c r="H799" s="16">
        <f>IFERROR(__xludf.DUMMYFUNCTION("GOOGLEFINANCE(B799,""price"")"),568.0)</f>
        <v>568</v>
      </c>
      <c r="I799" s="17">
        <f>IFERROR(__xludf.DUMMYFUNCTION("AVERAGE(QUERY(SORT(GOOGLEFINANCE(B799,""price"",TODAY()-365,TODAY()),1,0),""select Col2 limit 10""))"),546.08)</f>
        <v>546.08</v>
      </c>
      <c r="J799" s="17">
        <f>IFERROR(__xludf.DUMMYFUNCTION("AVERAGE(QUERY(SORT(GOOGLEFINANCE(B799,""price"",TODAY()-365,TODAY()),1,0),""select Col2 limit 30""))"),518.7166666666668)</f>
        <v>518.7166667</v>
      </c>
      <c r="K799" s="18">
        <f>IFERROR(__xludf.DUMMYFUNCTION("AVERAGE(QUERY(SORT(GOOGLEFINANCE(B799,""price"",TODAY()-365,TODAY()),1,0),""select Col2 limit 60""))"),507.3208333333333)</f>
        <v>507.3208333</v>
      </c>
      <c r="L799" s="17">
        <f>IFERROR(__xludf.DUMMYFUNCTION("AVERAGE(QUERY(SORT(GOOGLEFINANCE(B799,""price"",TODAY()-365,TODAY()),1,0),""select Col2 limit 90""))"),498.3405555555556)</f>
        <v>498.3405556</v>
      </c>
      <c r="M799" s="17">
        <f>IFERROR(__xludf.DUMMYFUNCTION("AVERAGE(QUERY(SORT(GOOGLEFINANCE(B799,""price"",TODAY()-365,TODAY()),1,0),""select Col2 limit 120""))"),485.9983333333333)</f>
        <v>485.9983333</v>
      </c>
      <c r="N799" s="19">
        <f>IFERROR(__xludf.DUMMYFUNCTION("AVERAGE(QUERY(SORT(GOOGLEFINANCE(B799,""price"",TODAY()-365,TODAY()),1,0),""select Col2 limit 200""))"),502.71624999999995)</f>
        <v>502.71625</v>
      </c>
      <c r="O799" s="20" t="str">
        <f t="shared" si="2"/>
        <v>Avoid</v>
      </c>
      <c r="P799" s="21" t="str">
        <f t="shared" si="3"/>
        <v/>
      </c>
      <c r="Q799" s="21" t="str">
        <f t="shared" si="4"/>
        <v/>
      </c>
      <c r="R799" s="22">
        <f>IFERROR(__xludf.DUMMYFUNCTION("GOOGLEFINANCE(B799, ""pe"")
"),45.38)</f>
        <v>45.38</v>
      </c>
    </row>
    <row r="800">
      <c r="A800" s="9" t="s">
        <v>810</v>
      </c>
      <c r="B800" s="11" t="str">
        <f t="shared" si="1"/>
        <v>NSE:VRLLOG</v>
      </c>
      <c r="C800" s="12">
        <f>IFERROR(__xludf.DUMMYFUNCTION("GOOGLEFINANCE(B800,""marketcap"")/10000000"),5421.7341391)</f>
        <v>5421.734139</v>
      </c>
      <c r="D800" s="13">
        <f>IFERROR(__xludf.DUMMYFUNCTION("GOOGLEFINANCE(B800,""price"")"),621.45)</f>
        <v>621.45</v>
      </c>
      <c r="E800" s="14">
        <f>IFERROR(__xludf.DUMMYFUNCTION("GOOGLEFINANCE(B800,""Volume"")"),56222.0)</f>
        <v>56222</v>
      </c>
      <c r="F800" s="14">
        <f t="array" ref="F800">F799</f>
        <v>14</v>
      </c>
      <c r="G800" s="15" t="str">
        <f>IFERROR(__xludf.DUMMYFUNCTION("IF(E800&gt;AVERAGE(INDEX(GOOGLEFINANCE(B800,""volume"",WORKDAY(TODAY(),-$F$1),TODAY()),,2)),""Breakout"","""")"),"")</f>
        <v/>
      </c>
      <c r="H800" s="16">
        <f>IFERROR(__xludf.DUMMYFUNCTION("GOOGLEFINANCE(B800,""price"")"),621.45)</f>
        <v>621.45</v>
      </c>
      <c r="I800" s="17">
        <f>IFERROR(__xludf.DUMMYFUNCTION("AVERAGE(QUERY(SORT(GOOGLEFINANCE(B800,""price"",TODAY()-365,TODAY()),1,0),""select Col2 limit 10""))"),629.735)</f>
        <v>629.735</v>
      </c>
      <c r="J800" s="17">
        <f>IFERROR(__xludf.DUMMYFUNCTION("AVERAGE(QUERY(SORT(GOOGLEFINANCE(B800,""price"",TODAY()-365,TODAY()),1,0),""select Col2 limit 30""))"),597.4449999999999)</f>
        <v>597.445</v>
      </c>
      <c r="K800" s="18">
        <f>IFERROR(__xludf.DUMMYFUNCTION("AVERAGE(QUERY(SORT(GOOGLEFINANCE(B800,""price"",TODAY()-365,TODAY()),1,0),""select Col2 limit 60""))"),570.4000000000002)</f>
        <v>570.4</v>
      </c>
      <c r="L800" s="17">
        <f>IFERROR(__xludf.DUMMYFUNCTION("AVERAGE(QUERY(SORT(GOOGLEFINANCE(B800,""price"",TODAY()-365,TODAY()),1,0),""select Col2 limit 90""))"),539.8727777777779)</f>
        <v>539.8727778</v>
      </c>
      <c r="M800" s="17">
        <f>IFERROR(__xludf.DUMMYFUNCTION("AVERAGE(QUERY(SORT(GOOGLEFINANCE(B800,""price"",TODAY()-365,TODAY()),1,0),""select Col2 limit 120""))"),523.9058333333335)</f>
        <v>523.9058333</v>
      </c>
      <c r="N800" s="19">
        <f>IFERROR(__xludf.DUMMYFUNCTION("AVERAGE(QUERY(SORT(GOOGLEFINANCE(B800,""price"",TODAY()-365,TODAY()),1,0),""select Col2 limit 200""))"),525.7230000000003)</f>
        <v>525.723</v>
      </c>
      <c r="O800" s="20" t="str">
        <f t="shared" si="2"/>
        <v>Avoid</v>
      </c>
      <c r="P800" s="21" t="str">
        <f t="shared" si="3"/>
        <v/>
      </c>
      <c r="Q800" s="21" t="str">
        <f t="shared" si="4"/>
        <v/>
      </c>
      <c r="R800" s="22">
        <f>IFERROR(__xludf.DUMMYFUNCTION("GOOGLEFINANCE(B800, ""pe"")
"),29.76)</f>
        <v>29.76</v>
      </c>
    </row>
    <row r="801">
      <c r="A801" s="9" t="s">
        <v>811</v>
      </c>
      <c r="B801" s="11" t="str">
        <f t="shared" si="1"/>
        <v>NSE:JISLDVREQS</v>
      </c>
      <c r="C801" s="12">
        <f>IFERROR(__xludf.DUMMYFUNCTION("GOOGLEFINANCE(B801,""marketcap"")/10000000"),3450.0950749)</f>
        <v>3450.095075</v>
      </c>
      <c r="D801" s="13">
        <f>IFERROR(__xludf.DUMMYFUNCTION("GOOGLEFINANCE(B801,""price"")"),29.88)</f>
        <v>29.88</v>
      </c>
      <c r="E801" s="14">
        <f>IFERROR(__xludf.DUMMYFUNCTION("GOOGLEFINANCE(B801,""Volume"")"),16781.0)</f>
        <v>16781</v>
      </c>
      <c r="F801" s="14">
        <f t="array" ref="F801">F800</f>
        <v>14</v>
      </c>
      <c r="G801" s="15" t="str">
        <f>IFERROR(__xludf.DUMMYFUNCTION("IF(E801&gt;AVERAGE(INDEX(GOOGLEFINANCE(B801,""volume"",WORKDAY(TODAY(),-$F$1),TODAY()),,2)),""Breakout"","""")"),"")</f>
        <v/>
      </c>
      <c r="H801" s="16">
        <f>IFERROR(__xludf.DUMMYFUNCTION("GOOGLEFINANCE(B801,""price"")"),29.88)</f>
        <v>29.88</v>
      </c>
      <c r="I801" s="17">
        <f>IFERROR(__xludf.DUMMYFUNCTION("AVERAGE(QUERY(SORT(GOOGLEFINANCE(B801,""price"",TODAY()-365,TODAY()),1,0),""select Col2 limit 10""))"),31.576999999999998)</f>
        <v>31.577</v>
      </c>
      <c r="J801" s="17">
        <f>IFERROR(__xludf.DUMMYFUNCTION("AVERAGE(QUERY(SORT(GOOGLEFINANCE(B801,""price"",TODAY()-365,TODAY()),1,0),""select Col2 limit 30""))"),32.222)</f>
        <v>32.222</v>
      </c>
      <c r="K801" s="18">
        <f>IFERROR(__xludf.DUMMYFUNCTION("AVERAGE(QUERY(SORT(GOOGLEFINANCE(B801,""price"",TODAY()-365,TODAY()),1,0),""select Col2 limit 60""))"),31.380666666666666)</f>
        <v>31.38066667</v>
      </c>
      <c r="L801" s="17">
        <f>IFERROR(__xludf.DUMMYFUNCTION("AVERAGE(QUERY(SORT(GOOGLEFINANCE(B801,""price"",TODAY()-365,TODAY()),1,0),""select Col2 limit 90""))"),30.554111111111105)</f>
        <v>30.55411111</v>
      </c>
      <c r="M801" s="17">
        <f>IFERROR(__xludf.DUMMYFUNCTION("AVERAGE(QUERY(SORT(GOOGLEFINANCE(B801,""price"",TODAY()-365,TODAY()),1,0),""select Col2 limit 120""))"),30.759166666666665)</f>
        <v>30.75916667</v>
      </c>
      <c r="N801" s="19">
        <f>IFERROR(__xludf.DUMMYFUNCTION("AVERAGE(QUERY(SORT(GOOGLEFINANCE(B801,""price"",TODAY()-365,TODAY()),1,0),""select Col2 limit 200""))"),32.33175000000001)</f>
        <v>32.33175</v>
      </c>
      <c r="O801" s="20" t="str">
        <f t="shared" si="2"/>
        <v>Avoid</v>
      </c>
      <c r="P801" s="21" t="str">
        <f t="shared" si="3"/>
        <v/>
      </c>
      <c r="Q801" s="21" t="str">
        <f t="shared" si="4"/>
        <v/>
      </c>
      <c r="R801" s="22" t="str">
        <f>IFERROR(__xludf.DUMMYFUNCTION("GOOGLEFINANCE(B801, ""pe"")
"),"#N/A")</f>
        <v>#N/A</v>
      </c>
    </row>
    <row r="802">
      <c r="A802" s="9" t="s">
        <v>812</v>
      </c>
      <c r="B802" s="11" t="str">
        <f t="shared" si="1"/>
        <v>NSE:JISLJALEQS</v>
      </c>
      <c r="C802" s="12">
        <f>IFERROR(__xludf.DUMMYFUNCTION("GOOGLEFINANCE(B802,""marketcap"")/10000000"),3450.0950749)</f>
        <v>3450.095075</v>
      </c>
      <c r="D802" s="13">
        <f>IFERROR(__xludf.DUMMYFUNCTION("GOOGLEFINANCE(B802,""price"")"),50.61)</f>
        <v>50.61</v>
      </c>
      <c r="E802" s="14">
        <f>IFERROR(__xludf.DUMMYFUNCTION("GOOGLEFINANCE(B802,""Volume"")"),1670588.0)</f>
        <v>1670588</v>
      </c>
      <c r="F802" s="14">
        <f t="array" ref="F802">F801</f>
        <v>14</v>
      </c>
      <c r="G802" s="15" t="str">
        <f>IFERROR(__xludf.DUMMYFUNCTION("IF(E802&gt;AVERAGE(INDEX(GOOGLEFINANCE(B802,""volume"",WORKDAY(TODAY(),-$F$1),TODAY()),,2)),""Breakout"","""")"),"")</f>
        <v/>
      </c>
      <c r="H802" s="16">
        <f>IFERROR(__xludf.DUMMYFUNCTION("GOOGLEFINANCE(B802,""price"")"),50.61)</f>
        <v>50.61</v>
      </c>
      <c r="I802" s="17">
        <f>IFERROR(__xludf.DUMMYFUNCTION("AVERAGE(QUERY(SORT(GOOGLEFINANCE(B802,""price"",TODAY()-365,TODAY()),1,0),""select Col2 limit 10""))"),53.58800000000001)</f>
        <v>53.588</v>
      </c>
      <c r="J802" s="17">
        <f>IFERROR(__xludf.DUMMYFUNCTION("AVERAGE(QUERY(SORT(GOOGLEFINANCE(B802,""price"",TODAY()-365,TODAY()),1,0),""select Col2 limit 30""))"),56.815999999999995)</f>
        <v>56.816</v>
      </c>
      <c r="K802" s="18">
        <f>IFERROR(__xludf.DUMMYFUNCTION("AVERAGE(QUERY(SORT(GOOGLEFINANCE(B802,""price"",TODAY()-365,TODAY()),1,0),""select Col2 limit 60""))"),57.14466666666665)</f>
        <v>57.14466667</v>
      </c>
      <c r="L802" s="17">
        <f>IFERROR(__xludf.DUMMYFUNCTION("AVERAGE(QUERY(SORT(GOOGLEFINANCE(B802,""price"",TODAY()-365,TODAY()),1,0),""select Col2 limit 90""))"),56.76899999999999)</f>
        <v>56.769</v>
      </c>
      <c r="M802" s="17">
        <f>IFERROR(__xludf.DUMMYFUNCTION("AVERAGE(QUERY(SORT(GOOGLEFINANCE(B802,""price"",TODAY()-365,TODAY()),1,0),""select Col2 limit 120""))"),58.373833333333344)</f>
        <v>58.37383333</v>
      </c>
      <c r="N802" s="19">
        <f>IFERROR(__xludf.DUMMYFUNCTION("AVERAGE(QUERY(SORT(GOOGLEFINANCE(B802,""price"",TODAY()-365,TODAY()),1,0),""select Col2 limit 200""))"),62.484950000000005)</f>
        <v>62.48495</v>
      </c>
      <c r="O802" s="20" t="str">
        <f t="shared" si="2"/>
        <v>Avoid</v>
      </c>
      <c r="P802" s="21" t="str">
        <f t="shared" si="3"/>
        <v/>
      </c>
      <c r="Q802" s="21" t="str">
        <f t="shared" si="4"/>
        <v/>
      </c>
      <c r="R802" s="22">
        <f>IFERROR(__xludf.DUMMYFUNCTION("GOOGLEFINANCE(B802, ""pe"")
"),105.33)</f>
        <v>105.33</v>
      </c>
    </row>
    <row r="803">
      <c r="A803" s="9" t="s">
        <v>813</v>
      </c>
      <c r="B803" s="11" t="str">
        <f t="shared" si="1"/>
        <v>NSE:HERITGFOOD</v>
      </c>
      <c r="C803" s="12">
        <f>IFERROR(__xludf.DUMMYFUNCTION("GOOGLEFINANCE(B803,""marketcap"")/10000000"),4326.1496332)</f>
        <v>4326.149633</v>
      </c>
      <c r="D803" s="13">
        <f>IFERROR(__xludf.DUMMYFUNCTION("GOOGLEFINANCE(B803,""price"")"),466.2)</f>
        <v>466.2</v>
      </c>
      <c r="E803" s="14">
        <f>IFERROR(__xludf.DUMMYFUNCTION("GOOGLEFINANCE(B803,""Volume"")"),164482.0)</f>
        <v>164482</v>
      </c>
      <c r="F803" s="14">
        <f t="array" ref="F803">F802</f>
        <v>14</v>
      </c>
      <c r="G803" s="15" t="str">
        <f>IFERROR(__xludf.DUMMYFUNCTION("IF(E803&gt;AVERAGE(INDEX(GOOGLEFINANCE(B803,""volume"",WORKDAY(TODAY(),-$F$1),TODAY()),,2)),""Breakout"","""")"),"")</f>
        <v/>
      </c>
      <c r="H803" s="16">
        <f>IFERROR(__xludf.DUMMYFUNCTION("GOOGLEFINANCE(B803,""price"")"),466.2)</f>
        <v>466.2</v>
      </c>
      <c r="I803" s="17">
        <f>IFERROR(__xludf.DUMMYFUNCTION("AVERAGE(QUERY(SORT(GOOGLEFINANCE(B803,""price"",TODAY()-365,TODAY()),1,0),""select Col2 limit 10""))"),482.7249999999999)</f>
        <v>482.725</v>
      </c>
      <c r="J803" s="17">
        <f>IFERROR(__xludf.DUMMYFUNCTION("AVERAGE(QUERY(SORT(GOOGLEFINANCE(B803,""price"",TODAY()-365,TODAY()),1,0),""select Col2 limit 30""))"),463.345)</f>
        <v>463.345</v>
      </c>
      <c r="K803" s="18">
        <f>IFERROR(__xludf.DUMMYFUNCTION("AVERAGE(QUERY(SORT(GOOGLEFINANCE(B803,""price"",TODAY()-365,TODAY()),1,0),""select Col2 limit 60""))"),434.7383333333335)</f>
        <v>434.7383333</v>
      </c>
      <c r="L803" s="17">
        <f>IFERROR(__xludf.DUMMYFUNCTION("AVERAGE(QUERY(SORT(GOOGLEFINANCE(B803,""price"",TODAY()-365,TODAY()),1,0),""select Col2 limit 90""))"),419.87888888888887)</f>
        <v>419.8788889</v>
      </c>
      <c r="M803" s="17">
        <f>IFERROR(__xludf.DUMMYFUNCTION("AVERAGE(QUERY(SORT(GOOGLEFINANCE(B803,""price"",TODAY()-365,TODAY()),1,0),""select Col2 limit 120""))"),420.45291666666674)</f>
        <v>420.4529167</v>
      </c>
      <c r="N803" s="19">
        <f>IFERROR(__xludf.DUMMYFUNCTION("AVERAGE(QUERY(SORT(GOOGLEFINANCE(B803,""price"",TODAY()-365,TODAY()),1,0),""select Col2 limit 200""))"),466.15724999999986)</f>
        <v>466.15725</v>
      </c>
      <c r="O803" s="20" t="str">
        <f t="shared" si="2"/>
        <v>Avoid</v>
      </c>
      <c r="P803" s="21" t="str">
        <f t="shared" si="3"/>
        <v/>
      </c>
      <c r="Q803" s="21" t="str">
        <f t="shared" si="4"/>
        <v/>
      </c>
      <c r="R803" s="22">
        <f>IFERROR(__xludf.DUMMYFUNCTION("GOOGLEFINANCE(B803, ""pe"")
"),25.39)</f>
        <v>25.39</v>
      </c>
    </row>
    <row r="804">
      <c r="A804" s="9" t="s">
        <v>814</v>
      </c>
      <c r="B804" s="11" t="str">
        <f t="shared" si="1"/>
        <v>NSE:KSCL</v>
      </c>
      <c r="C804" s="12">
        <f>IFERROR(__xludf.DUMMYFUNCTION("GOOGLEFINANCE(B804,""marketcap"")/10000000"),5789.318548)</f>
        <v>5789.318548</v>
      </c>
      <c r="D804" s="13">
        <f>IFERROR(__xludf.DUMMYFUNCTION("GOOGLEFINANCE(B804,""price"")"),1132.4)</f>
        <v>1132.4</v>
      </c>
      <c r="E804" s="14">
        <f>IFERROR(__xludf.DUMMYFUNCTION("GOOGLEFINANCE(B804,""Volume"")"),47067.0)</f>
        <v>47067</v>
      </c>
      <c r="F804" s="14">
        <f t="array" ref="F804">F803</f>
        <v>14</v>
      </c>
      <c r="G804" s="15" t="str">
        <f>IFERROR(__xludf.DUMMYFUNCTION("IF(E804&gt;AVERAGE(INDEX(GOOGLEFINANCE(B804,""volume"",WORKDAY(TODAY(),-$F$1),TODAY()),,2)),""Breakout"","""")"),"")</f>
        <v/>
      </c>
      <c r="H804" s="16">
        <f>IFERROR(__xludf.DUMMYFUNCTION("GOOGLEFINANCE(B804,""price"")"),1132.4)</f>
        <v>1132.4</v>
      </c>
      <c r="I804" s="17">
        <f>IFERROR(__xludf.DUMMYFUNCTION("AVERAGE(QUERY(SORT(GOOGLEFINANCE(B804,""price"",TODAY()-365,TODAY()),1,0),""select Col2 limit 10""))"),1126.65)</f>
        <v>1126.65</v>
      </c>
      <c r="J804" s="17">
        <f>IFERROR(__xludf.DUMMYFUNCTION("AVERAGE(QUERY(SORT(GOOGLEFINANCE(B804,""price"",TODAY()-365,TODAY()),1,0),""select Col2 limit 30""))"),1180.03)</f>
        <v>1180.03</v>
      </c>
      <c r="K804" s="18">
        <f>IFERROR(__xludf.DUMMYFUNCTION("AVERAGE(QUERY(SORT(GOOGLEFINANCE(B804,""price"",TODAY()-365,TODAY()),1,0),""select Col2 limit 60""))"),1300.0633333333337)</f>
        <v>1300.063333</v>
      </c>
      <c r="L804" s="17">
        <f>IFERROR(__xludf.DUMMYFUNCTION("AVERAGE(QUERY(SORT(GOOGLEFINANCE(B804,""price"",TODAY()-365,TODAY()),1,0),""select Col2 limit 90""))"),1320.8700000000001)</f>
        <v>1320.87</v>
      </c>
      <c r="M804" s="17">
        <f>IFERROR(__xludf.DUMMYFUNCTION("AVERAGE(QUERY(SORT(GOOGLEFINANCE(B804,""price"",TODAY()-365,TODAY()),1,0),""select Col2 limit 120""))"),1238.1987500000002)</f>
        <v>1238.19875</v>
      </c>
      <c r="N804" s="19">
        <f>IFERROR(__xludf.DUMMYFUNCTION("AVERAGE(QUERY(SORT(GOOGLEFINANCE(B804,""price"",TODAY()-365,TODAY()),1,0),""select Col2 limit 200""))"),1101.0322500000004)</f>
        <v>1101.03225</v>
      </c>
      <c r="O804" s="20" t="str">
        <f t="shared" si="2"/>
        <v>Avoid</v>
      </c>
      <c r="P804" s="21" t="str">
        <f t="shared" si="3"/>
        <v/>
      </c>
      <c r="Q804" s="21" t="str">
        <f t="shared" si="4"/>
        <v/>
      </c>
      <c r="R804" s="22">
        <f>IFERROR(__xludf.DUMMYFUNCTION("GOOGLEFINANCE(B804, ""pe"")
"),20.55)</f>
        <v>20.55</v>
      </c>
    </row>
    <row r="805">
      <c r="A805" s="9" t="s">
        <v>815</v>
      </c>
      <c r="B805" s="11" t="str">
        <f t="shared" si="1"/>
        <v>NSE:NOCIL</v>
      </c>
      <c r="C805" s="12">
        <f>IFERROR(__xludf.DUMMYFUNCTION("GOOGLEFINANCE(B805,""marketcap"")/10000000"),3052.3800475)</f>
        <v>3052.380048</v>
      </c>
      <c r="D805" s="13">
        <f>IFERROR(__xludf.DUMMYFUNCTION("GOOGLEFINANCE(B805,""price"")"),182.65)</f>
        <v>182.65</v>
      </c>
      <c r="E805" s="14">
        <f>IFERROR(__xludf.DUMMYFUNCTION("GOOGLEFINANCE(B805,""Volume"")"),120370.0)</f>
        <v>120370</v>
      </c>
      <c r="F805" s="14">
        <f t="array" ref="F805">F804</f>
        <v>14</v>
      </c>
      <c r="G805" s="15" t="str">
        <f>IFERROR(__xludf.DUMMYFUNCTION("IF(E805&gt;AVERAGE(INDEX(GOOGLEFINANCE(B805,""volume"",WORKDAY(TODAY(),-$F$1),TODAY()),,2)),""Breakout"","""")"),"")</f>
        <v/>
      </c>
      <c r="H805" s="16">
        <f>IFERROR(__xludf.DUMMYFUNCTION("GOOGLEFINANCE(B805,""price"")"),182.65)</f>
        <v>182.65</v>
      </c>
      <c r="I805" s="17">
        <f>IFERROR(__xludf.DUMMYFUNCTION("AVERAGE(QUERY(SORT(GOOGLEFINANCE(B805,""price"",TODAY()-365,TODAY()),1,0),""select Col2 limit 10""))"),192.07799999999997)</f>
        <v>192.078</v>
      </c>
      <c r="J805" s="17">
        <f>IFERROR(__xludf.DUMMYFUNCTION("AVERAGE(QUERY(SORT(GOOGLEFINANCE(B805,""price"",TODAY()-365,TODAY()),1,0),""select Col2 limit 30""))"),191.78299999999993)</f>
        <v>191.783</v>
      </c>
      <c r="K805" s="18">
        <f>IFERROR(__xludf.DUMMYFUNCTION("AVERAGE(QUERY(SORT(GOOGLEFINANCE(B805,""price"",TODAY()-365,TODAY()),1,0),""select Col2 limit 60""))"),190.18833333333333)</f>
        <v>190.1883333</v>
      </c>
      <c r="L805" s="17">
        <f>IFERROR(__xludf.DUMMYFUNCTION("AVERAGE(QUERY(SORT(GOOGLEFINANCE(B805,""price"",TODAY()-365,TODAY()),1,0),""select Col2 limit 90""))"),187.21566666666664)</f>
        <v>187.2156667</v>
      </c>
      <c r="M805" s="17">
        <f>IFERROR(__xludf.DUMMYFUNCTION("AVERAGE(QUERY(SORT(GOOGLEFINANCE(B805,""price"",TODAY()-365,TODAY()),1,0),""select Col2 limit 120""))"),190.5283333333334)</f>
        <v>190.5283333</v>
      </c>
      <c r="N805" s="19">
        <f>IFERROR(__xludf.DUMMYFUNCTION("AVERAGE(QUERY(SORT(GOOGLEFINANCE(B805,""price"",TODAY()-365,TODAY()),1,0),""select Col2 limit 200""))"),219.70060000000015)</f>
        <v>219.7006</v>
      </c>
      <c r="O805" s="20" t="str">
        <f t="shared" si="2"/>
        <v>Avoid</v>
      </c>
      <c r="P805" s="21" t="str">
        <f t="shared" si="3"/>
        <v/>
      </c>
      <c r="Q805" s="21" t="str">
        <f t="shared" si="4"/>
        <v/>
      </c>
      <c r="R805" s="22">
        <f>IFERROR(__xludf.DUMMYFUNCTION("GOOGLEFINANCE(B805, ""pe"")
"),29.68)</f>
        <v>29.68</v>
      </c>
    </row>
    <row r="806">
      <c r="A806" s="9" t="s">
        <v>816</v>
      </c>
      <c r="B806" s="11" t="str">
        <f t="shared" si="1"/>
        <v>NSE:ENTERO</v>
      </c>
      <c r="C806" s="12">
        <f>IFERROR(__xludf.DUMMYFUNCTION("GOOGLEFINANCE(B806,""marketcap"")/10000000"),5395.1036)</f>
        <v>5395.1036</v>
      </c>
      <c r="D806" s="13">
        <f>IFERROR(__xludf.DUMMYFUNCTION("GOOGLEFINANCE(B806,""price"")"),1241.6)</f>
        <v>1241.6</v>
      </c>
      <c r="E806" s="14">
        <f>IFERROR(__xludf.DUMMYFUNCTION("GOOGLEFINANCE(B806,""Volume"")"),49490.0)</f>
        <v>49490</v>
      </c>
      <c r="F806" s="14">
        <f t="array" ref="F806">F805</f>
        <v>14</v>
      </c>
      <c r="G806" s="15" t="str">
        <f>IFERROR(__xludf.DUMMYFUNCTION("IF(E806&gt;AVERAGE(INDEX(GOOGLEFINANCE(B806,""volume"",WORKDAY(TODAY(),-$F$1),TODAY()),,2)),""Breakout"","""")"),"")</f>
        <v/>
      </c>
      <c r="H806" s="16">
        <f>IFERROR(__xludf.DUMMYFUNCTION("GOOGLEFINANCE(B806,""price"")"),1241.6)</f>
        <v>1241.6</v>
      </c>
      <c r="I806" s="17">
        <f>IFERROR(__xludf.DUMMYFUNCTION("AVERAGE(QUERY(SORT(GOOGLEFINANCE(B806,""price"",TODAY()-365,TODAY()),1,0),""select Col2 limit 10""))"),1214.9)</f>
        <v>1214.9</v>
      </c>
      <c r="J806" s="17">
        <f>IFERROR(__xludf.DUMMYFUNCTION("AVERAGE(QUERY(SORT(GOOGLEFINANCE(B806,""price"",TODAY()-365,TODAY()),1,0),""select Col2 limit 30""))"),1184.8166666666666)</f>
        <v>1184.816667</v>
      </c>
      <c r="K806" s="18">
        <f>IFERROR(__xludf.DUMMYFUNCTION("AVERAGE(QUERY(SORT(GOOGLEFINANCE(B806,""price"",TODAY()-365,TODAY()),1,0),""select Col2 limit 60""))"),1259.1)</f>
        <v>1259.1</v>
      </c>
      <c r="L806" s="17">
        <f>IFERROR(__xludf.DUMMYFUNCTION("AVERAGE(QUERY(SORT(GOOGLEFINANCE(B806,""price"",TODAY()-365,TODAY()),1,0),""select Col2 limit 90""))"),1247.1016666666667)</f>
        <v>1247.101667</v>
      </c>
      <c r="M806" s="17">
        <f>IFERROR(__xludf.DUMMYFUNCTION("AVERAGE(QUERY(SORT(GOOGLEFINANCE(B806,""price"",TODAY()-365,TODAY()),1,0),""select Col2 limit 120""))"),1262.7599999999998)</f>
        <v>1262.76</v>
      </c>
      <c r="N806" s="19">
        <f>IFERROR(__xludf.DUMMYFUNCTION("AVERAGE(QUERY(SORT(GOOGLEFINANCE(B806,""price"",TODAY()-365,TODAY()),1,0),""select Col2 limit 200""))"),1311.3255)</f>
        <v>1311.3255</v>
      </c>
      <c r="O806" s="20" t="str">
        <f t="shared" si="2"/>
        <v>Avoid</v>
      </c>
      <c r="P806" s="21" t="str">
        <f t="shared" si="3"/>
        <v>90 DMA</v>
      </c>
      <c r="Q806" s="21" t="str">
        <f t="shared" si="4"/>
        <v/>
      </c>
      <c r="R806" s="22">
        <f>IFERROR(__xludf.DUMMYFUNCTION("GOOGLEFINANCE(B806, ""pe"")
"),56.99)</f>
        <v>56.99</v>
      </c>
    </row>
    <row r="807">
      <c r="A807" s="9" t="s">
        <v>817</v>
      </c>
      <c r="B807" s="11" t="str">
        <f t="shared" si="1"/>
        <v>NSE:THANGAMAYL</v>
      </c>
      <c r="C807" s="12">
        <f>IFERROR(__xludf.DUMMYFUNCTION("GOOGLEFINANCE(B807,""marketcap"")/10000000"),5713.80605)</f>
        <v>5713.80605</v>
      </c>
      <c r="D807" s="13">
        <f>IFERROR(__xludf.DUMMYFUNCTION("GOOGLEFINANCE(B807,""price"")"),1838.1)</f>
        <v>1838.1</v>
      </c>
      <c r="E807" s="14">
        <f>IFERROR(__xludf.DUMMYFUNCTION("GOOGLEFINANCE(B807,""Volume"")"),14672.0)</f>
        <v>14672</v>
      </c>
      <c r="F807" s="14">
        <f t="array" ref="F807">F806</f>
        <v>14</v>
      </c>
      <c r="G807" s="15" t="str">
        <f>IFERROR(__xludf.DUMMYFUNCTION("IF(E807&gt;AVERAGE(INDEX(GOOGLEFINANCE(B807,""volume"",WORKDAY(TODAY(),-$F$1),TODAY()),,2)),""Breakout"","""")"),"")</f>
        <v/>
      </c>
      <c r="H807" s="16">
        <f>IFERROR(__xludf.DUMMYFUNCTION("GOOGLEFINANCE(B807,""price"")"),1838.1)</f>
        <v>1838.1</v>
      </c>
      <c r="I807" s="17">
        <f>IFERROR(__xludf.DUMMYFUNCTION("AVERAGE(QUERY(SORT(GOOGLEFINANCE(B807,""price"",TODAY()-365,TODAY()),1,0),""select Col2 limit 10""))"),1890.89)</f>
        <v>1890.89</v>
      </c>
      <c r="J807" s="17">
        <f>IFERROR(__xludf.DUMMYFUNCTION("AVERAGE(QUERY(SORT(GOOGLEFINANCE(B807,""price"",TODAY()-365,TODAY()),1,0),""select Col2 limit 30""))"),1892.0066666666664)</f>
        <v>1892.006667</v>
      </c>
      <c r="K807" s="18">
        <f>IFERROR(__xludf.DUMMYFUNCTION("AVERAGE(QUERY(SORT(GOOGLEFINANCE(B807,""price"",TODAY()-365,TODAY()),1,0),""select Col2 limit 60""))"),1908.2116666666666)</f>
        <v>1908.211667</v>
      </c>
      <c r="L807" s="17">
        <f>IFERROR(__xludf.DUMMYFUNCTION("AVERAGE(QUERY(SORT(GOOGLEFINANCE(B807,""price"",TODAY()-365,TODAY()),1,0),""select Col2 limit 90""))"),1936.1622222222222)</f>
        <v>1936.162222</v>
      </c>
      <c r="M807" s="17">
        <f>IFERROR(__xludf.DUMMYFUNCTION("AVERAGE(QUERY(SORT(GOOGLEFINANCE(B807,""price"",TODAY()-365,TODAY()),1,0),""select Col2 limit 120""))"),1901.1134166666668)</f>
        <v>1901.113417</v>
      </c>
      <c r="N807" s="19">
        <f>IFERROR(__xludf.DUMMYFUNCTION("AVERAGE(QUERY(SORT(GOOGLEFINANCE(B807,""price"",TODAY()-365,TODAY()),1,0),""select Col2 limit 200""))"),1941.6957000000007)</f>
        <v>1941.6957</v>
      </c>
      <c r="O807" s="20" t="str">
        <f t="shared" si="2"/>
        <v>Avoid</v>
      </c>
      <c r="P807" s="21" t="str">
        <f t="shared" si="3"/>
        <v/>
      </c>
      <c r="Q807" s="21" t="str">
        <f t="shared" si="4"/>
        <v/>
      </c>
      <c r="R807" s="22">
        <f>IFERROR(__xludf.DUMMYFUNCTION("GOOGLEFINANCE(B807, ""pe"")
"),43.83)</f>
        <v>43.83</v>
      </c>
    </row>
    <row r="808">
      <c r="A808" s="9" t="s">
        <v>818</v>
      </c>
      <c r="B808" s="11" t="str">
        <f t="shared" si="1"/>
        <v>NSE:TI</v>
      </c>
      <c r="C808" s="12">
        <f>IFERROR(__xludf.DUMMYFUNCTION("GOOGLEFINANCE(B808,""marketcap"")/10000000"),9810.8497305)</f>
        <v>9810.849731</v>
      </c>
      <c r="D808" s="13">
        <f>IFERROR(__xludf.DUMMYFUNCTION("GOOGLEFINANCE(B808,""price"")"),508.9)</f>
        <v>508.9</v>
      </c>
      <c r="E808" s="14">
        <f>IFERROR(__xludf.DUMMYFUNCTION("GOOGLEFINANCE(B808,""Volume"")"),4049117.0)</f>
        <v>4049117</v>
      </c>
      <c r="F808" s="14">
        <f t="array" ref="F808">F807</f>
        <v>14</v>
      </c>
      <c r="G808" s="15" t="str">
        <f>IFERROR(__xludf.DUMMYFUNCTION("IF(E808&gt;AVERAGE(INDEX(GOOGLEFINANCE(B808,""volume"",WORKDAY(TODAY(),-$F$1),TODAY()),,2)),""Breakout"","""")"),"")</f>
        <v/>
      </c>
      <c r="H808" s="16">
        <f>IFERROR(__xludf.DUMMYFUNCTION("GOOGLEFINANCE(B808,""price"")"),508.9)</f>
        <v>508.9</v>
      </c>
      <c r="I808" s="17">
        <f>IFERROR(__xludf.DUMMYFUNCTION("AVERAGE(QUERY(SORT(GOOGLEFINANCE(B808,""price"",TODAY()-365,TODAY()),1,0),""select Col2 limit 10""))"),423.12000000000006)</f>
        <v>423.12</v>
      </c>
      <c r="J808" s="17">
        <f>IFERROR(__xludf.DUMMYFUNCTION("AVERAGE(QUERY(SORT(GOOGLEFINANCE(B808,""price"",TODAY()-365,TODAY()),1,0),""select Col2 limit 30""))"),375.81499999999994)</f>
        <v>375.815</v>
      </c>
      <c r="K808" s="18">
        <f>IFERROR(__xludf.DUMMYFUNCTION("AVERAGE(QUERY(SORT(GOOGLEFINANCE(B808,""price"",TODAY()-365,TODAY()),1,0),""select Col2 limit 60""))"),357.3816666666668)</f>
        <v>357.3816667</v>
      </c>
      <c r="L808" s="17">
        <f>IFERROR(__xludf.DUMMYFUNCTION("AVERAGE(QUERY(SORT(GOOGLEFINANCE(B808,""price"",TODAY()-365,TODAY()),1,0),""select Col2 limit 90""))"),323.5696666666669)</f>
        <v>323.5696667</v>
      </c>
      <c r="M808" s="17">
        <f>IFERROR(__xludf.DUMMYFUNCTION("AVERAGE(QUERY(SORT(GOOGLEFINANCE(B808,""price"",TODAY()-365,TODAY()),1,0),""select Col2 limit 120""))"),312.3675000000002)</f>
        <v>312.3675</v>
      </c>
      <c r="N808" s="19">
        <f>IFERROR(__xludf.DUMMYFUNCTION("AVERAGE(QUERY(SORT(GOOGLEFINANCE(B808,""price"",TODAY()-365,TODAY()),1,0),""select Col2 limit 200""))"),334.5910000000001)</f>
        <v>334.591</v>
      </c>
      <c r="O808" s="20" t="str">
        <f t="shared" si="2"/>
        <v>Avoid</v>
      </c>
      <c r="P808" s="21" t="str">
        <f t="shared" si="3"/>
        <v/>
      </c>
      <c r="Q808" s="21" t="str">
        <f t="shared" si="4"/>
        <v/>
      </c>
      <c r="R808" s="22">
        <f>IFERROR(__xludf.DUMMYFUNCTION("GOOGLEFINANCE(B808, ""pe"")
"),42.87)</f>
        <v>42.87</v>
      </c>
    </row>
    <row r="809">
      <c r="A809" s="9" t="s">
        <v>819</v>
      </c>
      <c r="B809" s="11" t="str">
        <f t="shared" si="1"/>
        <v>NSE:BANCOINDIA</v>
      </c>
      <c r="C809" s="12">
        <f>IFERROR(__xludf.DUMMYFUNCTION("GOOGLEFINANCE(B809,""marketcap"")/10000000"),8734.5669672)</f>
        <v>8734.566967</v>
      </c>
      <c r="D809" s="13">
        <f>IFERROR(__xludf.DUMMYFUNCTION("GOOGLEFINANCE(B809,""price"")"),614.9)</f>
        <v>614.9</v>
      </c>
      <c r="E809" s="14">
        <f>IFERROR(__xludf.DUMMYFUNCTION("GOOGLEFINANCE(B809,""Volume"")"),92188.0)</f>
        <v>92188</v>
      </c>
      <c r="F809" s="14">
        <f t="array" ref="F809">F808</f>
        <v>14</v>
      </c>
      <c r="G809" s="15" t="str">
        <f>IFERROR(__xludf.DUMMYFUNCTION("IF(E809&gt;AVERAGE(INDEX(GOOGLEFINANCE(B809,""volume"",WORKDAY(TODAY(),-$F$1),TODAY()),,2)),""Breakout"","""")"),"")</f>
        <v/>
      </c>
      <c r="H809" s="16">
        <f>IFERROR(__xludf.DUMMYFUNCTION("GOOGLEFINANCE(B809,""price"")"),614.9)</f>
        <v>614.9</v>
      </c>
      <c r="I809" s="17">
        <f>IFERROR(__xludf.DUMMYFUNCTION("AVERAGE(QUERY(SORT(GOOGLEFINANCE(B809,""price"",TODAY()-365,TODAY()),1,0),""select Col2 limit 10""))"),653.9849999999999)</f>
        <v>653.985</v>
      </c>
      <c r="J809" s="17">
        <f>IFERROR(__xludf.DUMMYFUNCTION("AVERAGE(QUERY(SORT(GOOGLEFINANCE(B809,""price"",TODAY()-365,TODAY()),1,0),""select Col2 limit 30""))"),631.8333333333333)</f>
        <v>631.8333333</v>
      </c>
      <c r="K809" s="18">
        <f>IFERROR(__xludf.DUMMYFUNCTION("AVERAGE(QUERY(SORT(GOOGLEFINANCE(B809,""price"",TODAY()-365,TODAY()),1,0),""select Col2 limit 60""))"),567.9925000000001)</f>
        <v>567.9925</v>
      </c>
      <c r="L809" s="17">
        <f>IFERROR(__xludf.DUMMYFUNCTION("AVERAGE(QUERY(SORT(GOOGLEFINANCE(B809,""price"",TODAY()-365,TODAY()),1,0),""select Col2 limit 90""))"),497.3755555555554)</f>
        <v>497.3755556</v>
      </c>
      <c r="M809" s="17">
        <f>IFERROR(__xludf.DUMMYFUNCTION("AVERAGE(QUERY(SORT(GOOGLEFINANCE(B809,""price"",TODAY()-365,TODAY()),1,0),""select Col2 limit 120""))"),463.7929166666666)</f>
        <v>463.7929167</v>
      </c>
      <c r="N809" s="19">
        <f>IFERROR(__xludf.DUMMYFUNCTION("AVERAGE(QUERY(SORT(GOOGLEFINANCE(B809,""price"",TODAY()-365,TODAY()),1,0),""select Col2 limit 200""))"),458.3097)</f>
        <v>458.3097</v>
      </c>
      <c r="O809" s="20" t="str">
        <f t="shared" si="2"/>
        <v>Avoid</v>
      </c>
      <c r="P809" s="21" t="str">
        <f t="shared" si="3"/>
        <v/>
      </c>
      <c r="Q809" s="21" t="str">
        <f t="shared" si="4"/>
        <v/>
      </c>
      <c r="R809" s="22">
        <f>IFERROR(__xludf.DUMMYFUNCTION("GOOGLEFINANCE(B809, ""pe"")
"),22.44)</f>
        <v>22.44</v>
      </c>
    </row>
    <row r="810">
      <c r="A810" s="9" t="s">
        <v>820</v>
      </c>
      <c r="B810" s="11" t="str">
        <f t="shared" si="1"/>
        <v>NSE:TEAMLEASE</v>
      </c>
      <c r="C810" s="12">
        <f>IFERROR(__xludf.DUMMYFUNCTION("GOOGLEFINANCE(B810,""marketcap"")/10000000"),3146.386945)</f>
        <v>3146.386945</v>
      </c>
      <c r="D810" s="13">
        <f>IFERROR(__xludf.DUMMYFUNCTION("GOOGLEFINANCE(B810,""price"")"),1877.0)</f>
        <v>1877</v>
      </c>
      <c r="E810" s="14">
        <f>IFERROR(__xludf.DUMMYFUNCTION("GOOGLEFINANCE(B810,""Volume"")"),12032.0)</f>
        <v>12032</v>
      </c>
      <c r="F810" s="14">
        <f t="array" ref="F810">F809</f>
        <v>14</v>
      </c>
      <c r="G810" s="15" t="str">
        <f>IFERROR(__xludf.DUMMYFUNCTION("IF(E810&gt;AVERAGE(INDEX(GOOGLEFINANCE(B810,""volume"",WORKDAY(TODAY(),-$F$1),TODAY()),,2)),""Breakout"","""")"),"")</f>
        <v/>
      </c>
      <c r="H810" s="16">
        <f>IFERROR(__xludf.DUMMYFUNCTION("GOOGLEFINANCE(B810,""price"")"),1877.0)</f>
        <v>1877</v>
      </c>
      <c r="I810" s="17">
        <f>IFERROR(__xludf.DUMMYFUNCTION("AVERAGE(QUERY(SORT(GOOGLEFINANCE(B810,""price"",TODAY()-365,TODAY()),1,0),""select Col2 limit 10""))"),1947.27)</f>
        <v>1947.27</v>
      </c>
      <c r="J810" s="17">
        <f>IFERROR(__xludf.DUMMYFUNCTION("AVERAGE(QUERY(SORT(GOOGLEFINANCE(B810,""price"",TODAY()-365,TODAY()),1,0),""select Col2 limit 30""))"),1984.9199999999998)</f>
        <v>1984.92</v>
      </c>
      <c r="K810" s="18">
        <f>IFERROR(__xludf.DUMMYFUNCTION("AVERAGE(QUERY(SORT(GOOGLEFINANCE(B810,""price"",TODAY()-365,TODAY()),1,0),""select Col2 limit 60""))"),1973.8883333333324)</f>
        <v>1973.888333</v>
      </c>
      <c r="L810" s="17">
        <f>IFERROR(__xludf.DUMMYFUNCTION("AVERAGE(QUERY(SORT(GOOGLEFINANCE(B810,""price"",TODAY()-365,TODAY()),1,0),""select Col2 limit 90""))"),1944.2349999999997)</f>
        <v>1944.235</v>
      </c>
      <c r="M810" s="17">
        <f>IFERROR(__xludf.DUMMYFUNCTION("AVERAGE(QUERY(SORT(GOOGLEFINANCE(B810,""price"",TODAY()-365,TODAY()),1,0),""select Col2 limit 120""))"),1982.764583333332)</f>
        <v>1982.764583</v>
      </c>
      <c r="N810" s="19">
        <f>IFERROR(__xludf.DUMMYFUNCTION("AVERAGE(QUERY(SORT(GOOGLEFINANCE(B810,""price"",TODAY()-365,TODAY()),1,0),""select Col2 limit 200""))"),2321.687999999999)</f>
        <v>2321.688</v>
      </c>
      <c r="O810" s="20" t="str">
        <f t="shared" si="2"/>
        <v>Avoid</v>
      </c>
      <c r="P810" s="21" t="str">
        <f t="shared" si="3"/>
        <v/>
      </c>
      <c r="Q810" s="21" t="str">
        <f t="shared" si="4"/>
        <v/>
      </c>
      <c r="R810" s="22">
        <f>IFERROR(__xludf.DUMMYFUNCTION("GOOGLEFINANCE(B810, ""pe"")
"),28.94)</f>
        <v>28.94</v>
      </c>
    </row>
    <row r="811">
      <c r="A811" s="9" t="s">
        <v>821</v>
      </c>
      <c r="B811" s="11" t="str">
        <f t="shared" si="1"/>
        <v>NSE:PATELENG</v>
      </c>
      <c r="C811" s="12">
        <f>IFERROR(__xludf.DUMMYFUNCTION("GOOGLEFINANCE(B811,""marketcap"")/10000000"),3132.2537104)</f>
        <v>3132.25371</v>
      </c>
      <c r="D811" s="13">
        <f>IFERROR(__xludf.DUMMYFUNCTION("GOOGLEFINANCE(B811,""price"")"),38.8)</f>
        <v>38.8</v>
      </c>
      <c r="E811" s="14">
        <f>IFERROR(__xludf.DUMMYFUNCTION("GOOGLEFINANCE(B811,""Volume"")"),872788.0)</f>
        <v>872788</v>
      </c>
      <c r="F811" s="14">
        <f t="array" ref="F811">F810</f>
        <v>14</v>
      </c>
      <c r="G811" s="15" t="str">
        <f>IFERROR(__xludf.DUMMYFUNCTION("IF(E811&gt;AVERAGE(INDEX(GOOGLEFINANCE(B811,""volume"",WORKDAY(TODAY(),-$F$1),TODAY()),,2)),""Breakout"","""")"),"")</f>
        <v/>
      </c>
      <c r="H811" s="16">
        <f>IFERROR(__xludf.DUMMYFUNCTION("GOOGLEFINANCE(B811,""price"")"),38.8)</f>
        <v>38.8</v>
      </c>
      <c r="I811" s="17">
        <f>IFERROR(__xludf.DUMMYFUNCTION("AVERAGE(QUERY(SORT(GOOGLEFINANCE(B811,""price"",TODAY()-365,TODAY()),1,0),""select Col2 limit 10""))"),39.492000000000004)</f>
        <v>39.492</v>
      </c>
      <c r="J811" s="17">
        <f>IFERROR(__xludf.DUMMYFUNCTION("AVERAGE(QUERY(SORT(GOOGLEFINANCE(B811,""price"",TODAY()-365,TODAY()),1,0),""select Col2 limit 30""))"),40.28333333333334)</f>
        <v>40.28333333</v>
      </c>
      <c r="K811" s="18">
        <f>IFERROR(__xludf.DUMMYFUNCTION("AVERAGE(QUERY(SORT(GOOGLEFINANCE(B811,""price"",TODAY()-365,TODAY()),1,0),""select Col2 limit 60""))"),41.348166666666664)</f>
        <v>41.34816667</v>
      </c>
      <c r="L811" s="17">
        <f>IFERROR(__xludf.DUMMYFUNCTION("AVERAGE(QUERY(SORT(GOOGLEFINANCE(B811,""price"",TODAY()-365,TODAY()),1,0),""select Col2 limit 90""))"),41.466222222222214)</f>
        <v>41.46622222</v>
      </c>
      <c r="M811" s="17">
        <f>IFERROR(__xludf.DUMMYFUNCTION("AVERAGE(QUERY(SORT(GOOGLEFINANCE(B811,""price"",TODAY()-365,TODAY()),1,0),""select Col2 limit 120""))"),42.28608333333332)</f>
        <v>42.28608333</v>
      </c>
      <c r="N811" s="19">
        <f>IFERROR(__xludf.DUMMYFUNCTION("AVERAGE(QUERY(SORT(GOOGLEFINANCE(B811,""price"",TODAY()-365,TODAY()),1,0),""select Col2 limit 200""))"),46.3834)</f>
        <v>46.3834</v>
      </c>
      <c r="O811" s="20" t="str">
        <f t="shared" si="2"/>
        <v>Avoid</v>
      </c>
      <c r="P811" s="21" t="str">
        <f t="shared" si="3"/>
        <v/>
      </c>
      <c r="Q811" s="21" t="str">
        <f t="shared" si="4"/>
        <v/>
      </c>
      <c r="R811" s="22">
        <f>IFERROR(__xludf.DUMMYFUNCTION("GOOGLEFINANCE(B811, ""pe"")
"),13.46)</f>
        <v>13.46</v>
      </c>
    </row>
    <row r="812">
      <c r="A812" s="9" t="s">
        <v>822</v>
      </c>
      <c r="B812" s="11" t="str">
        <f t="shared" si="1"/>
        <v>NSE:AARTIDRUGS</v>
      </c>
      <c r="C812" s="12">
        <f>IFERROR(__xludf.DUMMYFUNCTION("GOOGLEFINANCE(B812,""marketcap"")/10000000"),4874.729943)</f>
        <v>4874.729943</v>
      </c>
      <c r="D812" s="13">
        <f>IFERROR(__xludf.DUMMYFUNCTION("GOOGLEFINANCE(B812,""price"")"),532.05)</f>
        <v>532.05</v>
      </c>
      <c r="E812" s="14">
        <f>IFERROR(__xludf.DUMMYFUNCTION("GOOGLEFINANCE(B812,""Volume"")"),96237.0)</f>
        <v>96237</v>
      </c>
      <c r="F812" s="14">
        <f t="array" ref="F812">F811</f>
        <v>14</v>
      </c>
      <c r="G812" s="15" t="str">
        <f>IFERROR(__xludf.DUMMYFUNCTION("IF(E812&gt;AVERAGE(INDEX(GOOGLEFINANCE(B812,""volume"",WORKDAY(TODAY(),-$F$1),TODAY()),,2)),""Breakout"","""")"),"")</f>
        <v/>
      </c>
      <c r="H812" s="16">
        <f>IFERROR(__xludf.DUMMYFUNCTION("GOOGLEFINANCE(B812,""price"")"),532.05)</f>
        <v>532.05</v>
      </c>
      <c r="I812" s="17">
        <f>IFERROR(__xludf.DUMMYFUNCTION("AVERAGE(QUERY(SORT(GOOGLEFINANCE(B812,""price"",TODAY()-365,TODAY()),1,0),""select Col2 limit 10""))"),526.51)</f>
        <v>526.51</v>
      </c>
      <c r="J812" s="17">
        <f>IFERROR(__xludf.DUMMYFUNCTION("AVERAGE(QUERY(SORT(GOOGLEFINANCE(B812,""price"",TODAY()-365,TODAY()),1,0),""select Col2 limit 30""))"),483.45833333333326)</f>
        <v>483.4583333</v>
      </c>
      <c r="K812" s="18">
        <f>IFERROR(__xludf.DUMMYFUNCTION("AVERAGE(QUERY(SORT(GOOGLEFINANCE(B812,""price"",TODAY()-365,TODAY()),1,0),""select Col2 limit 60""))"),468.3441666666667)</f>
        <v>468.3441667</v>
      </c>
      <c r="L812" s="17">
        <f>IFERROR(__xludf.DUMMYFUNCTION("AVERAGE(QUERY(SORT(GOOGLEFINANCE(B812,""price"",TODAY()-365,TODAY()),1,0),""select Col2 limit 90""))"),428.00777777777785)</f>
        <v>428.0077778</v>
      </c>
      <c r="M812" s="17">
        <f>IFERROR(__xludf.DUMMYFUNCTION("AVERAGE(QUERY(SORT(GOOGLEFINANCE(B812,""price"",TODAY()-365,TODAY()),1,0),""select Col2 limit 120""))"),416.7675)</f>
        <v>416.7675</v>
      </c>
      <c r="N812" s="19">
        <f>IFERROR(__xludf.DUMMYFUNCTION("AVERAGE(QUERY(SORT(GOOGLEFINANCE(B812,""price"",TODAY()-365,TODAY()),1,0),""select Col2 limit 200""))"),434.17225000000013)</f>
        <v>434.17225</v>
      </c>
      <c r="O812" s="20" t="str">
        <f t="shared" si="2"/>
        <v>Avoid</v>
      </c>
      <c r="P812" s="21" t="str">
        <f t="shared" si="3"/>
        <v/>
      </c>
      <c r="Q812" s="21" t="str">
        <f t="shared" si="4"/>
        <v/>
      </c>
      <c r="R812" s="22">
        <f>IFERROR(__xludf.DUMMYFUNCTION("GOOGLEFINANCE(B812, ""pe"")
"),25.83)</f>
        <v>25.83</v>
      </c>
    </row>
    <row r="813">
      <c r="A813" s="9" t="s">
        <v>823</v>
      </c>
      <c r="B813" s="11" t="str">
        <f t="shared" si="1"/>
        <v>NSE:FEDFINA</v>
      </c>
      <c r="C813" s="12">
        <f>IFERROR(__xludf.DUMMYFUNCTION("GOOGLEFINANCE(B813,""marketcap"")/10000000"),4658.7811759)</f>
        <v>4658.781176</v>
      </c>
      <c r="D813" s="13">
        <f>IFERROR(__xludf.DUMMYFUNCTION("GOOGLEFINANCE(B813,""price"")"),124.96)</f>
        <v>124.96</v>
      </c>
      <c r="E813" s="14">
        <f>IFERROR(__xludf.DUMMYFUNCTION("GOOGLEFINANCE(B813,""Volume"")"),485491.0)</f>
        <v>485491</v>
      </c>
      <c r="F813" s="14">
        <f t="array" ref="F813">F812</f>
        <v>14</v>
      </c>
      <c r="G813" s="15" t="str">
        <f>IFERROR(__xludf.DUMMYFUNCTION("IF(E813&gt;AVERAGE(INDEX(GOOGLEFINANCE(B813,""volume"",WORKDAY(TODAY(),-$F$1),TODAY()),,2)),""Breakout"","""")"),"")</f>
        <v/>
      </c>
      <c r="H813" s="16">
        <f>IFERROR(__xludf.DUMMYFUNCTION("GOOGLEFINANCE(B813,""price"")"),124.96)</f>
        <v>124.96</v>
      </c>
      <c r="I813" s="17">
        <f>IFERROR(__xludf.DUMMYFUNCTION("AVERAGE(QUERY(SORT(GOOGLEFINANCE(B813,""price"",TODAY()-365,TODAY()),1,0),""select Col2 limit 10""))"),123.67999999999999)</f>
        <v>123.68</v>
      </c>
      <c r="J813" s="17">
        <f>IFERROR(__xludf.DUMMYFUNCTION("AVERAGE(QUERY(SORT(GOOGLEFINANCE(B813,""price"",TODAY()-365,TODAY()),1,0),""select Col2 limit 30""))"),118.51633333333334)</f>
        <v>118.5163333</v>
      </c>
      <c r="K813" s="18">
        <f>IFERROR(__xludf.DUMMYFUNCTION("AVERAGE(QUERY(SORT(GOOGLEFINANCE(B813,""price"",TODAY()-365,TODAY()),1,0),""select Col2 limit 60""))"),107.40083333333332)</f>
        <v>107.4008333</v>
      </c>
      <c r="L813" s="17">
        <f>IFERROR(__xludf.DUMMYFUNCTION("AVERAGE(QUERY(SORT(GOOGLEFINANCE(B813,""price"",TODAY()-365,TODAY()),1,0),""select Col2 limit 90""))"),101.00711111111113)</f>
        <v>101.0071111</v>
      </c>
      <c r="M813" s="17">
        <f>IFERROR(__xludf.DUMMYFUNCTION("AVERAGE(QUERY(SORT(GOOGLEFINANCE(B813,""price"",TODAY()-365,TODAY()),1,0),""select Col2 limit 120""))"),98.77416666666669)</f>
        <v>98.77416667</v>
      </c>
      <c r="N813" s="19">
        <f>IFERROR(__xludf.DUMMYFUNCTION("AVERAGE(QUERY(SORT(GOOGLEFINANCE(B813,""price"",TODAY()-365,TODAY()),1,0),""select Col2 limit 200""))"),101.29825000000002)</f>
        <v>101.29825</v>
      </c>
      <c r="O813" s="20" t="str">
        <f t="shared" si="2"/>
        <v>Avoid</v>
      </c>
      <c r="P813" s="21" t="str">
        <f t="shared" si="3"/>
        <v/>
      </c>
      <c r="Q813" s="21" t="str">
        <f t="shared" si="4"/>
        <v/>
      </c>
      <c r="R813" s="22">
        <f>IFERROR(__xludf.DUMMYFUNCTION("GOOGLEFINANCE(B813, ""pe"")
"),20.67)</f>
        <v>20.67</v>
      </c>
    </row>
    <row r="814">
      <c r="A814" s="9" t="s">
        <v>824</v>
      </c>
      <c r="B814" s="11" t="str">
        <f t="shared" si="1"/>
        <v>NSE:BHARATRAS</v>
      </c>
      <c r="C814" s="12">
        <f>IFERROR(__xludf.DUMMYFUNCTION("GOOGLEFINANCE(B814,""marketcap"")/10000000"),4651.095678)</f>
        <v>4651.095678</v>
      </c>
      <c r="D814" s="13">
        <f>IFERROR(__xludf.DUMMYFUNCTION("GOOGLEFINANCE(B814,""price"")"),10968.0)</f>
        <v>10968</v>
      </c>
      <c r="E814" s="14">
        <f>IFERROR(__xludf.DUMMYFUNCTION("GOOGLEFINANCE(B814,""Volume"")"),3728.0)</f>
        <v>3728</v>
      </c>
      <c r="F814" s="14">
        <f t="array" ref="F814">F813</f>
        <v>14</v>
      </c>
      <c r="G814" s="15" t="str">
        <f>IFERROR(__xludf.DUMMYFUNCTION("IF(E814&gt;AVERAGE(INDEX(GOOGLEFINANCE(B814,""volume"",WORKDAY(TODAY(),-$F$1),TODAY()),,2)),""Breakout"","""")"),"Breakout")</f>
        <v>Breakout</v>
      </c>
      <c r="H814" s="16">
        <f>IFERROR(__xludf.DUMMYFUNCTION("GOOGLEFINANCE(B814,""price"")"),10968.0)</f>
        <v>10968</v>
      </c>
      <c r="I814" s="17">
        <f>IFERROR(__xludf.DUMMYFUNCTION("AVERAGE(QUERY(SORT(GOOGLEFINANCE(B814,""price"",TODAY()-365,TODAY()),1,0),""select Col2 limit 10""))"),11134.5)</f>
        <v>11134.5</v>
      </c>
      <c r="J814" s="17">
        <f>IFERROR(__xludf.DUMMYFUNCTION("AVERAGE(QUERY(SORT(GOOGLEFINANCE(B814,""price"",TODAY()-365,TODAY()),1,0),""select Col2 limit 30""))"),10880.133333333333)</f>
        <v>10880.13333</v>
      </c>
      <c r="K814" s="18">
        <f>IFERROR(__xludf.DUMMYFUNCTION("AVERAGE(QUERY(SORT(GOOGLEFINANCE(B814,""price"",TODAY()-365,TODAY()),1,0),""select Col2 limit 60""))"),10101.033333333333)</f>
        <v>10101.03333</v>
      </c>
      <c r="L814" s="17">
        <f>IFERROR(__xludf.DUMMYFUNCTION("AVERAGE(QUERY(SORT(GOOGLEFINANCE(B814,""price"",TODAY()-365,TODAY()),1,0),""select Col2 limit 90""))"),10095.681111111111)</f>
        <v>10095.68111</v>
      </c>
      <c r="M814" s="17">
        <f>IFERROR(__xludf.DUMMYFUNCTION("AVERAGE(QUERY(SORT(GOOGLEFINANCE(B814,""price"",TODAY()-365,TODAY()),1,0),""select Col2 limit 120""))"),10102.694166666666)</f>
        <v>10102.69417</v>
      </c>
      <c r="N814" s="19">
        <f>IFERROR(__xludf.DUMMYFUNCTION("AVERAGE(QUERY(SORT(GOOGLEFINANCE(B814,""price"",TODAY()-365,TODAY()),1,0),""select Col2 limit 200""))"),10403.365500000002)</f>
        <v>10403.3655</v>
      </c>
      <c r="O814" s="20" t="str">
        <f t="shared" si="2"/>
        <v>Avoid</v>
      </c>
      <c r="P814" s="21" t="str">
        <f t="shared" si="3"/>
        <v/>
      </c>
      <c r="Q814" s="21" t="str">
        <f t="shared" si="4"/>
        <v/>
      </c>
      <c r="R814" s="22">
        <f>IFERROR(__xludf.DUMMYFUNCTION("GOOGLEFINANCE(B814, ""pe"")
"),32.34)</f>
        <v>32.34</v>
      </c>
    </row>
    <row r="815">
      <c r="A815" s="9" t="s">
        <v>825</v>
      </c>
      <c r="B815" s="11" t="str">
        <f t="shared" si="1"/>
        <v>NSE:HARSHA</v>
      </c>
      <c r="C815" s="12">
        <f>IFERROR(__xludf.DUMMYFUNCTION("GOOGLEFINANCE(B815,""marketcap"")/10000000"),3747.3752115)</f>
        <v>3747.375212</v>
      </c>
      <c r="D815" s="13">
        <f>IFERROR(__xludf.DUMMYFUNCTION("GOOGLEFINANCE(B815,""price"")"),411.7)</f>
        <v>411.7</v>
      </c>
      <c r="E815" s="14">
        <f>IFERROR(__xludf.DUMMYFUNCTION("GOOGLEFINANCE(B815,""Volume"")"),39469.0)</f>
        <v>39469</v>
      </c>
      <c r="F815" s="14">
        <f t="array" ref="F815">F814</f>
        <v>14</v>
      </c>
      <c r="G815" s="15" t="str">
        <f>IFERROR(__xludf.DUMMYFUNCTION("IF(E815&gt;AVERAGE(INDEX(GOOGLEFINANCE(B815,""volume"",WORKDAY(TODAY(),-$F$1),TODAY()),,2)),""Breakout"","""")"),"")</f>
        <v/>
      </c>
      <c r="H815" s="16">
        <f>IFERROR(__xludf.DUMMYFUNCTION("GOOGLEFINANCE(B815,""price"")"),411.7)</f>
        <v>411.7</v>
      </c>
      <c r="I815" s="17">
        <f>IFERROR(__xludf.DUMMYFUNCTION("AVERAGE(QUERY(SORT(GOOGLEFINANCE(B815,""price"",TODAY()-365,TODAY()),1,0),""select Col2 limit 10""))"),411.2)</f>
        <v>411.2</v>
      </c>
      <c r="J815" s="17">
        <f>IFERROR(__xludf.DUMMYFUNCTION("AVERAGE(QUERY(SORT(GOOGLEFINANCE(B815,""price"",TODAY()-365,TODAY()),1,0),""select Col2 limit 30""))"),404.2133333333333)</f>
        <v>404.2133333</v>
      </c>
      <c r="K815" s="18">
        <f>IFERROR(__xludf.DUMMYFUNCTION("AVERAGE(QUERY(SORT(GOOGLEFINANCE(B815,""price"",TODAY()-365,TODAY()),1,0),""select Col2 limit 60""))"),396.45749999999987)</f>
        <v>396.4575</v>
      </c>
      <c r="L815" s="17">
        <f>IFERROR(__xludf.DUMMYFUNCTION("AVERAGE(QUERY(SORT(GOOGLEFINANCE(B815,""price"",TODAY()-365,TODAY()),1,0),""select Col2 limit 90""))"),392.16388888888883)</f>
        <v>392.1638889</v>
      </c>
      <c r="M815" s="17">
        <f>IFERROR(__xludf.DUMMYFUNCTION("AVERAGE(QUERY(SORT(GOOGLEFINANCE(B815,""price"",TODAY()-365,TODAY()),1,0),""select Col2 limit 120""))"),393.53958333333327)</f>
        <v>393.5395833</v>
      </c>
      <c r="N815" s="19">
        <f>IFERROR(__xludf.DUMMYFUNCTION("AVERAGE(QUERY(SORT(GOOGLEFINANCE(B815,""price"",TODAY()-365,TODAY()),1,0),""select Col2 limit 200""))"),430.82599999999985)</f>
        <v>430.826</v>
      </c>
      <c r="O815" s="20" t="str">
        <f t="shared" si="2"/>
        <v>Buy Above 200 DMA</v>
      </c>
      <c r="P815" s="21" t="str">
        <f t="shared" si="3"/>
        <v/>
      </c>
      <c r="Q815" s="21" t="str">
        <f t="shared" si="4"/>
        <v/>
      </c>
      <c r="R815" s="22">
        <f>IFERROR(__xludf.DUMMYFUNCTION("GOOGLEFINANCE(B815, ""pe"")
"),41.97)</f>
        <v>41.97</v>
      </c>
    </row>
    <row r="816">
      <c r="A816" s="9" t="s">
        <v>826</v>
      </c>
      <c r="B816" s="11" t="str">
        <f t="shared" si="1"/>
        <v>NSE:BALMLAWRIE</v>
      </c>
      <c r="C816" s="12">
        <f>IFERROR(__xludf.DUMMYFUNCTION("GOOGLEFINANCE(B816,""marketcap"")/10000000"),3680.1728946)</f>
        <v>3680.172895</v>
      </c>
      <c r="D816" s="13">
        <f>IFERROR(__xludf.DUMMYFUNCTION("GOOGLEFINANCE(B816,""price"")"),215.5)</f>
        <v>215.5</v>
      </c>
      <c r="E816" s="14">
        <f>IFERROR(__xludf.DUMMYFUNCTION("GOOGLEFINANCE(B816,""Volume"")"),83249.0)</f>
        <v>83249</v>
      </c>
      <c r="F816" s="14">
        <f t="array" ref="F816">F815</f>
        <v>14</v>
      </c>
      <c r="G816" s="15" t="str">
        <f>IFERROR(__xludf.DUMMYFUNCTION("IF(E816&gt;AVERAGE(INDEX(GOOGLEFINANCE(B816,""volume"",WORKDAY(TODAY(),-$F$1),TODAY()),,2)),""Breakout"","""")"),"")</f>
        <v/>
      </c>
      <c r="H816" s="16">
        <f>IFERROR(__xludf.DUMMYFUNCTION("GOOGLEFINANCE(B816,""price"")"),215.5)</f>
        <v>215.5</v>
      </c>
      <c r="I816" s="17">
        <f>IFERROR(__xludf.DUMMYFUNCTION("AVERAGE(QUERY(SORT(GOOGLEFINANCE(B816,""price"",TODAY()-365,TODAY()),1,0),""select Col2 limit 10""))"),218.50900000000001)</f>
        <v>218.509</v>
      </c>
      <c r="J816" s="17">
        <f>IFERROR(__xludf.DUMMYFUNCTION("AVERAGE(QUERY(SORT(GOOGLEFINANCE(B816,""price"",TODAY()-365,TODAY()),1,0),""select Col2 limit 30""))"),214.01766666666666)</f>
        <v>214.0176667</v>
      </c>
      <c r="K816" s="18">
        <f>IFERROR(__xludf.DUMMYFUNCTION("AVERAGE(QUERY(SORT(GOOGLEFINANCE(B816,""price"",TODAY()-365,TODAY()),1,0),""select Col2 limit 60""))"),213.29000000000002)</f>
        <v>213.29</v>
      </c>
      <c r="L816" s="17">
        <f>IFERROR(__xludf.DUMMYFUNCTION("AVERAGE(QUERY(SORT(GOOGLEFINANCE(B816,""price"",TODAY()-365,TODAY()),1,0),""select Col2 limit 90""))"),205.28955555555558)</f>
        <v>205.2895556</v>
      </c>
      <c r="M816" s="17">
        <f>IFERROR(__xludf.DUMMYFUNCTION("AVERAGE(QUERY(SORT(GOOGLEFINANCE(B816,""price"",TODAY()-365,TODAY()),1,0),""select Col2 limit 120""))"),197.08324999999996)</f>
        <v>197.08325</v>
      </c>
      <c r="N816" s="19">
        <f>IFERROR(__xludf.DUMMYFUNCTION("AVERAGE(QUERY(SORT(GOOGLEFINANCE(B816,""price"",TODAY()-365,TODAY()),1,0),""select Col2 limit 200""))"),208.22360000000015)</f>
        <v>208.2236</v>
      </c>
      <c r="O816" s="20" t="str">
        <f t="shared" si="2"/>
        <v>Avoid</v>
      </c>
      <c r="P816" s="21" t="str">
        <f t="shared" si="3"/>
        <v/>
      </c>
      <c r="Q816" s="21" t="str">
        <f t="shared" si="4"/>
        <v/>
      </c>
      <c r="R816" s="22">
        <f>IFERROR(__xludf.DUMMYFUNCTION("GOOGLEFINANCE(B816, ""pe"")
"),13.86)</f>
        <v>13.86</v>
      </c>
    </row>
    <row r="817">
      <c r="A817" s="9" t="s">
        <v>827</v>
      </c>
      <c r="B817" s="11" t="str">
        <f t="shared" si="1"/>
        <v>NSE:TCIEXP</v>
      </c>
      <c r="C817" s="12">
        <f>IFERROR(__xludf.DUMMYFUNCTION("GOOGLEFINANCE(B817,""marketcap"")/10000000"),2675.9773512)</f>
        <v>2675.977351</v>
      </c>
      <c r="D817" s="13">
        <f>IFERROR(__xludf.DUMMYFUNCTION("GOOGLEFINANCE(B817,""price"")"),701.6)</f>
        <v>701.6</v>
      </c>
      <c r="E817" s="14">
        <f>IFERROR(__xludf.DUMMYFUNCTION("GOOGLEFINANCE(B817,""Volume"")"),6721.0)</f>
        <v>6721</v>
      </c>
      <c r="F817" s="14">
        <f t="array" ref="F817">F816</f>
        <v>14</v>
      </c>
      <c r="G817" s="15" t="str">
        <f>IFERROR(__xludf.DUMMYFUNCTION("IF(E817&gt;AVERAGE(INDEX(GOOGLEFINANCE(B817,""volume"",WORKDAY(TODAY(),-$F$1),TODAY()),,2)),""Breakout"","""")"),"")</f>
        <v/>
      </c>
      <c r="H817" s="16">
        <f>IFERROR(__xludf.DUMMYFUNCTION("GOOGLEFINANCE(B817,""price"")"),701.6)</f>
        <v>701.6</v>
      </c>
      <c r="I817" s="17">
        <f>IFERROR(__xludf.DUMMYFUNCTION("AVERAGE(QUERY(SORT(GOOGLEFINANCE(B817,""price"",TODAY()-365,TODAY()),1,0),""select Col2 limit 10""))"),732.7050000000002)</f>
        <v>732.705</v>
      </c>
      <c r="J817" s="17">
        <f>IFERROR(__xludf.DUMMYFUNCTION("AVERAGE(QUERY(SORT(GOOGLEFINANCE(B817,""price"",TODAY()-365,TODAY()),1,0),""select Col2 limit 30""))"),746.9433333333332)</f>
        <v>746.9433333</v>
      </c>
      <c r="K817" s="18">
        <f>IFERROR(__xludf.DUMMYFUNCTION("AVERAGE(QUERY(SORT(GOOGLEFINANCE(B817,""price"",TODAY()-365,TODAY()),1,0),""select Col2 limit 60""))"),746.3599999999999)</f>
        <v>746.36</v>
      </c>
      <c r="L817" s="17">
        <f>IFERROR(__xludf.DUMMYFUNCTION("AVERAGE(QUERY(SORT(GOOGLEFINANCE(B817,""price"",TODAY()-365,TODAY()),1,0),""select Col2 limit 90""))"),717.0288888888887)</f>
        <v>717.0288889</v>
      </c>
      <c r="M817" s="17">
        <f>IFERROR(__xludf.DUMMYFUNCTION("AVERAGE(QUERY(SORT(GOOGLEFINANCE(B817,""price"",TODAY()-365,TODAY()),1,0),""select Col2 limit 120""))"),714.2745833333331)</f>
        <v>714.2745833</v>
      </c>
      <c r="N817" s="19">
        <f>IFERROR(__xludf.DUMMYFUNCTION("AVERAGE(QUERY(SORT(GOOGLEFINANCE(B817,""price"",TODAY()-365,TODAY()),1,0),""select Col2 limit 200""))"),782.2605000000002)</f>
        <v>782.2605</v>
      </c>
      <c r="O817" s="20" t="str">
        <f t="shared" si="2"/>
        <v>Avoid</v>
      </c>
      <c r="P817" s="21" t="str">
        <f t="shared" si="3"/>
        <v/>
      </c>
      <c r="Q817" s="21" t="str">
        <f t="shared" si="4"/>
        <v/>
      </c>
      <c r="R817" s="22">
        <f>IFERROR(__xludf.DUMMYFUNCTION("GOOGLEFINANCE(B817, ""pe"")
"),31.45)</f>
        <v>31.45</v>
      </c>
    </row>
    <row r="818">
      <c r="A818" s="9" t="s">
        <v>828</v>
      </c>
      <c r="B818" s="11" t="str">
        <f t="shared" si="1"/>
        <v>NSE:LGBBROSLTD</v>
      </c>
      <c r="C818" s="12">
        <f>IFERROR(__xludf.DUMMYFUNCTION("GOOGLEFINANCE(B818,""marketcap"")/10000000"),4067.8768955)</f>
        <v>4067.876896</v>
      </c>
      <c r="D818" s="13">
        <f>IFERROR(__xludf.DUMMYFUNCTION("GOOGLEFINANCE(B818,""price"")"),1273.5)</f>
        <v>1273.5</v>
      </c>
      <c r="E818" s="14">
        <f>IFERROR(__xludf.DUMMYFUNCTION("GOOGLEFINANCE(B818,""Volume"")"),10785.0)</f>
        <v>10785</v>
      </c>
      <c r="F818" s="14">
        <f t="array" ref="F818">F817</f>
        <v>14</v>
      </c>
      <c r="G818" s="15" t="str">
        <f>IFERROR(__xludf.DUMMYFUNCTION("IF(E818&gt;AVERAGE(INDEX(GOOGLEFINANCE(B818,""volume"",WORKDAY(TODAY(),-$F$1),TODAY()),,2)),""Breakout"","""")"),"")</f>
        <v/>
      </c>
      <c r="H818" s="16">
        <f>IFERROR(__xludf.DUMMYFUNCTION("GOOGLEFINANCE(B818,""price"")"),1273.5)</f>
        <v>1273.5</v>
      </c>
      <c r="I818" s="17">
        <f>IFERROR(__xludf.DUMMYFUNCTION("AVERAGE(QUERY(SORT(GOOGLEFINANCE(B818,""price"",TODAY()-365,TODAY()),1,0),""select Col2 limit 10""))"),1301.9)</f>
        <v>1301.9</v>
      </c>
      <c r="J818" s="17">
        <f>IFERROR(__xludf.DUMMYFUNCTION("AVERAGE(QUERY(SORT(GOOGLEFINANCE(B818,""price"",TODAY()-365,TODAY()),1,0),""select Col2 limit 30""))"),1279.853333333333)</f>
        <v>1279.853333</v>
      </c>
      <c r="K818" s="18">
        <f>IFERROR(__xludf.DUMMYFUNCTION("AVERAGE(QUERY(SORT(GOOGLEFINANCE(B818,""price"",TODAY()-365,TODAY()),1,0),""select Col2 limit 60""))"),1282.0899999999997)</f>
        <v>1282.09</v>
      </c>
      <c r="L818" s="17">
        <f>IFERROR(__xludf.DUMMYFUNCTION("AVERAGE(QUERY(SORT(GOOGLEFINANCE(B818,""price"",TODAY()-365,TODAY()),1,0),""select Col2 limit 90""))"),1257.433333333333)</f>
        <v>1257.433333</v>
      </c>
      <c r="M818" s="17">
        <f>IFERROR(__xludf.DUMMYFUNCTION("AVERAGE(QUERY(SORT(GOOGLEFINANCE(B818,""price"",TODAY()-365,TODAY()),1,0),""select Col2 limit 120""))"),1258.9766666666667)</f>
        <v>1258.976667</v>
      </c>
      <c r="N818" s="19">
        <f>IFERROR(__xludf.DUMMYFUNCTION("AVERAGE(QUERY(SORT(GOOGLEFINANCE(B818,""price"",TODAY()-365,TODAY()),1,0),""select Col2 limit 200""))"),1270.24075)</f>
        <v>1270.24075</v>
      </c>
      <c r="O818" s="20" t="str">
        <f t="shared" si="2"/>
        <v>Avoid</v>
      </c>
      <c r="P818" s="21" t="str">
        <f t="shared" si="3"/>
        <v>30 DMA</v>
      </c>
      <c r="Q818" s="21" t="str">
        <f t="shared" si="4"/>
        <v/>
      </c>
      <c r="R818" s="22">
        <f>IFERROR(__xludf.DUMMYFUNCTION("GOOGLEFINANCE(B818, ""pe"")
"),13.34)</f>
        <v>13.34</v>
      </c>
    </row>
    <row r="819">
      <c r="A819" s="9" t="s">
        <v>829</v>
      </c>
      <c r="B819" s="11" t="str">
        <f t="shared" si="1"/>
        <v>NSE:RAMKY</v>
      </c>
      <c r="C819" s="12">
        <f>IFERROR(__xludf.DUMMYFUNCTION("GOOGLEFINANCE(B819,""marketcap"")/10000000"),4001.3616285)</f>
        <v>4001.361629</v>
      </c>
      <c r="D819" s="13">
        <f>IFERROR(__xludf.DUMMYFUNCTION("GOOGLEFINANCE(B819,""price"")"),579.2)</f>
        <v>579.2</v>
      </c>
      <c r="E819" s="14">
        <f>IFERROR(__xludf.DUMMYFUNCTION("GOOGLEFINANCE(B819,""Volume"")"),24656.0)</f>
        <v>24656</v>
      </c>
      <c r="F819" s="14">
        <f t="array" ref="F819">F818</f>
        <v>14</v>
      </c>
      <c r="G819" s="15" t="str">
        <f>IFERROR(__xludf.DUMMYFUNCTION("IF(E819&gt;AVERAGE(INDEX(GOOGLEFINANCE(B819,""volume"",WORKDAY(TODAY(),-$F$1),TODAY()),,2)),""Breakout"","""")"),"")</f>
        <v/>
      </c>
      <c r="H819" s="16">
        <f>IFERROR(__xludf.DUMMYFUNCTION("GOOGLEFINANCE(B819,""price"")"),579.2)</f>
        <v>579.2</v>
      </c>
      <c r="I819" s="17">
        <f>IFERROR(__xludf.DUMMYFUNCTION("AVERAGE(QUERY(SORT(GOOGLEFINANCE(B819,""price"",TODAY()-365,TODAY()),1,0),""select Col2 limit 10""))"),607.555)</f>
        <v>607.555</v>
      </c>
      <c r="J819" s="17">
        <f>IFERROR(__xludf.DUMMYFUNCTION("AVERAGE(QUERY(SORT(GOOGLEFINANCE(B819,""price"",TODAY()-365,TODAY()),1,0),""select Col2 limit 30""))"),569.6333333333333)</f>
        <v>569.6333333</v>
      </c>
      <c r="K819" s="18">
        <f>IFERROR(__xludf.DUMMYFUNCTION("AVERAGE(QUERY(SORT(GOOGLEFINANCE(B819,""price"",TODAY()-365,TODAY()),1,0),""select Col2 limit 60""))"),531.6741666666667)</f>
        <v>531.6741667</v>
      </c>
      <c r="L819" s="17">
        <f>IFERROR(__xludf.DUMMYFUNCTION("AVERAGE(QUERY(SORT(GOOGLEFINANCE(B819,""price"",TODAY()-365,TODAY()),1,0),""select Col2 limit 90""))"),511.22555555555516)</f>
        <v>511.2255556</v>
      </c>
      <c r="M819" s="17">
        <f>IFERROR(__xludf.DUMMYFUNCTION("AVERAGE(QUERY(SORT(GOOGLEFINANCE(B819,""price"",TODAY()-365,TODAY()),1,0),""select Col2 limit 120""))"),505.979583333333)</f>
        <v>505.9795833</v>
      </c>
      <c r="N819" s="19">
        <f>IFERROR(__xludf.DUMMYFUNCTION("AVERAGE(QUERY(SORT(GOOGLEFINANCE(B819,""price"",TODAY()-365,TODAY()),1,0),""select Col2 limit 200""))"),547.6627500000001)</f>
        <v>547.66275</v>
      </c>
      <c r="O819" s="20" t="str">
        <f t="shared" si="2"/>
        <v>Avoid</v>
      </c>
      <c r="P819" s="21" t="str">
        <f t="shared" si="3"/>
        <v/>
      </c>
      <c r="Q819" s="21" t="str">
        <f t="shared" si="4"/>
        <v/>
      </c>
      <c r="R819" s="22">
        <f>IFERROR(__xludf.DUMMYFUNCTION("GOOGLEFINANCE(B819, ""pe"")
"),20.29)</f>
        <v>20.29</v>
      </c>
    </row>
    <row r="820">
      <c r="A820" s="9" t="s">
        <v>830</v>
      </c>
      <c r="B820" s="11" t="str">
        <f t="shared" si="1"/>
        <v>NSE:ROSSARI</v>
      </c>
      <c r="C820" s="12">
        <f>IFERROR(__xludf.DUMMYFUNCTION("GOOGLEFINANCE(B820,""marketcap"")/10000000"),3908.907376)</f>
        <v>3908.907376</v>
      </c>
      <c r="D820" s="13">
        <f>IFERROR(__xludf.DUMMYFUNCTION("GOOGLEFINANCE(B820,""price"")"),706.0)</f>
        <v>706</v>
      </c>
      <c r="E820" s="14">
        <f>IFERROR(__xludf.DUMMYFUNCTION("GOOGLEFINANCE(B820,""Volume"")"),13820.0)</f>
        <v>13820</v>
      </c>
      <c r="F820" s="14">
        <f t="array" ref="F820">F819</f>
        <v>14</v>
      </c>
      <c r="G820" s="15" t="str">
        <f>IFERROR(__xludf.DUMMYFUNCTION("IF(E820&gt;AVERAGE(INDEX(GOOGLEFINANCE(B820,""volume"",WORKDAY(TODAY(),-$F$1),TODAY()),,2)),""Breakout"","""")"),"")</f>
        <v/>
      </c>
      <c r="H820" s="16">
        <f>IFERROR(__xludf.DUMMYFUNCTION("GOOGLEFINANCE(B820,""price"")"),706.0)</f>
        <v>706</v>
      </c>
      <c r="I820" s="17">
        <f>IFERROR(__xludf.DUMMYFUNCTION("AVERAGE(QUERY(SORT(GOOGLEFINANCE(B820,""price"",TODAY()-365,TODAY()),1,0),""select Col2 limit 10""))"),722.955)</f>
        <v>722.955</v>
      </c>
      <c r="J820" s="17">
        <f>IFERROR(__xludf.DUMMYFUNCTION("AVERAGE(QUERY(SORT(GOOGLEFINANCE(B820,""price"",TODAY()-365,TODAY()),1,0),""select Col2 limit 30""))"),694.6299999999999)</f>
        <v>694.63</v>
      </c>
      <c r="K820" s="18">
        <f>IFERROR(__xludf.DUMMYFUNCTION("AVERAGE(QUERY(SORT(GOOGLEFINANCE(B820,""price"",TODAY()-365,TODAY()),1,0),""select Col2 limit 60""))"),686.635)</f>
        <v>686.635</v>
      </c>
      <c r="L820" s="17">
        <f>IFERROR(__xludf.DUMMYFUNCTION("AVERAGE(QUERY(SORT(GOOGLEFINANCE(B820,""price"",TODAY()-365,TODAY()),1,0),""select Col2 limit 90""))"),674.1922222222223)</f>
        <v>674.1922222</v>
      </c>
      <c r="M820" s="17">
        <f>IFERROR(__xludf.DUMMYFUNCTION("AVERAGE(QUERY(SORT(GOOGLEFINANCE(B820,""price"",TODAY()-365,TODAY()),1,0),""select Col2 limit 120""))"),671.1170833333333)</f>
        <v>671.1170833</v>
      </c>
      <c r="N820" s="19">
        <f>IFERROR(__xludf.DUMMYFUNCTION("AVERAGE(QUERY(SORT(GOOGLEFINANCE(B820,""price"",TODAY()-365,TODAY()),1,0),""select Col2 limit 200""))"),725.6287499999999)</f>
        <v>725.62875</v>
      </c>
      <c r="O820" s="20" t="str">
        <f t="shared" si="2"/>
        <v>Avoid</v>
      </c>
      <c r="P820" s="21" t="str">
        <f t="shared" si="3"/>
        <v/>
      </c>
      <c r="Q820" s="21" t="str">
        <f t="shared" si="4"/>
        <v/>
      </c>
      <c r="R820" s="22">
        <f>IFERROR(__xludf.DUMMYFUNCTION("GOOGLEFINANCE(B820, ""pe"")
"),28.98)</f>
        <v>28.98</v>
      </c>
    </row>
    <row r="821">
      <c r="A821" s="9" t="s">
        <v>831</v>
      </c>
      <c r="B821" s="11" t="str">
        <f t="shared" si="1"/>
        <v>NSE:STYRENIX</v>
      </c>
      <c r="C821" s="12">
        <f>IFERROR(__xludf.DUMMYFUNCTION("GOOGLEFINANCE(B821,""marketcap"")/10000000"),5381.729)</f>
        <v>5381.729</v>
      </c>
      <c r="D821" s="13">
        <f>IFERROR(__xludf.DUMMYFUNCTION("GOOGLEFINANCE(B821,""price"")"),2980.0)</f>
        <v>2980</v>
      </c>
      <c r="E821" s="14">
        <f>IFERROR(__xludf.DUMMYFUNCTION("GOOGLEFINANCE(B821,""Volume"")"),24497.0)</f>
        <v>24497</v>
      </c>
      <c r="F821" s="14">
        <f t="array" ref="F821">F820</f>
        <v>14</v>
      </c>
      <c r="G821" s="15" t="str">
        <f>IFERROR(__xludf.DUMMYFUNCTION("IF(E821&gt;AVERAGE(INDEX(GOOGLEFINANCE(B821,""volume"",WORKDAY(TODAY(),-$F$1),TODAY()),,2)),""Breakout"","""")"),"")</f>
        <v/>
      </c>
      <c r="H821" s="16">
        <f>IFERROR(__xludf.DUMMYFUNCTION("GOOGLEFINANCE(B821,""price"")"),2980.0)</f>
        <v>2980</v>
      </c>
      <c r="I821" s="17">
        <f>IFERROR(__xludf.DUMMYFUNCTION("AVERAGE(QUERY(SORT(GOOGLEFINANCE(B821,""price"",TODAY()-365,TODAY()),1,0),""select Col2 limit 10""))"),3161.3499999999995)</f>
        <v>3161.35</v>
      </c>
      <c r="J821" s="17">
        <f>IFERROR(__xludf.DUMMYFUNCTION("AVERAGE(QUERY(SORT(GOOGLEFINANCE(B821,""price"",TODAY()-365,TODAY()),1,0),""select Col2 limit 30""))"),3203.4499999999994)</f>
        <v>3203.45</v>
      </c>
      <c r="K821" s="18">
        <f>IFERROR(__xludf.DUMMYFUNCTION("AVERAGE(QUERY(SORT(GOOGLEFINANCE(B821,""price"",TODAY()-365,TODAY()),1,0),""select Col2 limit 60""))"),3113.746666666665)</f>
        <v>3113.746667</v>
      </c>
      <c r="L821" s="17">
        <f>IFERROR(__xludf.DUMMYFUNCTION("AVERAGE(QUERY(SORT(GOOGLEFINANCE(B821,""price"",TODAY()-365,TODAY()),1,0),""select Col2 limit 90""))"),2994.2444444444436)</f>
        <v>2994.244444</v>
      </c>
      <c r="M821" s="17">
        <f>IFERROR(__xludf.DUMMYFUNCTION("AVERAGE(QUERY(SORT(GOOGLEFINANCE(B821,""price"",TODAY()-365,TODAY()),1,0),""select Col2 limit 120""))"),2877.477916666666)</f>
        <v>2877.477917</v>
      </c>
      <c r="N821" s="19">
        <f>IFERROR(__xludf.DUMMYFUNCTION("AVERAGE(QUERY(SORT(GOOGLEFINANCE(B821,""price"",TODAY()-365,TODAY()),1,0),""select Col2 limit 200""))"),2791.4120000000007)</f>
        <v>2791.412</v>
      </c>
      <c r="O821" s="20" t="str">
        <f t="shared" si="2"/>
        <v>Avoid</v>
      </c>
      <c r="P821" s="21" t="str">
        <f t="shared" si="3"/>
        <v>90 DMA</v>
      </c>
      <c r="Q821" s="21" t="str">
        <f t="shared" si="4"/>
        <v/>
      </c>
      <c r="R821" s="22" t="str">
        <f>IFERROR(__xludf.DUMMYFUNCTION("GOOGLEFINANCE(B821, ""pe"")
"),"#N/A")</f>
        <v>#N/A</v>
      </c>
    </row>
    <row r="822">
      <c r="A822" s="9" t="s">
        <v>832</v>
      </c>
      <c r="B822" s="11" t="str">
        <f t="shared" si="1"/>
        <v>NSE:AWFIS</v>
      </c>
      <c r="C822" s="12">
        <f>IFERROR(__xludf.DUMMYFUNCTION("GOOGLEFINANCE(B822,""marketcap"")/10000000"),4192.118952)</f>
        <v>4192.118952</v>
      </c>
      <c r="D822" s="13">
        <f>IFERROR(__xludf.DUMMYFUNCTION("GOOGLEFINANCE(B822,""price"")"),588.45)</f>
        <v>588.45</v>
      </c>
      <c r="E822" s="14">
        <f>IFERROR(__xludf.DUMMYFUNCTION("GOOGLEFINANCE(B822,""Volume"")"),132565.0)</f>
        <v>132565</v>
      </c>
      <c r="F822" s="14">
        <f t="array" ref="F822">F821</f>
        <v>14</v>
      </c>
      <c r="G822" s="15" t="str">
        <f>IFERROR(__xludf.DUMMYFUNCTION("IF(E822&gt;AVERAGE(INDEX(GOOGLEFINANCE(B822,""volume"",WORKDAY(TODAY(),-$F$1),TODAY()),,2)),""Breakout"","""")"),"")</f>
        <v/>
      </c>
      <c r="H822" s="16">
        <f>IFERROR(__xludf.DUMMYFUNCTION("GOOGLEFINANCE(B822,""price"")"),588.45)</f>
        <v>588.45</v>
      </c>
      <c r="I822" s="17">
        <f>IFERROR(__xludf.DUMMYFUNCTION("AVERAGE(QUERY(SORT(GOOGLEFINANCE(B822,""price"",TODAY()-365,TODAY()),1,0),""select Col2 limit 10""))"),634.135)</f>
        <v>634.135</v>
      </c>
      <c r="J822" s="17">
        <f>IFERROR(__xludf.DUMMYFUNCTION("AVERAGE(QUERY(SORT(GOOGLEFINANCE(B822,""price"",TODAY()-365,TODAY()),1,0),""select Col2 limit 30""))"),640.8650000000001)</f>
        <v>640.865</v>
      </c>
      <c r="K822" s="18">
        <f>IFERROR(__xludf.DUMMYFUNCTION("AVERAGE(QUERY(SORT(GOOGLEFINANCE(B822,""price"",TODAY()-365,TODAY()),1,0),""select Col2 limit 60""))"),643.1108333333335)</f>
        <v>643.1108333</v>
      </c>
      <c r="L822" s="17">
        <f>IFERROR(__xludf.DUMMYFUNCTION("AVERAGE(QUERY(SORT(GOOGLEFINANCE(B822,""price"",TODAY()-365,TODAY()),1,0),""select Col2 limit 90""))"),642.1850000000001)</f>
        <v>642.185</v>
      </c>
      <c r="M822" s="17">
        <f>IFERROR(__xludf.DUMMYFUNCTION("AVERAGE(QUERY(SORT(GOOGLEFINANCE(B822,""price"",TODAY()-365,TODAY()),1,0),""select Col2 limit 120""))"),646.4375)</f>
        <v>646.4375</v>
      </c>
      <c r="N822" s="19">
        <f>IFERROR(__xludf.DUMMYFUNCTION("AVERAGE(QUERY(SORT(GOOGLEFINANCE(B822,""price"",TODAY()-365,TODAY()),1,0),""select Col2 limit 200""))"),673.4149999999998)</f>
        <v>673.415</v>
      </c>
      <c r="O822" s="20" t="str">
        <f t="shared" si="2"/>
        <v>Avoid</v>
      </c>
      <c r="P822" s="21" t="str">
        <f t="shared" si="3"/>
        <v/>
      </c>
      <c r="Q822" s="21" t="str">
        <f t="shared" si="4"/>
        <v/>
      </c>
      <c r="R822" s="22">
        <f>IFERROR(__xludf.DUMMYFUNCTION("GOOGLEFINANCE(B822, ""pe"")
"),60.87)</f>
        <v>60.87</v>
      </c>
    </row>
    <row r="823">
      <c r="A823" s="9" t="s">
        <v>833</v>
      </c>
      <c r="B823" s="11" t="str">
        <f t="shared" si="1"/>
        <v>NSE:SHARDACROP</v>
      </c>
      <c r="C823" s="12">
        <f>IFERROR(__xludf.DUMMYFUNCTION("GOOGLEFINANCE(B823,""marketcap"")/10000000"),10011.3168931)</f>
        <v>10011.31689</v>
      </c>
      <c r="D823" s="13">
        <f>IFERROR(__xludf.DUMMYFUNCTION("GOOGLEFINANCE(B823,""price"")"),1112.55)</f>
        <v>1112.55</v>
      </c>
      <c r="E823" s="14">
        <f>IFERROR(__xludf.DUMMYFUNCTION("GOOGLEFINANCE(B823,""Volume"")"),5211638.0)</f>
        <v>5211638</v>
      </c>
      <c r="F823" s="14">
        <f t="array" ref="F823">F822</f>
        <v>14</v>
      </c>
      <c r="G823" s="15" t="str">
        <f>IFERROR(__xludf.DUMMYFUNCTION("IF(E823&gt;AVERAGE(INDEX(GOOGLEFINANCE(B823,""volume"",WORKDAY(TODAY(),-$F$1),TODAY()),,2)),""Breakout"","""")"),"Breakout")</f>
        <v>Breakout</v>
      </c>
      <c r="H823" s="16">
        <f>IFERROR(__xludf.DUMMYFUNCTION("GOOGLEFINANCE(B823,""price"")"),1112.55)</f>
        <v>1112.55</v>
      </c>
      <c r="I823" s="17">
        <f>IFERROR(__xludf.DUMMYFUNCTION("AVERAGE(QUERY(SORT(GOOGLEFINANCE(B823,""price"",TODAY()-365,TODAY()),1,0),""select Col2 limit 10""))"),863.9350000000001)</f>
        <v>863.935</v>
      </c>
      <c r="J823" s="17">
        <f>IFERROR(__xludf.DUMMYFUNCTION("AVERAGE(QUERY(SORT(GOOGLEFINANCE(B823,""price"",TODAY()-365,TODAY()),1,0),""select Col2 limit 30""))"),836.3349999999998)</f>
        <v>836.335</v>
      </c>
      <c r="K823" s="18">
        <f>IFERROR(__xludf.DUMMYFUNCTION("AVERAGE(QUERY(SORT(GOOGLEFINANCE(B823,""price"",TODAY()-365,TODAY()),1,0),""select Col2 limit 60""))"),755.63)</f>
        <v>755.63</v>
      </c>
      <c r="L823" s="17">
        <f>IFERROR(__xludf.DUMMYFUNCTION("AVERAGE(QUERY(SORT(GOOGLEFINANCE(B823,""price"",TODAY()-365,TODAY()),1,0),""select Col2 limit 90""))"),687.1444444444446)</f>
        <v>687.1444444</v>
      </c>
      <c r="M823" s="17">
        <f>IFERROR(__xludf.DUMMYFUNCTION("AVERAGE(QUERY(SORT(GOOGLEFINANCE(B823,""price"",TODAY()-365,TODAY()),1,0),""select Col2 limit 120""))"),652.9845833333334)</f>
        <v>652.9845833</v>
      </c>
      <c r="N823" s="19">
        <f>IFERROR(__xludf.DUMMYFUNCTION("AVERAGE(QUERY(SORT(GOOGLEFINANCE(B823,""price"",TODAY()-365,TODAY()),1,0),""select Col2 limit 200""))"),684.64)</f>
        <v>684.64</v>
      </c>
      <c r="O823" s="20" t="str">
        <f t="shared" si="2"/>
        <v>Avoid</v>
      </c>
      <c r="P823" s="21" t="str">
        <f t="shared" si="3"/>
        <v/>
      </c>
      <c r="Q823" s="21" t="str">
        <f t="shared" si="4"/>
        <v/>
      </c>
      <c r="R823" s="22">
        <f>IFERROR(__xludf.DUMMYFUNCTION("GOOGLEFINANCE(B823, ""pe"")
"),23.86)</f>
        <v>23.86</v>
      </c>
    </row>
    <row r="824">
      <c r="A824" s="9" t="s">
        <v>834</v>
      </c>
      <c r="B824" s="11" t="str">
        <f t="shared" si="1"/>
        <v>NSE:JAYNECOIND</v>
      </c>
      <c r="C824" s="12">
        <f>IFERROR(__xludf.DUMMYFUNCTION("GOOGLEFINANCE(B824,""marketcap"")/10000000"),4030.8290655)</f>
        <v>4030.829066</v>
      </c>
      <c r="D824" s="13">
        <f>IFERROR(__xludf.DUMMYFUNCTION("GOOGLEFINANCE(B824,""price"")"),41.69)</f>
        <v>41.69</v>
      </c>
      <c r="E824" s="14">
        <f>IFERROR(__xludf.DUMMYFUNCTION("GOOGLEFINANCE(B824,""Volume"")"),7.7287668E7)</f>
        <v>77287668</v>
      </c>
      <c r="F824" s="14">
        <f t="array" ref="F824">F823</f>
        <v>14</v>
      </c>
      <c r="G824" s="15" t="str">
        <f>IFERROR(__xludf.DUMMYFUNCTION("IF(E824&gt;AVERAGE(INDEX(GOOGLEFINANCE(B824,""volume"",WORKDAY(TODAY(),-$F$1),TODAY()),,2)),""Breakout"","""")"),"Breakout")</f>
        <v>Breakout</v>
      </c>
      <c r="H824" s="16">
        <f>IFERROR(__xludf.DUMMYFUNCTION("GOOGLEFINANCE(B824,""price"")"),41.69)</f>
        <v>41.69</v>
      </c>
      <c r="I824" s="17">
        <f>IFERROR(__xludf.DUMMYFUNCTION("AVERAGE(QUERY(SORT(GOOGLEFINANCE(B824,""price"",TODAY()-365,TODAY()),1,0),""select Col2 limit 10""))"),42.833000000000006)</f>
        <v>42.833</v>
      </c>
      <c r="J824" s="17">
        <f>IFERROR(__xludf.DUMMYFUNCTION("AVERAGE(QUERY(SORT(GOOGLEFINANCE(B824,""price"",TODAY()-365,TODAY()),1,0),""select Col2 limit 30""))"),40.10866666666667)</f>
        <v>40.10866667</v>
      </c>
      <c r="K824" s="18">
        <f>IFERROR(__xludf.DUMMYFUNCTION("AVERAGE(QUERY(SORT(GOOGLEFINANCE(B824,""price"",TODAY()-365,TODAY()),1,0),""select Col2 limit 60""))"),40.34816666666668)</f>
        <v>40.34816667</v>
      </c>
      <c r="L824" s="17">
        <f>IFERROR(__xludf.DUMMYFUNCTION("AVERAGE(QUERY(SORT(GOOGLEFINANCE(B824,""price"",TODAY()-365,TODAY()),1,0),""select Col2 limit 90""))"),38.16855555555556)</f>
        <v>38.16855556</v>
      </c>
      <c r="M824" s="17">
        <f>IFERROR(__xludf.DUMMYFUNCTION("AVERAGE(QUERY(SORT(GOOGLEFINANCE(B824,""price"",TODAY()-365,TODAY()),1,0),""select Col2 limit 120""))"),37.211083333333335)</f>
        <v>37.21108333</v>
      </c>
      <c r="N824" s="19">
        <f>IFERROR(__xludf.DUMMYFUNCTION("AVERAGE(QUERY(SORT(GOOGLEFINANCE(B824,""price"",TODAY()-365,TODAY()),1,0),""select Col2 limit 200""))"),39.04925000000001)</f>
        <v>39.04925</v>
      </c>
      <c r="O824" s="20" t="str">
        <f t="shared" si="2"/>
        <v>Avoid</v>
      </c>
      <c r="P824" s="21" t="str">
        <f t="shared" si="3"/>
        <v/>
      </c>
      <c r="Q824" s="21" t="str">
        <f t="shared" si="4"/>
        <v/>
      </c>
      <c r="R824" s="22">
        <f>IFERROR(__xludf.DUMMYFUNCTION("GOOGLEFINANCE(B824, ""pe"")
"),17.04)</f>
        <v>17.04</v>
      </c>
    </row>
    <row r="825">
      <c r="A825" s="9" t="s">
        <v>835</v>
      </c>
      <c r="B825" s="11" t="str">
        <f t="shared" si="1"/>
        <v>NSE:SUBROS</v>
      </c>
      <c r="C825" s="12">
        <f>IFERROR(__xludf.DUMMYFUNCTION("GOOGLEFINANCE(B825,""marketcap"")/10000000"),5520.6913548)</f>
        <v>5520.691355</v>
      </c>
      <c r="D825" s="13">
        <f>IFERROR(__xludf.DUMMYFUNCTION("GOOGLEFINANCE(B825,""price"")"),841.6)</f>
        <v>841.6</v>
      </c>
      <c r="E825" s="14">
        <f>IFERROR(__xludf.DUMMYFUNCTION("GOOGLEFINANCE(B825,""Volume"")"),41063.0)</f>
        <v>41063</v>
      </c>
      <c r="F825" s="14">
        <f t="array" ref="F825">F824</f>
        <v>14</v>
      </c>
      <c r="G825" s="15" t="str">
        <f>IFERROR(__xludf.DUMMYFUNCTION("IF(E825&gt;AVERAGE(INDEX(GOOGLEFINANCE(B825,""volume"",WORKDAY(TODAY(),-$F$1),TODAY()),,2)),""Breakout"","""")"),"")</f>
        <v/>
      </c>
      <c r="H825" s="16">
        <f>IFERROR(__xludf.DUMMYFUNCTION("GOOGLEFINANCE(B825,""price"")"),841.6)</f>
        <v>841.6</v>
      </c>
      <c r="I825" s="17">
        <f>IFERROR(__xludf.DUMMYFUNCTION("AVERAGE(QUERY(SORT(GOOGLEFINANCE(B825,""price"",TODAY()-365,TODAY()),1,0),""select Col2 limit 10""))"),889.0849999999998)</f>
        <v>889.085</v>
      </c>
      <c r="J825" s="17">
        <f>IFERROR(__xludf.DUMMYFUNCTION("AVERAGE(QUERY(SORT(GOOGLEFINANCE(B825,""price"",TODAY()-365,TODAY()),1,0),""select Col2 limit 30""))"),932.1333333333333)</f>
        <v>932.1333333</v>
      </c>
      <c r="K825" s="18">
        <f>IFERROR(__xludf.DUMMYFUNCTION("AVERAGE(QUERY(SORT(GOOGLEFINANCE(B825,""price"",TODAY()-365,TODAY()),1,0),""select Col2 limit 60""))"),819.8125)</f>
        <v>819.8125</v>
      </c>
      <c r="L825" s="17">
        <f>IFERROR(__xludf.DUMMYFUNCTION("AVERAGE(QUERY(SORT(GOOGLEFINANCE(B825,""price"",TODAY()-365,TODAY()),1,0),""select Col2 limit 90""))"),742.0694444444445)</f>
        <v>742.0694444</v>
      </c>
      <c r="M825" s="17">
        <f>IFERROR(__xludf.DUMMYFUNCTION("AVERAGE(QUERY(SORT(GOOGLEFINANCE(B825,""price"",TODAY()-365,TODAY()),1,0),""select Col2 limit 120""))"),705.8708333333336)</f>
        <v>705.8708333</v>
      </c>
      <c r="N825" s="19">
        <f>IFERROR(__xludf.DUMMYFUNCTION("AVERAGE(QUERY(SORT(GOOGLEFINANCE(B825,""price"",TODAY()-365,TODAY()),1,0),""select Col2 limit 200""))"),679.6607499999998)</f>
        <v>679.66075</v>
      </c>
      <c r="O825" s="20" t="str">
        <f t="shared" si="2"/>
        <v>Avoid</v>
      </c>
      <c r="P825" s="21" t="str">
        <f t="shared" si="3"/>
        <v/>
      </c>
      <c r="Q825" s="21" t="str">
        <f t="shared" si="4"/>
        <v/>
      </c>
      <c r="R825" s="22">
        <f>IFERROR(__xludf.DUMMYFUNCTION("GOOGLEFINANCE(B825, ""pe"")
"),36.48)</f>
        <v>36.48</v>
      </c>
    </row>
    <row r="826">
      <c r="A826" s="9" t="s">
        <v>836</v>
      </c>
      <c r="B826" s="11" t="str">
        <f t="shared" si="1"/>
        <v>NSE:SUNFLAG</v>
      </c>
      <c r="C826" s="12">
        <f>IFERROR(__xludf.DUMMYFUNCTION("GOOGLEFINANCE(B826,""marketcap"")/10000000"),5048.6339968)</f>
        <v>5048.633997</v>
      </c>
      <c r="D826" s="13">
        <f>IFERROR(__xludf.DUMMYFUNCTION("GOOGLEFINANCE(B826,""price"")"),279.45)</f>
        <v>279.45</v>
      </c>
      <c r="E826" s="14">
        <f>IFERROR(__xludf.DUMMYFUNCTION("GOOGLEFINANCE(B826,""Volume"")"),130097.0)</f>
        <v>130097</v>
      </c>
      <c r="F826" s="14">
        <f t="array" ref="F826">F825</f>
        <v>14</v>
      </c>
      <c r="G826" s="15" t="str">
        <f>IFERROR(__xludf.DUMMYFUNCTION("IF(E826&gt;AVERAGE(INDEX(GOOGLEFINANCE(B826,""volume"",WORKDAY(TODAY(),-$F$1),TODAY()),,2)),""Breakout"","""")"),"#N/A")</f>
        <v>#N/A</v>
      </c>
      <c r="H826" s="16">
        <f>IFERROR(__xludf.DUMMYFUNCTION("GOOGLEFINANCE(B826,""price"")"),279.45)</f>
        <v>279.45</v>
      </c>
      <c r="I826" s="17" t="str">
        <f>IFERROR(__xludf.DUMMYFUNCTION("AVERAGE(QUERY(SORT(GOOGLEFINANCE(B826,""price"",TODAY()-365,TODAY()),1,0),""select Col2 limit 10""))"),"#N/A")</f>
        <v>#N/A</v>
      </c>
      <c r="J826" s="17" t="str">
        <f>IFERROR(__xludf.DUMMYFUNCTION("AVERAGE(QUERY(SORT(GOOGLEFINANCE(B826,""price"",TODAY()-365,TODAY()),1,0),""select Col2 limit 30""))"),"#N/A")</f>
        <v>#N/A</v>
      </c>
      <c r="K826" s="18" t="str">
        <f>IFERROR(__xludf.DUMMYFUNCTION("AVERAGE(QUERY(SORT(GOOGLEFINANCE(B826,""price"",TODAY()-365,TODAY()),1,0),""select Col2 limit 60""))"),"#N/A")</f>
        <v>#N/A</v>
      </c>
      <c r="L826" s="17" t="str">
        <f>IFERROR(__xludf.DUMMYFUNCTION("AVERAGE(QUERY(SORT(GOOGLEFINANCE(B826,""price"",TODAY()-365,TODAY()),1,0),""select Col2 limit 90""))"),"#N/A")</f>
        <v>#N/A</v>
      </c>
      <c r="M826" s="17" t="str">
        <f>IFERROR(__xludf.DUMMYFUNCTION("AVERAGE(QUERY(SORT(GOOGLEFINANCE(B826,""price"",TODAY()-365,TODAY()),1,0),""select Col2 limit 120""))"),"#N/A")</f>
        <v>#N/A</v>
      </c>
      <c r="N826" s="19" t="str">
        <f>IFERROR(__xludf.DUMMYFUNCTION("AVERAGE(QUERY(SORT(GOOGLEFINANCE(B826,""price"",TODAY()-365,TODAY()),1,0),""select Col2 limit 200""))"),"#N/A")</f>
        <v>#N/A</v>
      </c>
      <c r="O826" s="20" t="str">
        <f t="shared" si="2"/>
        <v>#N/A</v>
      </c>
      <c r="P826" s="21" t="str">
        <f t="shared" si="3"/>
        <v>#N/A</v>
      </c>
      <c r="Q826" s="21" t="str">
        <f t="shared" si="4"/>
        <v>#N/A</v>
      </c>
      <c r="R826" s="22">
        <f>IFERROR(__xludf.DUMMYFUNCTION("GOOGLEFINANCE(B826, ""pe"")
"),31.08)</f>
        <v>31.08</v>
      </c>
    </row>
    <row r="827">
      <c r="A827" s="9" t="s">
        <v>837</v>
      </c>
      <c r="B827" s="11" t="str">
        <f t="shared" si="1"/>
        <v>NSE:FUSION</v>
      </c>
      <c r="C827" s="12">
        <f>IFERROR(__xludf.DUMMYFUNCTION("GOOGLEFINANCE(B827,""marketcap"")/10000000"),3370.2375256)</f>
        <v>3370.237526</v>
      </c>
      <c r="D827" s="13">
        <f>IFERROR(__xludf.DUMMYFUNCTION("GOOGLEFINANCE(B827,""price"")"),168.49)</f>
        <v>168.49</v>
      </c>
      <c r="E827" s="14">
        <f>IFERROR(__xludf.DUMMYFUNCTION("GOOGLEFINANCE(B827,""Volume"")"),139703.0)</f>
        <v>139703</v>
      </c>
      <c r="F827" s="14">
        <f t="array" ref="F827">F826</f>
        <v>14</v>
      </c>
      <c r="G827" s="15" t="str">
        <f>IFERROR(__xludf.DUMMYFUNCTION("IF(E827&gt;AVERAGE(INDEX(GOOGLEFINANCE(B827,""volume"",WORKDAY(TODAY(),-$F$1),TODAY()),,2)),""Breakout"","""")"),"")</f>
        <v/>
      </c>
      <c r="H827" s="16">
        <f>IFERROR(__xludf.DUMMYFUNCTION("GOOGLEFINANCE(B827,""price"")"),168.49)</f>
        <v>168.49</v>
      </c>
      <c r="I827" s="17">
        <f>IFERROR(__xludf.DUMMYFUNCTION("AVERAGE(QUERY(SORT(GOOGLEFINANCE(B827,""price"",TODAY()-365,TODAY()),1,0),""select Col2 limit 10""))"),185.66800000000003)</f>
        <v>185.668</v>
      </c>
      <c r="J827" s="17">
        <f>IFERROR(__xludf.DUMMYFUNCTION("AVERAGE(QUERY(SORT(GOOGLEFINANCE(B827,""price"",TODAY()-365,TODAY()),1,0),""select Col2 limit 30""))"),191.96866666666668)</f>
        <v>191.9686667</v>
      </c>
      <c r="K827" s="18">
        <f>IFERROR(__xludf.DUMMYFUNCTION("AVERAGE(QUERY(SORT(GOOGLEFINANCE(B827,""price"",TODAY()-365,TODAY()),1,0),""select Col2 limit 60""))"),182.82949999999997)</f>
        <v>182.8295</v>
      </c>
      <c r="L827" s="17">
        <f>IFERROR(__xludf.DUMMYFUNCTION("AVERAGE(QUERY(SORT(GOOGLEFINANCE(B827,""price"",TODAY()-365,TODAY()),1,0),""select Col2 limit 90""))"),171.18355555555556)</f>
        <v>171.1835556</v>
      </c>
      <c r="M827" s="17">
        <f>IFERROR(__xludf.DUMMYFUNCTION("AVERAGE(QUERY(SORT(GOOGLEFINANCE(B827,""price"",TODAY()-365,TODAY()),1,0),""select Col2 limit 120""))"),168.01249999999996)</f>
        <v>168.0125</v>
      </c>
      <c r="N827" s="19">
        <f>IFERROR(__xludf.DUMMYFUNCTION("AVERAGE(QUERY(SORT(GOOGLEFINANCE(B827,""price"",TODAY()-365,TODAY()),1,0),""select Col2 limit 200""))"),174.63660000000004)</f>
        <v>174.6366</v>
      </c>
      <c r="O827" s="20" t="str">
        <f t="shared" si="2"/>
        <v>Avoid</v>
      </c>
      <c r="P827" s="21" t="str">
        <f t="shared" si="3"/>
        <v/>
      </c>
      <c r="Q827" s="21" t="str">
        <f t="shared" si="4"/>
        <v/>
      </c>
      <c r="R827" s="22" t="str">
        <f>IFERROR(__xludf.DUMMYFUNCTION("GOOGLEFINANCE(B827, ""pe"")
"),"#N/A")</f>
        <v>#N/A</v>
      </c>
    </row>
    <row r="828">
      <c r="A828" s="9" t="s">
        <v>838</v>
      </c>
      <c r="B828" s="11" t="str">
        <f t="shared" si="1"/>
        <v>NSE:MTNL</v>
      </c>
      <c r="C828" s="12">
        <f>IFERROR(__xludf.DUMMYFUNCTION("GOOGLEFINANCE(B828,""marketcap"")/10000000"),3026.5200576)</f>
        <v>3026.520058</v>
      </c>
      <c r="D828" s="13">
        <f>IFERROR(__xludf.DUMMYFUNCTION("GOOGLEFINANCE(B828,""price"")"),47.99)</f>
        <v>47.99</v>
      </c>
      <c r="E828" s="14">
        <f>IFERROR(__xludf.DUMMYFUNCTION("GOOGLEFINANCE(B828,""Volume"")"),1810952.0)</f>
        <v>1810952</v>
      </c>
      <c r="F828" s="14">
        <f t="array" ref="F828">F827</f>
        <v>14</v>
      </c>
      <c r="G828" s="15" t="str">
        <f>IFERROR(__xludf.DUMMYFUNCTION("IF(E828&gt;AVERAGE(INDEX(GOOGLEFINANCE(B828,""volume"",WORKDAY(TODAY(),-$F$1),TODAY()),,2)),""Breakout"","""")"),"")</f>
        <v/>
      </c>
      <c r="H828" s="16">
        <f>IFERROR(__xludf.DUMMYFUNCTION("GOOGLEFINANCE(B828,""price"")"),47.99)</f>
        <v>47.99</v>
      </c>
      <c r="I828" s="17">
        <f>IFERROR(__xludf.DUMMYFUNCTION("AVERAGE(QUERY(SORT(GOOGLEFINANCE(B828,""price"",TODAY()-365,TODAY()),1,0),""select Col2 limit 10""))"),50.092000000000006)</f>
        <v>50.092</v>
      </c>
      <c r="J828" s="17">
        <f>IFERROR(__xludf.DUMMYFUNCTION("AVERAGE(QUERY(SORT(GOOGLEFINANCE(B828,""price"",TODAY()-365,TODAY()),1,0),""select Col2 limit 30""))"),50.125)</f>
        <v>50.125</v>
      </c>
      <c r="K828" s="18">
        <f>IFERROR(__xludf.DUMMYFUNCTION("AVERAGE(QUERY(SORT(GOOGLEFINANCE(B828,""price"",TODAY()-365,TODAY()),1,0),""select Col2 limit 60""))"),48.16316666666666)</f>
        <v>48.16316667</v>
      </c>
      <c r="L828" s="17">
        <f>IFERROR(__xludf.DUMMYFUNCTION("AVERAGE(QUERY(SORT(GOOGLEFINANCE(B828,""price"",TODAY()-365,TODAY()),1,0),""select Col2 limit 90""))"),46.71166666666666)</f>
        <v>46.71166667</v>
      </c>
      <c r="M828" s="17">
        <f>IFERROR(__xludf.DUMMYFUNCTION("AVERAGE(QUERY(SORT(GOOGLEFINANCE(B828,""price"",TODAY()-365,TODAY()),1,0),""select Col2 limit 120""))"),46.60541666666666)</f>
        <v>46.60541667</v>
      </c>
      <c r="N828" s="19">
        <f>IFERROR(__xludf.DUMMYFUNCTION("AVERAGE(QUERY(SORT(GOOGLEFINANCE(B828,""price"",TODAY()-365,TODAY()),1,0),""select Col2 limit 200""))"),47.73935)</f>
        <v>47.73935</v>
      </c>
      <c r="O828" s="20" t="str">
        <f t="shared" si="2"/>
        <v>Avoid</v>
      </c>
      <c r="P828" s="21" t="str">
        <f t="shared" si="3"/>
        <v>60 DMA</v>
      </c>
      <c r="Q828" s="21" t="str">
        <f t="shared" si="4"/>
        <v/>
      </c>
      <c r="R828" s="22" t="str">
        <f>IFERROR(__xludf.DUMMYFUNCTION("GOOGLEFINANCE(B828, ""pe"")
"),"#N/A")</f>
        <v>#N/A</v>
      </c>
    </row>
    <row r="829">
      <c r="A829" s="9" t="s">
        <v>839</v>
      </c>
      <c r="B829" s="11" t="str">
        <f t="shared" si="1"/>
        <v>NSE:SCILAL</v>
      </c>
      <c r="C829" s="12">
        <f>IFERROR(__xludf.DUMMYFUNCTION("GOOGLEFINANCE(B829,""marketcap"")/10000000"),2358.3398804)</f>
        <v>2358.33988</v>
      </c>
      <c r="D829" s="13">
        <f>IFERROR(__xludf.DUMMYFUNCTION("GOOGLEFINANCE(B829,""price"")"),50.76)</f>
        <v>50.76</v>
      </c>
      <c r="E829" s="14">
        <f>IFERROR(__xludf.DUMMYFUNCTION("GOOGLEFINANCE(B829,""Volume"")"),279227.0)</f>
        <v>279227</v>
      </c>
      <c r="F829" s="14">
        <f t="array" ref="F829">F828</f>
        <v>14</v>
      </c>
      <c r="G829" s="15" t="str">
        <f>IFERROR(__xludf.DUMMYFUNCTION("IF(E829&gt;AVERAGE(INDEX(GOOGLEFINANCE(B829,""volume"",WORKDAY(TODAY(),-$F$1),TODAY()),,2)),""Breakout"","""")"),"")</f>
        <v/>
      </c>
      <c r="H829" s="16">
        <f>IFERROR(__xludf.DUMMYFUNCTION("GOOGLEFINANCE(B829,""price"")"),50.76)</f>
        <v>50.76</v>
      </c>
      <c r="I829" s="17">
        <f>IFERROR(__xludf.DUMMYFUNCTION("AVERAGE(QUERY(SORT(GOOGLEFINANCE(B829,""price"",TODAY()-365,TODAY()),1,0),""select Col2 limit 10""))"),52.940999999999995)</f>
        <v>52.941</v>
      </c>
      <c r="J829" s="17">
        <f>IFERROR(__xludf.DUMMYFUNCTION("AVERAGE(QUERY(SORT(GOOGLEFINANCE(B829,""price"",TODAY()-365,TODAY()),1,0),""select Col2 limit 30""))"),53.91566666666667)</f>
        <v>53.91566667</v>
      </c>
      <c r="K829" s="18">
        <f>IFERROR(__xludf.DUMMYFUNCTION("AVERAGE(QUERY(SORT(GOOGLEFINANCE(B829,""price"",TODAY()-365,TODAY()),1,0),""select Col2 limit 60""))"),51.844666666666654)</f>
        <v>51.84466667</v>
      </c>
      <c r="L829" s="17">
        <f>IFERROR(__xludf.DUMMYFUNCTION("AVERAGE(QUERY(SORT(GOOGLEFINANCE(B829,""price"",TODAY()-365,TODAY()),1,0),""select Col2 limit 90""))"),50.17077777777778)</f>
        <v>50.17077778</v>
      </c>
      <c r="M829" s="17">
        <f>IFERROR(__xludf.DUMMYFUNCTION("AVERAGE(QUERY(SORT(GOOGLEFINANCE(B829,""price"",TODAY()-365,TODAY()),1,0),""select Col2 limit 120""))"),51.53524999999999)</f>
        <v>51.53525</v>
      </c>
      <c r="N829" s="19">
        <f>IFERROR(__xludf.DUMMYFUNCTION("AVERAGE(QUERY(SORT(GOOGLEFINANCE(B829,""price"",TODAY()-365,TODAY()),1,0),""select Col2 limit 200""))"),57.47619999999998)</f>
        <v>57.4762</v>
      </c>
      <c r="O829" s="20" t="str">
        <f t="shared" si="2"/>
        <v>Avoid</v>
      </c>
      <c r="P829" s="21" t="str">
        <f t="shared" si="3"/>
        <v/>
      </c>
      <c r="Q829" s="21" t="str">
        <f t="shared" si="4"/>
        <v/>
      </c>
      <c r="R829" s="22" t="str">
        <f>IFERROR(__xludf.DUMMYFUNCTION("GOOGLEFINANCE(B829, ""pe"")
"),"#N/A")</f>
        <v>#N/A</v>
      </c>
    </row>
    <row r="830">
      <c r="A830" s="9" t="s">
        <v>840</v>
      </c>
      <c r="B830" s="11" t="str">
        <f t="shared" si="1"/>
        <v>NSE:WSTCSTPAPR</v>
      </c>
      <c r="C830" s="12">
        <f>IFERROR(__xludf.DUMMYFUNCTION("GOOGLEFINANCE(B830,""marketcap"")/10000000"),3604.6187175)</f>
        <v>3604.618718</v>
      </c>
      <c r="D830" s="13">
        <f>IFERROR(__xludf.DUMMYFUNCTION("GOOGLEFINANCE(B830,""price"")"),545.9)</f>
        <v>545.9</v>
      </c>
      <c r="E830" s="14">
        <f>IFERROR(__xludf.DUMMYFUNCTION("GOOGLEFINANCE(B830,""Volume"")"),57217.0)</f>
        <v>57217</v>
      </c>
      <c r="F830" s="14">
        <f t="array" ref="F830">F829</f>
        <v>14</v>
      </c>
      <c r="G830" s="15" t="str">
        <f>IFERROR(__xludf.DUMMYFUNCTION("IF(E830&gt;AVERAGE(INDEX(GOOGLEFINANCE(B830,""volume"",WORKDAY(TODAY(),-$F$1),TODAY()),,2)),""Breakout"","""")"),"")</f>
        <v/>
      </c>
      <c r="H830" s="16">
        <f>IFERROR(__xludf.DUMMYFUNCTION("GOOGLEFINANCE(B830,""price"")"),545.9)</f>
        <v>545.9</v>
      </c>
      <c r="I830" s="17">
        <f>IFERROR(__xludf.DUMMYFUNCTION("AVERAGE(QUERY(SORT(GOOGLEFINANCE(B830,""price"",TODAY()-365,TODAY()),1,0),""select Col2 limit 10""))"),553.71)</f>
        <v>553.71</v>
      </c>
      <c r="J830" s="17">
        <f>IFERROR(__xludf.DUMMYFUNCTION("AVERAGE(QUERY(SORT(GOOGLEFINANCE(B830,""price"",TODAY()-365,TODAY()),1,0),""select Col2 limit 30""))"),531.5400000000001)</f>
        <v>531.54</v>
      </c>
      <c r="K830" s="18">
        <f>IFERROR(__xludf.DUMMYFUNCTION("AVERAGE(QUERY(SORT(GOOGLEFINANCE(B830,""price"",TODAY()-365,TODAY()),1,0),""select Col2 limit 60""))"),504.64333333333354)</f>
        <v>504.6433333</v>
      </c>
      <c r="L830" s="17">
        <f>IFERROR(__xludf.DUMMYFUNCTION("AVERAGE(QUERY(SORT(GOOGLEFINANCE(B830,""price"",TODAY()-365,TODAY()),1,0),""select Col2 limit 90""))"),480.71722222222235)</f>
        <v>480.7172222</v>
      </c>
      <c r="M830" s="17">
        <f>IFERROR(__xludf.DUMMYFUNCTION("AVERAGE(QUERY(SORT(GOOGLEFINANCE(B830,""price"",TODAY()-365,TODAY()),1,0),""select Col2 limit 120""))"),474.70916666666653)</f>
        <v>474.7091667</v>
      </c>
      <c r="N830" s="19">
        <f>IFERROR(__xludf.DUMMYFUNCTION("AVERAGE(QUERY(SORT(GOOGLEFINANCE(B830,""price"",TODAY()-365,TODAY()),1,0),""select Col2 limit 200""))"),512.3439999999995)</f>
        <v>512.344</v>
      </c>
      <c r="O830" s="20" t="str">
        <f t="shared" si="2"/>
        <v>Avoid</v>
      </c>
      <c r="P830" s="21" t="str">
        <f t="shared" si="3"/>
        <v/>
      </c>
      <c r="Q830" s="21" t="str">
        <f t="shared" si="4"/>
        <v/>
      </c>
      <c r="R830" s="22">
        <f>IFERROR(__xludf.DUMMYFUNCTION("GOOGLEFINANCE(B830, ""pe"")
"),11.59)</f>
        <v>11.59</v>
      </c>
    </row>
    <row r="831">
      <c r="A831" s="9" t="s">
        <v>841</v>
      </c>
      <c r="B831" s="11" t="str">
        <f t="shared" si="1"/>
        <v>NSE:DCXINDIA</v>
      </c>
      <c r="C831" s="12">
        <f>IFERROR(__xludf.DUMMYFUNCTION("GOOGLEFINANCE(B831,""marketcap"")/10000000"),2892.7049439)</f>
        <v>2892.704944</v>
      </c>
      <c r="D831" s="13">
        <f>IFERROR(__xludf.DUMMYFUNCTION("GOOGLEFINANCE(B831,""price"")"),259.75)</f>
        <v>259.75</v>
      </c>
      <c r="E831" s="14">
        <f>IFERROR(__xludf.DUMMYFUNCTION("GOOGLEFINANCE(B831,""Volume"")"),287915.0)</f>
        <v>287915</v>
      </c>
      <c r="F831" s="14">
        <f t="array" ref="F831">F830</f>
        <v>14</v>
      </c>
      <c r="G831" s="15" t="str">
        <f>IFERROR(__xludf.DUMMYFUNCTION("IF(E831&gt;AVERAGE(INDEX(GOOGLEFINANCE(B831,""volume"",WORKDAY(TODAY(),-$F$1),TODAY()),,2)),""Breakout"","""")"),"")</f>
        <v/>
      </c>
      <c r="H831" s="16">
        <f>IFERROR(__xludf.DUMMYFUNCTION("GOOGLEFINANCE(B831,""price"")"),259.75)</f>
        <v>259.75</v>
      </c>
      <c r="I831" s="17">
        <f>IFERROR(__xludf.DUMMYFUNCTION("AVERAGE(QUERY(SORT(GOOGLEFINANCE(B831,""price"",TODAY()-365,TODAY()),1,0),""select Col2 limit 10""))"),273.40999999999997)</f>
        <v>273.41</v>
      </c>
      <c r="J831" s="17">
        <f>IFERROR(__xludf.DUMMYFUNCTION("AVERAGE(QUERY(SORT(GOOGLEFINANCE(B831,""price"",TODAY()-365,TODAY()),1,0),""select Col2 limit 30""))"),281.81666666666666)</f>
        <v>281.8166667</v>
      </c>
      <c r="K831" s="18">
        <f>IFERROR(__xludf.DUMMYFUNCTION("AVERAGE(QUERY(SORT(GOOGLEFINANCE(B831,""price"",TODAY()-365,TODAY()),1,0),""select Col2 limit 60""))"),296.96833333333336)</f>
        <v>296.9683333</v>
      </c>
      <c r="L831" s="17">
        <f>IFERROR(__xludf.DUMMYFUNCTION("AVERAGE(QUERY(SORT(GOOGLEFINANCE(B831,""price"",TODAY()-365,TODAY()),1,0),""select Col2 limit 90""))"),280.9335555555556)</f>
        <v>280.9335556</v>
      </c>
      <c r="M831" s="17">
        <f>IFERROR(__xludf.DUMMYFUNCTION("AVERAGE(QUERY(SORT(GOOGLEFINANCE(B831,""price"",TODAY()-365,TODAY()),1,0),""select Col2 limit 120""))"),278.04758333333336)</f>
        <v>278.0475833</v>
      </c>
      <c r="N831" s="19">
        <f>IFERROR(__xludf.DUMMYFUNCTION("AVERAGE(QUERY(SORT(GOOGLEFINANCE(B831,""price"",TODAY()-365,TODAY()),1,0),""select Col2 limit 200""))"),300.1148)</f>
        <v>300.1148</v>
      </c>
      <c r="O831" s="20" t="str">
        <f t="shared" si="2"/>
        <v>Avoid</v>
      </c>
      <c r="P831" s="21" t="str">
        <f t="shared" si="3"/>
        <v/>
      </c>
      <c r="Q831" s="21" t="str">
        <f t="shared" si="4"/>
        <v/>
      </c>
      <c r="R831" s="22">
        <f>IFERROR(__xludf.DUMMYFUNCTION("GOOGLEFINANCE(B831, ""pe"")
"),81.17)</f>
        <v>81.17</v>
      </c>
    </row>
    <row r="832">
      <c r="A832" s="9" t="s">
        <v>842</v>
      </c>
      <c r="B832" s="11" t="str">
        <f t="shared" si="1"/>
        <v>NSE:HIKAL</v>
      </c>
      <c r="C832" s="12">
        <f>IFERROR(__xludf.DUMMYFUNCTION("GOOGLEFINANCE(B832,""marketcap"")/10000000"),4059.0591945)</f>
        <v>4059.059195</v>
      </c>
      <c r="D832" s="13">
        <f>IFERROR(__xludf.DUMMYFUNCTION("GOOGLEFINANCE(B832,""price"")"),329.1)</f>
        <v>329.1</v>
      </c>
      <c r="E832" s="14">
        <f>IFERROR(__xludf.DUMMYFUNCTION("GOOGLEFINANCE(B832,""Volume"")"),117308.0)</f>
        <v>117308</v>
      </c>
      <c r="F832" s="14">
        <f t="array" ref="F832">F831</f>
        <v>14</v>
      </c>
      <c r="G832" s="15" t="str">
        <f>IFERROR(__xludf.DUMMYFUNCTION("IF(E832&gt;AVERAGE(INDEX(GOOGLEFINANCE(B832,""volume"",WORKDAY(TODAY(),-$F$1),TODAY()),,2)),""Breakout"","""")"),"")</f>
        <v/>
      </c>
      <c r="H832" s="16">
        <f>IFERROR(__xludf.DUMMYFUNCTION("GOOGLEFINANCE(B832,""price"")"),329.1)</f>
        <v>329.1</v>
      </c>
      <c r="I832" s="17">
        <f>IFERROR(__xludf.DUMMYFUNCTION("AVERAGE(QUERY(SORT(GOOGLEFINANCE(B832,""price"",TODAY()-365,TODAY()),1,0),""select Col2 limit 10""))"),342.055)</f>
        <v>342.055</v>
      </c>
      <c r="J832" s="17">
        <f>IFERROR(__xludf.DUMMYFUNCTION("AVERAGE(QUERY(SORT(GOOGLEFINANCE(B832,""price"",TODAY()-365,TODAY()),1,0),""select Col2 limit 30""))"),350.60833333333335)</f>
        <v>350.6083333</v>
      </c>
      <c r="K832" s="18">
        <f>IFERROR(__xludf.DUMMYFUNCTION("AVERAGE(QUERY(SORT(GOOGLEFINANCE(B832,""price"",TODAY()-365,TODAY()),1,0),""select Col2 limit 60""))"),368.5683333333333)</f>
        <v>368.5683333</v>
      </c>
      <c r="L832" s="17">
        <f>IFERROR(__xludf.DUMMYFUNCTION("AVERAGE(QUERY(SORT(GOOGLEFINANCE(B832,""price"",TODAY()-365,TODAY()),1,0),""select Col2 limit 90""))"),381.3272222222222)</f>
        <v>381.3272222</v>
      </c>
      <c r="M832" s="17">
        <f>IFERROR(__xludf.DUMMYFUNCTION("AVERAGE(QUERY(SORT(GOOGLEFINANCE(B832,""price"",TODAY()-365,TODAY()),1,0),""select Col2 limit 120""))"),375.55541666666676)</f>
        <v>375.5554167</v>
      </c>
      <c r="N832" s="19">
        <f>IFERROR(__xludf.DUMMYFUNCTION("AVERAGE(QUERY(SORT(GOOGLEFINANCE(B832,""price"",TODAY()-365,TODAY()),1,0),""select Col2 limit 200""))"),377.63425)</f>
        <v>377.63425</v>
      </c>
      <c r="O832" s="20" t="str">
        <f t="shared" si="2"/>
        <v>Avoid</v>
      </c>
      <c r="P832" s="21" t="str">
        <f t="shared" si="3"/>
        <v/>
      </c>
      <c r="Q832" s="21" t="str">
        <f t="shared" si="4"/>
        <v/>
      </c>
      <c r="R832" s="22">
        <f>IFERROR(__xludf.DUMMYFUNCTION("GOOGLEFINANCE(B832, ""pe"")
"),80.75)</f>
        <v>80.75</v>
      </c>
    </row>
    <row r="833">
      <c r="A833" s="9" t="s">
        <v>843</v>
      </c>
      <c r="B833" s="11" t="str">
        <f t="shared" si="1"/>
        <v>NSE:VENUSPIPES</v>
      </c>
      <c r="C833" s="12">
        <f>IFERROR(__xludf.DUMMYFUNCTION("GOOGLEFINANCE(B833,""marketcap"")/10000000"),2944.3064648)</f>
        <v>2944.306465</v>
      </c>
      <c r="D833" s="13">
        <f>IFERROR(__xludf.DUMMYFUNCTION("GOOGLEFINANCE(B833,""price"")"),1436.8)</f>
        <v>1436.8</v>
      </c>
      <c r="E833" s="14">
        <f>IFERROR(__xludf.DUMMYFUNCTION("GOOGLEFINANCE(B833,""Volume"")"),38878.0)</f>
        <v>38878</v>
      </c>
      <c r="F833" s="14">
        <f t="array" ref="F833">F832</f>
        <v>14</v>
      </c>
      <c r="G833" s="15" t="str">
        <f>IFERROR(__xludf.DUMMYFUNCTION("IF(E833&gt;AVERAGE(INDEX(GOOGLEFINANCE(B833,""volume"",WORKDAY(TODAY(),-$F$1),TODAY()),,2)),""Breakout"","""")"),"")</f>
        <v/>
      </c>
      <c r="H833" s="16">
        <f>IFERROR(__xludf.DUMMYFUNCTION("GOOGLEFINANCE(B833,""price"")"),1436.8)</f>
        <v>1436.8</v>
      </c>
      <c r="I833" s="17">
        <f>IFERROR(__xludf.DUMMYFUNCTION("AVERAGE(QUERY(SORT(GOOGLEFINANCE(B833,""price"",TODAY()-365,TODAY()),1,0),""select Col2 limit 10""))"),1594.2099999999998)</f>
        <v>1594.21</v>
      </c>
      <c r="J833" s="17">
        <f>IFERROR(__xludf.DUMMYFUNCTION("AVERAGE(QUERY(SORT(GOOGLEFINANCE(B833,""price"",TODAY()-365,TODAY()),1,0),""select Col2 limit 30""))"),1486.7866666666669)</f>
        <v>1486.786667</v>
      </c>
      <c r="K833" s="18">
        <f>IFERROR(__xludf.DUMMYFUNCTION("AVERAGE(QUERY(SORT(GOOGLEFINANCE(B833,""price"",TODAY()-365,TODAY()),1,0),""select Col2 limit 60""))"),1420.99)</f>
        <v>1420.99</v>
      </c>
      <c r="L833" s="17">
        <f>IFERROR(__xludf.DUMMYFUNCTION("AVERAGE(QUERY(SORT(GOOGLEFINANCE(B833,""price"",TODAY()-365,TODAY()),1,0),""select Col2 limit 90""))"),1367.0683333333332)</f>
        <v>1367.068333</v>
      </c>
      <c r="M833" s="17">
        <f>IFERROR(__xludf.DUMMYFUNCTION("AVERAGE(QUERY(SORT(GOOGLEFINANCE(B833,""price"",TODAY()-365,TODAY()),1,0),""select Col2 limit 120""))"),1359.5337500000003)</f>
        <v>1359.53375</v>
      </c>
      <c r="N833" s="19">
        <f>IFERROR(__xludf.DUMMYFUNCTION("AVERAGE(QUERY(SORT(GOOGLEFINANCE(B833,""price"",TODAY()-365,TODAY()),1,0),""select Col2 limit 200""))"),1484.1160000000004)</f>
        <v>1484.116</v>
      </c>
      <c r="O833" s="20" t="str">
        <f t="shared" si="2"/>
        <v>Avoid</v>
      </c>
      <c r="P833" s="21" t="str">
        <f t="shared" si="3"/>
        <v/>
      </c>
      <c r="Q833" s="21" t="str">
        <f t="shared" si="4"/>
        <v/>
      </c>
      <c r="R833" s="22">
        <f>IFERROR(__xludf.DUMMYFUNCTION("GOOGLEFINANCE(B833, ""pe"")
"),31.76)</f>
        <v>31.76</v>
      </c>
    </row>
    <row r="834">
      <c r="A834" s="9" t="s">
        <v>844</v>
      </c>
      <c r="B834" s="11" t="str">
        <f t="shared" si="1"/>
        <v>NSE:ISMTLTD</v>
      </c>
      <c r="C834" s="12" t="str">
        <f>IFERROR(__xludf.DUMMYFUNCTION("GOOGLEFINANCE(B834,""marketcap"")/10000000"),"#N/A")</f>
        <v>#N/A</v>
      </c>
      <c r="D834" s="13" t="str">
        <f>IFERROR(__xludf.DUMMYFUNCTION("GOOGLEFINANCE(B834,""price"")"),"#N/A")</f>
        <v>#N/A</v>
      </c>
      <c r="E834" s="14" t="str">
        <f>IFERROR(__xludf.DUMMYFUNCTION("GOOGLEFINANCE(B834,""Volume"")"),"#N/A")</f>
        <v>#N/A</v>
      </c>
      <c r="F834" s="14">
        <f t="array" ref="F834">F833</f>
        <v>14</v>
      </c>
      <c r="G834" s="15" t="str">
        <f>IFERROR(__xludf.DUMMYFUNCTION("IF(E834&gt;AVERAGE(INDEX(GOOGLEFINANCE(B834,""volume"",WORKDAY(TODAY(),-$F$1),TODAY()),,2)),""Breakout"","""")"),"#N/A")</f>
        <v>#N/A</v>
      </c>
      <c r="H834" s="16" t="str">
        <f>IFERROR(__xludf.DUMMYFUNCTION("GOOGLEFINANCE(B834,""price"")"),"#N/A")</f>
        <v>#N/A</v>
      </c>
      <c r="I834" s="17" t="str">
        <f>IFERROR(__xludf.DUMMYFUNCTION("AVERAGE(QUERY(SORT(GOOGLEFINANCE(B834,""price"",TODAY()-365,TODAY()),1,0),""select Col2 limit 10""))"),"#N/A")</f>
        <v>#N/A</v>
      </c>
      <c r="J834" s="17" t="str">
        <f>IFERROR(__xludf.DUMMYFUNCTION("AVERAGE(QUERY(SORT(GOOGLEFINANCE(B834,""price"",TODAY()-365,TODAY()),1,0),""select Col2 limit 30""))"),"#N/A")</f>
        <v>#N/A</v>
      </c>
      <c r="K834" s="18" t="str">
        <f>IFERROR(__xludf.DUMMYFUNCTION("AVERAGE(QUERY(SORT(GOOGLEFINANCE(B834,""price"",TODAY()-365,TODAY()),1,0),""select Col2 limit 60""))"),"#N/A")</f>
        <v>#N/A</v>
      </c>
      <c r="L834" s="17" t="str">
        <f>IFERROR(__xludf.DUMMYFUNCTION("AVERAGE(QUERY(SORT(GOOGLEFINANCE(B834,""price"",TODAY()-365,TODAY()),1,0),""select Col2 limit 90""))"),"#N/A")</f>
        <v>#N/A</v>
      </c>
      <c r="M834" s="17" t="str">
        <f>IFERROR(__xludf.DUMMYFUNCTION("AVERAGE(QUERY(SORT(GOOGLEFINANCE(B834,""price"",TODAY()-365,TODAY()),1,0),""select Col2 limit 120""))"),"#N/A")</f>
        <v>#N/A</v>
      </c>
      <c r="N834" s="19" t="str">
        <f>IFERROR(__xludf.DUMMYFUNCTION("AVERAGE(QUERY(SORT(GOOGLEFINANCE(B834,""price"",TODAY()-365,TODAY()),1,0),""select Col2 limit 200""))"),"#N/A")</f>
        <v>#N/A</v>
      </c>
      <c r="O834" s="20" t="str">
        <f t="shared" si="2"/>
        <v>#N/A</v>
      </c>
      <c r="P834" s="21" t="str">
        <f t="shared" si="3"/>
        <v>#N/A</v>
      </c>
      <c r="Q834" s="21" t="str">
        <f t="shared" si="4"/>
        <v>#N/A</v>
      </c>
      <c r="R834" s="22" t="str">
        <f>IFERROR(__xludf.DUMMYFUNCTION("GOOGLEFINANCE(B834, ""pe"")
"),"#N/A")</f>
        <v>#N/A</v>
      </c>
    </row>
    <row r="835">
      <c r="A835" s="9" t="s">
        <v>845</v>
      </c>
      <c r="B835" s="11" t="str">
        <f t="shared" si="1"/>
        <v>NSE:BOMDYEING</v>
      </c>
      <c r="C835" s="12">
        <f>IFERROR(__xludf.DUMMYFUNCTION("GOOGLEFINANCE(B835,""marketcap"")/10000000"),3659.7965929)</f>
        <v>3659.796593</v>
      </c>
      <c r="D835" s="13">
        <f>IFERROR(__xludf.DUMMYFUNCTION("GOOGLEFINANCE(B835,""price"")"),177.2)</f>
        <v>177.2</v>
      </c>
      <c r="E835" s="14">
        <f>IFERROR(__xludf.DUMMYFUNCTION("GOOGLEFINANCE(B835,""Volume"")"),2460280.0)</f>
        <v>2460280</v>
      </c>
      <c r="F835" s="14">
        <f t="array" ref="F835">F834</f>
        <v>14</v>
      </c>
      <c r="G835" s="15" t="str">
        <f>IFERROR(__xludf.DUMMYFUNCTION("IF(E835&gt;AVERAGE(INDEX(GOOGLEFINANCE(B835,""volume"",WORKDAY(TODAY(),-$F$1),TODAY()),,2)),""Breakout"","""")"),"")</f>
        <v/>
      </c>
      <c r="H835" s="16">
        <f>IFERROR(__xludf.DUMMYFUNCTION("GOOGLEFINANCE(B835,""price"")"),177.2)</f>
        <v>177.2</v>
      </c>
      <c r="I835" s="17">
        <f>IFERROR(__xludf.DUMMYFUNCTION("AVERAGE(QUERY(SORT(GOOGLEFINANCE(B835,""price"",TODAY()-365,TODAY()),1,0),""select Col2 limit 10""))"),172.151)</f>
        <v>172.151</v>
      </c>
      <c r="J835" s="17">
        <f>IFERROR(__xludf.DUMMYFUNCTION("AVERAGE(QUERY(SORT(GOOGLEFINANCE(B835,""price"",TODAY()-365,TODAY()),1,0),""select Col2 limit 30""))"),163.25966666666667)</f>
        <v>163.2596667</v>
      </c>
      <c r="K835" s="18">
        <f>IFERROR(__xludf.DUMMYFUNCTION("AVERAGE(QUERY(SORT(GOOGLEFINANCE(B835,""price"",TODAY()-365,TODAY()),1,0),""select Col2 limit 60""))"),154.58649999999994)</f>
        <v>154.5865</v>
      </c>
      <c r="L835" s="17">
        <f>IFERROR(__xludf.DUMMYFUNCTION("AVERAGE(QUERY(SORT(GOOGLEFINANCE(B835,""price"",TODAY()-365,TODAY()),1,0),""select Col2 limit 90""))"),147.42199999999997)</f>
        <v>147.422</v>
      </c>
      <c r="M835" s="17">
        <f>IFERROR(__xludf.DUMMYFUNCTION("AVERAGE(QUERY(SORT(GOOGLEFINANCE(B835,""price"",TODAY()-365,TODAY()),1,0),""select Col2 limit 120""))"),146.15041666666667)</f>
        <v>146.1504167</v>
      </c>
      <c r="N835" s="19">
        <f>IFERROR(__xludf.DUMMYFUNCTION("AVERAGE(QUERY(SORT(GOOGLEFINANCE(B835,""price"",TODAY()-365,TODAY()),1,0),""select Col2 limit 200""))"),169.54504999999997)</f>
        <v>169.54505</v>
      </c>
      <c r="O835" s="20" t="str">
        <f t="shared" si="2"/>
        <v>Avoid</v>
      </c>
      <c r="P835" s="21" t="str">
        <f t="shared" si="3"/>
        <v/>
      </c>
      <c r="Q835" s="21" t="str">
        <f t="shared" si="4"/>
        <v/>
      </c>
      <c r="R835" s="22">
        <f>IFERROR(__xludf.DUMMYFUNCTION("GOOGLEFINANCE(B835, ""pe"")
"),7.47)</f>
        <v>7.47</v>
      </c>
    </row>
    <row r="836">
      <c r="A836" s="9" t="s">
        <v>846</v>
      </c>
      <c r="B836" s="11" t="str">
        <f t="shared" si="1"/>
        <v>NSE:ORISSAMINE</v>
      </c>
      <c r="C836" s="12">
        <f>IFERROR(__xludf.DUMMYFUNCTION("GOOGLEFINANCE(B836,""marketcap"")/10000000"),2978.0399414)</f>
        <v>2978.039941</v>
      </c>
      <c r="D836" s="13">
        <f>IFERROR(__xludf.DUMMYFUNCTION("GOOGLEFINANCE(B836,""price"")"),4960.0)</f>
        <v>4960</v>
      </c>
      <c r="E836" s="14">
        <f>IFERROR(__xludf.DUMMYFUNCTION("GOOGLEFINANCE(B836,""Volume"")"),6622.0)</f>
        <v>6622</v>
      </c>
      <c r="F836" s="14">
        <f t="array" ref="F836">F835</f>
        <v>14</v>
      </c>
      <c r="G836" s="15" t="str">
        <f>IFERROR(__xludf.DUMMYFUNCTION("IF(E836&gt;AVERAGE(INDEX(GOOGLEFINANCE(B836,""volume"",WORKDAY(TODAY(),-$F$1),TODAY()),,2)),""Breakout"","""")"),"")</f>
        <v/>
      </c>
      <c r="H836" s="16">
        <f>IFERROR(__xludf.DUMMYFUNCTION("GOOGLEFINANCE(B836,""price"")"),4960.0)</f>
        <v>4960</v>
      </c>
      <c r="I836" s="17">
        <f>IFERROR(__xludf.DUMMYFUNCTION("AVERAGE(QUERY(SORT(GOOGLEFINANCE(B836,""price"",TODAY()-365,TODAY()),1,0),""select Col2 limit 10""))"),4956.280000000001)</f>
        <v>4956.28</v>
      </c>
      <c r="J836" s="17">
        <f>IFERROR(__xludf.DUMMYFUNCTION("AVERAGE(QUERY(SORT(GOOGLEFINANCE(B836,""price"",TODAY()-365,TODAY()),1,0),""select Col2 limit 30""))"),4879.37)</f>
        <v>4879.37</v>
      </c>
      <c r="K836" s="18">
        <f>IFERROR(__xludf.DUMMYFUNCTION("AVERAGE(QUERY(SORT(GOOGLEFINANCE(B836,""price"",TODAY()-365,TODAY()),1,0),""select Col2 limit 60""))"),5010.718333333333)</f>
        <v>5010.718333</v>
      </c>
      <c r="L836" s="17">
        <f>IFERROR(__xludf.DUMMYFUNCTION("AVERAGE(QUERY(SORT(GOOGLEFINANCE(B836,""price"",TODAY()-365,TODAY()),1,0),""select Col2 limit 90""))"),5046.649999999998)</f>
        <v>5046.65</v>
      </c>
      <c r="M836" s="17">
        <f>IFERROR(__xludf.DUMMYFUNCTION("AVERAGE(QUERY(SORT(GOOGLEFINANCE(B836,""price"",TODAY()-365,TODAY()),1,0),""select Col2 limit 120""))"),5198.257916666664)</f>
        <v>5198.257917</v>
      </c>
      <c r="N836" s="19">
        <f>IFERROR(__xludf.DUMMYFUNCTION("AVERAGE(QUERY(SORT(GOOGLEFINANCE(B836,""price"",TODAY()-365,TODAY()),1,0),""select Col2 limit 200""))"),6147.396749999999)</f>
        <v>6147.39675</v>
      </c>
      <c r="O836" s="20" t="str">
        <f t="shared" si="2"/>
        <v>Avoid</v>
      </c>
      <c r="P836" s="21" t="str">
        <f t="shared" si="3"/>
        <v/>
      </c>
      <c r="Q836" s="21" t="str">
        <f t="shared" si="4"/>
        <v/>
      </c>
      <c r="R836" s="22" t="str">
        <f>IFERROR(__xludf.DUMMYFUNCTION("GOOGLEFINANCE(B836, ""pe"")
"),"#N/A")</f>
        <v>#N/A</v>
      </c>
    </row>
    <row r="837">
      <c r="A837" s="9" t="s">
        <v>847</v>
      </c>
      <c r="B837" s="11" t="str">
        <f t="shared" si="1"/>
        <v>NSE:BOROLTD</v>
      </c>
      <c r="C837" s="12">
        <f>IFERROR(__xludf.DUMMYFUNCTION("GOOGLEFINANCE(B837,""marketcap"")/10000000"),3960.734423)</f>
        <v>3960.734423</v>
      </c>
      <c r="D837" s="13">
        <f>IFERROR(__xludf.DUMMYFUNCTION("GOOGLEFINANCE(B837,""price"")"),331.3)</f>
        <v>331.3</v>
      </c>
      <c r="E837" s="14">
        <f>IFERROR(__xludf.DUMMYFUNCTION("GOOGLEFINANCE(B837,""Volume"")"),12381.0)</f>
        <v>12381</v>
      </c>
      <c r="F837" s="14">
        <f t="array" ref="F837">F836</f>
        <v>14</v>
      </c>
      <c r="G837" s="15" t="str">
        <f>IFERROR(__xludf.DUMMYFUNCTION("IF(E837&gt;AVERAGE(INDEX(GOOGLEFINANCE(B837,""volume"",WORKDAY(TODAY(),-$F$1),TODAY()),,2)),""Breakout"","""")"),"")</f>
        <v/>
      </c>
      <c r="H837" s="16">
        <f>IFERROR(__xludf.DUMMYFUNCTION("GOOGLEFINANCE(B837,""price"")"),331.3)</f>
        <v>331.3</v>
      </c>
      <c r="I837" s="17">
        <f>IFERROR(__xludf.DUMMYFUNCTION("AVERAGE(QUERY(SORT(GOOGLEFINANCE(B837,""price"",TODAY()-365,TODAY()),1,0),""select Col2 limit 10""))"),336.65)</f>
        <v>336.65</v>
      </c>
      <c r="J837" s="17">
        <f>IFERROR(__xludf.DUMMYFUNCTION("AVERAGE(QUERY(SORT(GOOGLEFINANCE(B837,""price"",TODAY()-365,TODAY()),1,0),""select Col2 limit 30""))"),338.6016666666666)</f>
        <v>338.6016667</v>
      </c>
      <c r="K837" s="18">
        <f>IFERROR(__xludf.DUMMYFUNCTION("AVERAGE(QUERY(SORT(GOOGLEFINANCE(B837,""price"",TODAY()-365,TODAY()),1,0),""select Col2 limit 60""))"),344.43500000000006)</f>
        <v>344.435</v>
      </c>
      <c r="L837" s="17">
        <f>IFERROR(__xludf.DUMMYFUNCTION("AVERAGE(QUERY(SORT(GOOGLEFINANCE(B837,""price"",TODAY()-365,TODAY()),1,0),""select Col2 limit 90""))"),340.30500000000006)</f>
        <v>340.305</v>
      </c>
      <c r="M837" s="17">
        <f>IFERROR(__xludf.DUMMYFUNCTION("AVERAGE(QUERY(SORT(GOOGLEFINANCE(B837,""price"",TODAY()-365,TODAY()),1,0),""select Col2 limit 120""))"),341.96041666666656)</f>
        <v>341.9604167</v>
      </c>
      <c r="N837" s="19">
        <f>IFERROR(__xludf.DUMMYFUNCTION("AVERAGE(QUERY(SORT(GOOGLEFINANCE(B837,""price"",TODAY()-365,TODAY()),1,0),""select Col2 limit 200""))"),376.2895000000001)</f>
        <v>376.2895</v>
      </c>
      <c r="O837" s="20" t="str">
        <f t="shared" si="2"/>
        <v>Avoid</v>
      </c>
      <c r="P837" s="21" t="str">
        <f t="shared" si="3"/>
        <v/>
      </c>
      <c r="Q837" s="21" t="str">
        <f t="shared" si="4"/>
        <v/>
      </c>
      <c r="R837" s="22">
        <f>IFERROR(__xludf.DUMMYFUNCTION("GOOGLEFINANCE(B837, ""pe"")
"),52.92)</f>
        <v>52.92</v>
      </c>
    </row>
    <row r="838">
      <c r="A838" s="9" t="s">
        <v>848</v>
      </c>
      <c r="B838" s="11" t="str">
        <f t="shared" si="1"/>
        <v>NSE:KSL</v>
      </c>
      <c r="C838" s="12">
        <f>IFERROR(__xludf.DUMMYFUNCTION("GOOGLEFINANCE(B838,""marketcap"")/10000000"),3863.29581)</f>
        <v>3863.29581</v>
      </c>
      <c r="D838" s="13">
        <f>IFERROR(__xludf.DUMMYFUNCTION("GOOGLEFINANCE(B838,""price"")"),885.0)</f>
        <v>885</v>
      </c>
      <c r="E838" s="14">
        <f>IFERROR(__xludf.DUMMYFUNCTION("GOOGLEFINANCE(B838,""Volume"")"),17860.0)</f>
        <v>17860</v>
      </c>
      <c r="F838" s="14">
        <f t="array" ref="F838">F837</f>
        <v>14</v>
      </c>
      <c r="G838" s="15" t="str">
        <f>IFERROR(__xludf.DUMMYFUNCTION("IF(E838&gt;AVERAGE(INDEX(GOOGLEFINANCE(B838,""volume"",WORKDAY(TODAY(),-$F$1),TODAY()),,2)),""Breakout"","""")"),"")</f>
        <v/>
      </c>
      <c r="H838" s="16">
        <f>IFERROR(__xludf.DUMMYFUNCTION("GOOGLEFINANCE(B838,""price"")"),885.0)</f>
        <v>885</v>
      </c>
      <c r="I838" s="17">
        <f>IFERROR(__xludf.DUMMYFUNCTION("AVERAGE(QUERY(SORT(GOOGLEFINANCE(B838,""price"",TODAY()-365,TODAY()),1,0),""select Col2 limit 10""))"),914.25)</f>
        <v>914.25</v>
      </c>
      <c r="J838" s="17">
        <f>IFERROR(__xludf.DUMMYFUNCTION("AVERAGE(QUERY(SORT(GOOGLEFINANCE(B838,""price"",TODAY()-365,TODAY()),1,0),""select Col2 limit 30""))"),912.7883333333332)</f>
        <v>912.7883333</v>
      </c>
      <c r="K838" s="18">
        <f>IFERROR(__xludf.DUMMYFUNCTION("AVERAGE(QUERY(SORT(GOOGLEFINANCE(B838,""price"",TODAY()-365,TODAY()),1,0),""select Col2 limit 60""))"),851.5033333333329)</f>
        <v>851.5033333</v>
      </c>
      <c r="L838" s="17">
        <f>IFERROR(__xludf.DUMMYFUNCTION("AVERAGE(QUERY(SORT(GOOGLEFINANCE(B838,""price"",TODAY()-365,TODAY()),1,0),""select Col2 limit 90""))"),818.7483333333325)</f>
        <v>818.7483333</v>
      </c>
      <c r="M838" s="17">
        <f>IFERROR(__xludf.DUMMYFUNCTION("AVERAGE(QUERY(SORT(GOOGLEFINANCE(B838,""price"",TODAY()-365,TODAY()),1,0),""select Col2 limit 120""))"),809.7249999999997)</f>
        <v>809.725</v>
      </c>
      <c r="N838" s="19">
        <f>IFERROR(__xludf.DUMMYFUNCTION("AVERAGE(QUERY(SORT(GOOGLEFINANCE(B838,""price"",TODAY()-365,TODAY()),1,0),""select Col2 limit 200""))"),857.0112500000002)</f>
        <v>857.01125</v>
      </c>
      <c r="O838" s="20" t="str">
        <f t="shared" si="2"/>
        <v>Avoid</v>
      </c>
      <c r="P838" s="21" t="str">
        <f t="shared" si="3"/>
        <v/>
      </c>
      <c r="Q838" s="21" t="str">
        <f t="shared" si="4"/>
        <v/>
      </c>
      <c r="R838" s="22">
        <f>IFERROR(__xludf.DUMMYFUNCTION("GOOGLEFINANCE(B838, ""pe"")
"),15.08)</f>
        <v>15.08</v>
      </c>
    </row>
    <row r="839">
      <c r="A839" s="9" t="s">
        <v>849</v>
      </c>
      <c r="B839" s="11" t="str">
        <f t="shared" si="1"/>
        <v>NSE:KKCL</v>
      </c>
      <c r="C839" s="12">
        <f>IFERROR(__xludf.DUMMYFUNCTION("GOOGLEFINANCE(B839,""marketcap"")/10000000"),3267.3665886)</f>
        <v>3267.366589</v>
      </c>
      <c r="D839" s="13">
        <f>IFERROR(__xludf.DUMMYFUNCTION("GOOGLEFINANCE(B839,""price"")"),530.2)</f>
        <v>530.2</v>
      </c>
      <c r="E839" s="14">
        <f>IFERROR(__xludf.DUMMYFUNCTION("GOOGLEFINANCE(B839,""Volume"")"),12040.0)</f>
        <v>12040</v>
      </c>
      <c r="F839" s="14">
        <f t="array" ref="F839">F838</f>
        <v>14</v>
      </c>
      <c r="G839" s="15" t="str">
        <f>IFERROR(__xludf.DUMMYFUNCTION("IF(E839&gt;AVERAGE(INDEX(GOOGLEFINANCE(B839,""volume"",WORKDAY(TODAY(),-$F$1),TODAY()),,2)),""Breakout"","""")"),"")</f>
        <v/>
      </c>
      <c r="H839" s="16">
        <f>IFERROR(__xludf.DUMMYFUNCTION("GOOGLEFINANCE(B839,""price"")"),530.2)</f>
        <v>530.2</v>
      </c>
      <c r="I839" s="17">
        <f>IFERROR(__xludf.DUMMYFUNCTION("AVERAGE(QUERY(SORT(GOOGLEFINANCE(B839,""price"",TODAY()-365,TODAY()),1,0),""select Col2 limit 10""))"),555.06)</f>
        <v>555.06</v>
      </c>
      <c r="J839" s="17">
        <f>IFERROR(__xludf.DUMMYFUNCTION("AVERAGE(QUERY(SORT(GOOGLEFINANCE(B839,""price"",TODAY()-365,TODAY()),1,0),""select Col2 limit 30""))"),536.7583333333333)</f>
        <v>536.7583333</v>
      </c>
      <c r="K839" s="18">
        <f>IFERROR(__xludf.DUMMYFUNCTION("AVERAGE(QUERY(SORT(GOOGLEFINANCE(B839,""price"",TODAY()-365,TODAY()),1,0),""select Col2 limit 60""))"),497.83083333333343)</f>
        <v>497.8308333</v>
      </c>
      <c r="L839" s="17">
        <f>IFERROR(__xludf.DUMMYFUNCTION("AVERAGE(QUERY(SORT(GOOGLEFINANCE(B839,""price"",TODAY()-365,TODAY()),1,0),""select Col2 limit 90""))"),485.6266666666668)</f>
        <v>485.6266667</v>
      </c>
      <c r="M839" s="17">
        <f>IFERROR(__xludf.DUMMYFUNCTION("AVERAGE(QUERY(SORT(GOOGLEFINANCE(B839,""price"",TODAY()-365,TODAY()),1,0),""select Col2 limit 120""))"),492.50208333333364)</f>
        <v>492.5020833</v>
      </c>
      <c r="N839" s="19">
        <f>IFERROR(__xludf.DUMMYFUNCTION("AVERAGE(QUERY(SORT(GOOGLEFINANCE(B839,""price"",TODAY()-365,TODAY()),1,0),""select Col2 limit 200""))"),537.1455000000002)</f>
        <v>537.1455</v>
      </c>
      <c r="O839" s="20" t="str">
        <f t="shared" si="2"/>
        <v>Avoid</v>
      </c>
      <c r="P839" s="21" t="str">
        <f t="shared" si="3"/>
        <v/>
      </c>
      <c r="Q839" s="21" t="str">
        <f t="shared" si="4"/>
        <v/>
      </c>
      <c r="R839" s="22">
        <f>IFERROR(__xludf.DUMMYFUNCTION("GOOGLEFINANCE(B839, ""pe"")
"),22.62)</f>
        <v>22.62</v>
      </c>
    </row>
    <row r="840">
      <c r="A840" s="9" t="s">
        <v>850</v>
      </c>
      <c r="B840" s="11" t="str">
        <f t="shared" si="1"/>
        <v>NSE:HGS</v>
      </c>
      <c r="C840" s="12">
        <f>IFERROR(__xludf.DUMMYFUNCTION("GOOGLEFINANCE(B840,""marketcap"")/10000000"),2646.3060142)</f>
        <v>2646.306014</v>
      </c>
      <c r="D840" s="13">
        <f>IFERROR(__xludf.DUMMYFUNCTION("GOOGLEFINANCE(B840,""price"")"),568.85)</f>
        <v>568.85</v>
      </c>
      <c r="E840" s="14">
        <f>IFERROR(__xludf.DUMMYFUNCTION("GOOGLEFINANCE(B840,""Volume"")"),7572.0)</f>
        <v>7572</v>
      </c>
      <c r="F840" s="14">
        <f t="array" ref="F840">F839</f>
        <v>14</v>
      </c>
      <c r="G840" s="15" t="str">
        <f>IFERROR(__xludf.DUMMYFUNCTION("IF(E840&gt;AVERAGE(INDEX(GOOGLEFINANCE(B840,""volume"",WORKDAY(TODAY(),-$F$1),TODAY()),,2)),""Breakout"","""")"),"")</f>
        <v/>
      </c>
      <c r="H840" s="16">
        <f>IFERROR(__xludf.DUMMYFUNCTION("GOOGLEFINANCE(B840,""price"")"),568.85)</f>
        <v>568.85</v>
      </c>
      <c r="I840" s="17">
        <f>IFERROR(__xludf.DUMMYFUNCTION("AVERAGE(QUERY(SORT(GOOGLEFINANCE(B840,""price"",TODAY()-365,TODAY()),1,0),""select Col2 limit 10""))"),586.75)</f>
        <v>586.75</v>
      </c>
      <c r="J840" s="17">
        <f>IFERROR(__xludf.DUMMYFUNCTION("AVERAGE(QUERY(SORT(GOOGLEFINANCE(B840,""price"",TODAY()-365,TODAY()),1,0),""select Col2 limit 30""))"),560.3933333333333)</f>
        <v>560.3933333</v>
      </c>
      <c r="K840" s="18">
        <f>IFERROR(__xludf.DUMMYFUNCTION("AVERAGE(QUERY(SORT(GOOGLEFINANCE(B840,""price"",TODAY()-365,TODAY()),1,0),""select Col2 limit 60""))"),538.0699999999998)</f>
        <v>538.07</v>
      </c>
      <c r="L840" s="17">
        <f>IFERROR(__xludf.DUMMYFUNCTION("AVERAGE(QUERY(SORT(GOOGLEFINANCE(B840,""price"",TODAY()-365,TODAY()),1,0),""select Col2 limit 90""))"),521.6383333333333)</f>
        <v>521.6383333</v>
      </c>
      <c r="M840" s="17">
        <f>IFERROR(__xludf.DUMMYFUNCTION("AVERAGE(QUERY(SORT(GOOGLEFINANCE(B840,""price"",TODAY()-365,TODAY()),1,0),""select Col2 limit 120""))"),532.4054166666666)</f>
        <v>532.4054167</v>
      </c>
      <c r="N840" s="19">
        <f>IFERROR(__xludf.DUMMYFUNCTION("AVERAGE(QUERY(SORT(GOOGLEFINANCE(B840,""price"",TODAY()-365,TODAY()),1,0),""select Col2 limit 200""))"),602.982)</f>
        <v>602.982</v>
      </c>
      <c r="O840" s="20" t="str">
        <f t="shared" si="2"/>
        <v>Avoid</v>
      </c>
      <c r="P840" s="21" t="str">
        <f t="shared" si="3"/>
        <v/>
      </c>
      <c r="Q840" s="21" t="str">
        <f t="shared" si="4"/>
        <v/>
      </c>
      <c r="R840" s="22" t="str">
        <f>IFERROR(__xludf.DUMMYFUNCTION("GOOGLEFINANCE(B840, ""pe"")
"),"#N/A")</f>
        <v>#N/A</v>
      </c>
    </row>
    <row r="841">
      <c r="A841" s="9" t="s">
        <v>851</v>
      </c>
      <c r="B841" s="11" t="str">
        <f t="shared" si="1"/>
        <v>NSE:HONDAPOWER</v>
      </c>
      <c r="C841" s="12">
        <f>IFERROR(__xludf.DUMMYFUNCTION("GOOGLEFINANCE(B841,""marketcap"")/10000000"),2886.717722)</f>
        <v>2886.717722</v>
      </c>
      <c r="D841" s="13">
        <f>IFERROR(__xludf.DUMMYFUNCTION("GOOGLEFINANCE(B841,""price"")"),2845.2)</f>
        <v>2845.2</v>
      </c>
      <c r="E841" s="14">
        <f>IFERROR(__xludf.DUMMYFUNCTION("GOOGLEFINANCE(B841,""Volume"")"),6064.0)</f>
        <v>6064</v>
      </c>
      <c r="F841" s="14">
        <f t="array" ref="F841">F840</f>
        <v>14</v>
      </c>
      <c r="G841" s="15" t="str">
        <f>IFERROR(__xludf.DUMMYFUNCTION("IF(E841&gt;AVERAGE(INDEX(GOOGLEFINANCE(B841,""volume"",WORKDAY(TODAY(),-$F$1),TODAY()),,2)),""Breakout"","""")"),"")</f>
        <v/>
      </c>
      <c r="H841" s="16">
        <f>IFERROR(__xludf.DUMMYFUNCTION("GOOGLEFINANCE(B841,""price"")"),2845.2)</f>
        <v>2845.2</v>
      </c>
      <c r="I841" s="17">
        <f>IFERROR(__xludf.DUMMYFUNCTION("AVERAGE(QUERY(SORT(GOOGLEFINANCE(B841,""price"",TODAY()-365,TODAY()),1,0),""select Col2 limit 10""))"),2964.7899999999995)</f>
        <v>2964.79</v>
      </c>
      <c r="J841" s="17">
        <f>IFERROR(__xludf.DUMMYFUNCTION("AVERAGE(QUERY(SORT(GOOGLEFINANCE(B841,""price"",TODAY()-365,TODAY()),1,0),""select Col2 limit 30""))"),2936.506666666666)</f>
        <v>2936.506667</v>
      </c>
      <c r="K841" s="18">
        <f>IFERROR(__xludf.DUMMYFUNCTION("AVERAGE(QUERY(SORT(GOOGLEFINANCE(B841,""price"",TODAY()-365,TODAY()),1,0),""select Col2 limit 60""))"),2794.4083333333338)</f>
        <v>2794.408333</v>
      </c>
      <c r="L841" s="17">
        <f>IFERROR(__xludf.DUMMYFUNCTION("AVERAGE(QUERY(SORT(GOOGLEFINANCE(B841,""price"",TODAY()-365,TODAY()),1,0),""select Col2 limit 90""))"),2543.869444444445)</f>
        <v>2543.869444</v>
      </c>
      <c r="M841" s="17">
        <f>IFERROR(__xludf.DUMMYFUNCTION("AVERAGE(QUERY(SORT(GOOGLEFINANCE(B841,""price"",TODAY()-365,TODAY()),1,0),""select Col2 limit 120""))"),2452.0845833333346)</f>
        <v>2452.084583</v>
      </c>
      <c r="N841" s="19">
        <f>IFERROR(__xludf.DUMMYFUNCTION("AVERAGE(QUERY(SORT(GOOGLEFINANCE(B841,""price"",TODAY()-365,TODAY()),1,0),""select Col2 limit 200""))"),2767.303250000001)</f>
        <v>2767.30325</v>
      </c>
      <c r="O841" s="20" t="str">
        <f t="shared" si="2"/>
        <v>Avoid</v>
      </c>
      <c r="P841" s="21" t="str">
        <f t="shared" si="3"/>
        <v/>
      </c>
      <c r="Q841" s="21" t="str">
        <f t="shared" si="4"/>
        <v/>
      </c>
      <c r="R841" s="22">
        <f>IFERROR(__xludf.DUMMYFUNCTION("GOOGLEFINANCE(B841, ""pe"")
"),36.1)</f>
        <v>36.1</v>
      </c>
    </row>
    <row r="842">
      <c r="A842" s="9" t="s">
        <v>852</v>
      </c>
      <c r="B842" s="11" t="str">
        <f t="shared" si="1"/>
        <v>NSE:SULA</v>
      </c>
      <c r="C842" s="12">
        <f>IFERROR(__xludf.DUMMYFUNCTION("GOOGLEFINANCE(B842,""marketcap"")/10000000"),2468.5936736)</f>
        <v>2468.593674</v>
      </c>
      <c r="D842" s="13">
        <f>IFERROR(__xludf.DUMMYFUNCTION("GOOGLEFINANCE(B842,""price"")"),292.6)</f>
        <v>292.6</v>
      </c>
      <c r="E842" s="14">
        <f>IFERROR(__xludf.DUMMYFUNCTION("GOOGLEFINANCE(B842,""Volume"")"),105016.0)</f>
        <v>105016</v>
      </c>
      <c r="F842" s="14">
        <f t="array" ref="F842">F841</f>
        <v>14</v>
      </c>
      <c r="G842" s="15" t="str">
        <f>IFERROR(__xludf.DUMMYFUNCTION("IF(E842&gt;AVERAGE(INDEX(GOOGLEFINANCE(B842,""volume"",WORKDAY(TODAY(),-$F$1),TODAY()),,2)),""Breakout"","""")"),"")</f>
        <v/>
      </c>
      <c r="H842" s="16">
        <f>IFERROR(__xludf.DUMMYFUNCTION("GOOGLEFINANCE(B842,""price"")"),292.6)</f>
        <v>292.6</v>
      </c>
      <c r="I842" s="17">
        <f>IFERROR(__xludf.DUMMYFUNCTION("AVERAGE(QUERY(SORT(GOOGLEFINANCE(B842,""price"",TODAY()-365,TODAY()),1,0),""select Col2 limit 10""))"),297.895)</f>
        <v>297.895</v>
      </c>
      <c r="J842" s="17">
        <f>IFERROR(__xludf.DUMMYFUNCTION("AVERAGE(QUERY(SORT(GOOGLEFINANCE(B842,""price"",TODAY()-365,TODAY()),1,0),""select Col2 limit 30""))"),300.96333333333337)</f>
        <v>300.9633333</v>
      </c>
      <c r="K842" s="18">
        <f>IFERROR(__xludf.DUMMYFUNCTION("AVERAGE(QUERY(SORT(GOOGLEFINANCE(B842,""price"",TODAY()-365,TODAY()),1,0),""select Col2 limit 60""))"),298.4975)</f>
        <v>298.4975</v>
      </c>
      <c r="L842" s="17">
        <f>IFERROR(__xludf.DUMMYFUNCTION("AVERAGE(QUERY(SORT(GOOGLEFINANCE(B842,""price"",TODAY()-365,TODAY()),1,0),""select Col2 limit 90""))"),292.2711111111111)</f>
        <v>292.2711111</v>
      </c>
      <c r="M842" s="17">
        <f>IFERROR(__xludf.DUMMYFUNCTION("AVERAGE(QUERY(SORT(GOOGLEFINANCE(B842,""price"",TODAY()-365,TODAY()),1,0),""select Col2 limit 120""))"),294.69999999999993)</f>
        <v>294.7</v>
      </c>
      <c r="N842" s="19">
        <f>IFERROR(__xludf.DUMMYFUNCTION("AVERAGE(QUERY(SORT(GOOGLEFINANCE(B842,""price"",TODAY()-365,TODAY()),1,0),""select Col2 limit 200""))"),342.5225)</f>
        <v>342.5225</v>
      </c>
      <c r="O842" s="20" t="str">
        <f t="shared" si="2"/>
        <v>Avoid</v>
      </c>
      <c r="P842" s="21" t="str">
        <f t="shared" si="3"/>
        <v>120 DMA</v>
      </c>
      <c r="Q842" s="21" t="str">
        <f t="shared" si="4"/>
        <v/>
      </c>
      <c r="R842" s="22">
        <f>IFERROR(__xludf.DUMMYFUNCTION("GOOGLEFINANCE(B842, ""pe"")
"),35.13)</f>
        <v>35.13</v>
      </c>
    </row>
    <row r="843">
      <c r="A843" s="9" t="s">
        <v>853</v>
      </c>
      <c r="B843" s="11" t="str">
        <f t="shared" si="1"/>
        <v>NSE:DCBBANK</v>
      </c>
      <c r="C843" s="12">
        <f>IFERROR(__xludf.DUMMYFUNCTION("GOOGLEFINANCE(B843,""marketcap"")/10000000"),4343.1554269)</f>
        <v>4343.155427</v>
      </c>
      <c r="D843" s="13">
        <f>IFERROR(__xludf.DUMMYFUNCTION("GOOGLEFINANCE(B843,""price"")"),137.69)</f>
        <v>137.69</v>
      </c>
      <c r="E843" s="14">
        <f>IFERROR(__xludf.DUMMYFUNCTION("GOOGLEFINANCE(B843,""Volume"")"),513494.0)</f>
        <v>513494</v>
      </c>
      <c r="F843" s="14">
        <f t="array" ref="F843">F842</f>
        <v>14</v>
      </c>
      <c r="G843" s="15" t="str">
        <f>IFERROR(__xludf.DUMMYFUNCTION("IF(E843&gt;AVERAGE(INDEX(GOOGLEFINANCE(B843,""volume"",WORKDAY(TODAY(),-$F$1),TODAY()),,2)),""Breakout"","""")"),"")</f>
        <v/>
      </c>
      <c r="H843" s="16">
        <f>IFERROR(__xludf.DUMMYFUNCTION("GOOGLEFINANCE(B843,""price"")"),137.69)</f>
        <v>137.69</v>
      </c>
      <c r="I843" s="17">
        <f>IFERROR(__xludf.DUMMYFUNCTION("AVERAGE(QUERY(SORT(GOOGLEFINANCE(B843,""price"",TODAY()-365,TODAY()),1,0),""select Col2 limit 10""))"),144.211)</f>
        <v>144.211</v>
      </c>
      <c r="J843" s="17">
        <f>IFERROR(__xludf.DUMMYFUNCTION("AVERAGE(QUERY(SORT(GOOGLEFINANCE(B843,""price"",TODAY()-365,TODAY()),1,0),""select Col2 limit 30""))"),143.68099999999998)</f>
        <v>143.681</v>
      </c>
      <c r="K843" s="18">
        <f>IFERROR(__xludf.DUMMYFUNCTION("AVERAGE(QUERY(SORT(GOOGLEFINANCE(B843,""price"",TODAY()-365,TODAY()),1,0),""select Col2 limit 60""))"),142.71066666666664)</f>
        <v>142.7106667</v>
      </c>
      <c r="L843" s="17">
        <f>IFERROR(__xludf.DUMMYFUNCTION("AVERAGE(QUERY(SORT(GOOGLEFINANCE(B843,""price"",TODAY()-365,TODAY()),1,0),""select Col2 limit 90""))"),135.08077777777777)</f>
        <v>135.0807778</v>
      </c>
      <c r="M843" s="17">
        <f>IFERROR(__xludf.DUMMYFUNCTION("AVERAGE(QUERY(SORT(GOOGLEFINANCE(B843,""price"",TODAY()-365,TODAY()),1,0),""select Col2 limit 120""))"),129.0086666666667)</f>
        <v>129.0086667</v>
      </c>
      <c r="N843" s="19">
        <f>IFERROR(__xludf.DUMMYFUNCTION("AVERAGE(QUERY(SORT(GOOGLEFINANCE(B843,""price"",TODAY()-365,TODAY()),1,0),""select Col2 limit 200""))"),125.1047499999999)</f>
        <v>125.10475</v>
      </c>
      <c r="O843" s="20" t="str">
        <f t="shared" si="2"/>
        <v>Avoid</v>
      </c>
      <c r="P843" s="21" t="str">
        <f t="shared" si="3"/>
        <v/>
      </c>
      <c r="Q843" s="21" t="str">
        <f t="shared" si="4"/>
        <v/>
      </c>
      <c r="R843" s="22">
        <f>IFERROR(__xludf.DUMMYFUNCTION("GOOGLEFINANCE(B843, ""pe"")
"),7.06)</f>
        <v>7.06</v>
      </c>
    </row>
    <row r="844">
      <c r="A844" s="9" t="s">
        <v>854</v>
      </c>
      <c r="B844" s="11" t="str">
        <f t="shared" si="1"/>
        <v>NSE:GOPAL</v>
      </c>
      <c r="C844" s="12">
        <f>IFERROR(__xludf.DUMMYFUNCTION("GOOGLEFINANCE(B844,""marketcap"")/10000000"),4282.022304)</f>
        <v>4282.022304</v>
      </c>
      <c r="D844" s="13">
        <f>IFERROR(__xludf.DUMMYFUNCTION("GOOGLEFINANCE(B844,""price"")"),343.5)</f>
        <v>343.5</v>
      </c>
      <c r="E844" s="14">
        <f>IFERROR(__xludf.DUMMYFUNCTION("GOOGLEFINANCE(B844,""Volume"")"),33280.0)</f>
        <v>33280</v>
      </c>
      <c r="F844" s="14">
        <f t="array" ref="F844">F843</f>
        <v>14</v>
      </c>
      <c r="G844" s="15" t="str">
        <f>IFERROR(__xludf.DUMMYFUNCTION("IF(E844&gt;AVERAGE(INDEX(GOOGLEFINANCE(B844,""volume"",WORKDAY(TODAY(),-$F$1),TODAY()),,2)),""Breakout"","""")"),"")</f>
        <v/>
      </c>
      <c r="H844" s="16">
        <f>IFERROR(__xludf.DUMMYFUNCTION("GOOGLEFINANCE(B844,""price"")"),343.5)</f>
        <v>343.5</v>
      </c>
      <c r="I844" s="17">
        <f>IFERROR(__xludf.DUMMYFUNCTION("AVERAGE(QUERY(SORT(GOOGLEFINANCE(B844,""price"",TODAY()-365,TODAY()),1,0),""select Col2 limit 10""))"),357.43)</f>
        <v>357.43</v>
      </c>
      <c r="J844" s="17">
        <f>IFERROR(__xludf.DUMMYFUNCTION("AVERAGE(QUERY(SORT(GOOGLEFINANCE(B844,""price"",TODAY()-365,TODAY()),1,0),""select Col2 limit 30""))"),357.46666666666664)</f>
        <v>357.4666667</v>
      </c>
      <c r="K844" s="18">
        <f>IFERROR(__xludf.DUMMYFUNCTION("AVERAGE(QUERY(SORT(GOOGLEFINANCE(B844,""price"",TODAY()-365,TODAY()),1,0),""select Col2 limit 60""))"),338.72083333333325)</f>
        <v>338.7208333</v>
      </c>
      <c r="L844" s="17">
        <f>IFERROR(__xludf.DUMMYFUNCTION("AVERAGE(QUERY(SORT(GOOGLEFINANCE(B844,""price"",TODAY()-365,TODAY()),1,0),""select Col2 limit 90""))"),318.20277777777767)</f>
        <v>318.2027778</v>
      </c>
      <c r="M844" s="17">
        <f>IFERROR(__xludf.DUMMYFUNCTION("AVERAGE(QUERY(SORT(GOOGLEFINANCE(B844,""price"",TODAY()-365,TODAY()),1,0),""select Col2 limit 120""))"),313.7016666666666)</f>
        <v>313.7016667</v>
      </c>
      <c r="N844" s="19">
        <f>IFERROR(__xludf.DUMMYFUNCTION("AVERAGE(QUERY(SORT(GOOGLEFINANCE(B844,""price"",TODAY()-365,TODAY()),1,0),""select Col2 limit 200""))"),353.45125)</f>
        <v>353.45125</v>
      </c>
      <c r="O844" s="20" t="str">
        <f t="shared" si="2"/>
        <v>Avoid</v>
      </c>
      <c r="P844" s="21" t="str">
        <f t="shared" si="3"/>
        <v/>
      </c>
      <c r="Q844" s="21" t="str">
        <f t="shared" si="4"/>
        <v/>
      </c>
      <c r="R844" s="22">
        <f>IFERROR(__xludf.DUMMYFUNCTION("GOOGLEFINANCE(B844, ""pe"")
"),226.05)</f>
        <v>226.05</v>
      </c>
    </row>
    <row r="845">
      <c r="A845" s="9" t="s">
        <v>855</v>
      </c>
      <c r="B845" s="11" t="str">
        <f t="shared" si="1"/>
        <v>NSE:NEOGEN</v>
      </c>
      <c r="C845" s="12">
        <f>IFERROR(__xludf.DUMMYFUNCTION("GOOGLEFINANCE(B845,""marketcap"")/10000000"),4116.0680245)</f>
        <v>4116.068025</v>
      </c>
      <c r="D845" s="13">
        <f>IFERROR(__xludf.DUMMYFUNCTION("GOOGLEFINANCE(B845,""price"")"),1560.3)</f>
        <v>1560.3</v>
      </c>
      <c r="E845" s="14">
        <f>IFERROR(__xludf.DUMMYFUNCTION("GOOGLEFINANCE(B845,""Volume"")"),7081.0)</f>
        <v>7081</v>
      </c>
      <c r="F845" s="14">
        <f t="array" ref="F845">F844</f>
        <v>14</v>
      </c>
      <c r="G845" s="15" t="str">
        <f>IFERROR(__xludf.DUMMYFUNCTION("IF(E845&gt;AVERAGE(INDEX(GOOGLEFINANCE(B845,""volume"",WORKDAY(TODAY(),-$F$1),TODAY()),,2)),""Breakout"","""")"),"")</f>
        <v/>
      </c>
      <c r="H845" s="16">
        <f>IFERROR(__xludf.DUMMYFUNCTION("GOOGLEFINANCE(B845,""price"")"),1560.3)</f>
        <v>1560.3</v>
      </c>
      <c r="I845" s="17" t="str">
        <f>IFERROR(__xludf.DUMMYFUNCTION("AVERAGE(QUERY(SORT(GOOGLEFINANCE(B845,""price"",TODAY()-365,TODAY()),1,0),""select Col2 limit 10""))"),"#N/A")</f>
        <v>#N/A</v>
      </c>
      <c r="J845" s="17" t="str">
        <f>IFERROR(__xludf.DUMMYFUNCTION("AVERAGE(QUERY(SORT(GOOGLEFINANCE(B845,""price"",TODAY()-365,TODAY()),1,0),""select Col2 limit 30""))"),"#N/A")</f>
        <v>#N/A</v>
      </c>
      <c r="K845" s="18" t="str">
        <f>IFERROR(__xludf.DUMMYFUNCTION("AVERAGE(QUERY(SORT(GOOGLEFINANCE(B845,""price"",TODAY()-365,TODAY()),1,0),""select Col2 limit 60""))"),"#N/A")</f>
        <v>#N/A</v>
      </c>
      <c r="L845" s="17" t="str">
        <f>IFERROR(__xludf.DUMMYFUNCTION("AVERAGE(QUERY(SORT(GOOGLEFINANCE(B845,""price"",TODAY()-365,TODAY()),1,0),""select Col2 limit 90""))"),"#N/A")</f>
        <v>#N/A</v>
      </c>
      <c r="M845" s="17" t="str">
        <f>IFERROR(__xludf.DUMMYFUNCTION("AVERAGE(QUERY(SORT(GOOGLEFINANCE(B845,""price"",TODAY()-365,TODAY()),1,0),""select Col2 limit 120""))"),"#N/A")</f>
        <v>#N/A</v>
      </c>
      <c r="N845" s="19" t="str">
        <f>IFERROR(__xludf.DUMMYFUNCTION("AVERAGE(QUERY(SORT(GOOGLEFINANCE(B845,""price"",TODAY()-365,TODAY()),1,0),""select Col2 limit 200""))"),"#N/A")</f>
        <v>#N/A</v>
      </c>
      <c r="O845" s="20" t="str">
        <f t="shared" si="2"/>
        <v>#N/A</v>
      </c>
      <c r="P845" s="21" t="str">
        <f t="shared" si="3"/>
        <v>#N/A</v>
      </c>
      <c r="Q845" s="21" t="str">
        <f t="shared" si="4"/>
        <v>#N/A</v>
      </c>
      <c r="R845" s="22">
        <f>IFERROR(__xludf.DUMMYFUNCTION("GOOGLEFINANCE(B845, ""pe"")
"),119.61)</f>
        <v>119.61</v>
      </c>
    </row>
    <row r="846">
      <c r="A846" s="9" t="s">
        <v>856</v>
      </c>
      <c r="B846" s="11" t="str">
        <f t="shared" si="1"/>
        <v>NSE:KDDL</v>
      </c>
      <c r="C846" s="12">
        <f>IFERROR(__xludf.DUMMYFUNCTION("GOOGLEFINANCE(B846,""marketcap"")/10000000"),3514.1473643)</f>
        <v>3514.147364</v>
      </c>
      <c r="D846" s="13">
        <f>IFERROR(__xludf.DUMMYFUNCTION("GOOGLEFINANCE(B846,""price"")"),2856.2)</f>
        <v>2856.2</v>
      </c>
      <c r="E846" s="14">
        <f>IFERROR(__xludf.DUMMYFUNCTION("GOOGLEFINANCE(B846,""Volume"")"),16316.0)</f>
        <v>16316</v>
      </c>
      <c r="F846" s="14">
        <f t="array" ref="F846">F845</f>
        <v>14</v>
      </c>
      <c r="G846" s="15" t="str">
        <f>IFERROR(__xludf.DUMMYFUNCTION("IF(E846&gt;AVERAGE(INDEX(GOOGLEFINANCE(B846,""volume"",WORKDAY(TODAY(),-$F$1),TODAY()),,2)),""Breakout"","""")"),"")</f>
        <v/>
      </c>
      <c r="H846" s="16">
        <f>IFERROR(__xludf.DUMMYFUNCTION("GOOGLEFINANCE(B846,""price"")"),2856.2)</f>
        <v>2856.2</v>
      </c>
      <c r="I846" s="17">
        <f>IFERROR(__xludf.DUMMYFUNCTION("AVERAGE(QUERY(SORT(GOOGLEFINANCE(B846,""price"",TODAY()-365,TODAY()),1,0),""select Col2 limit 10""))"),2793.81)</f>
        <v>2793.81</v>
      </c>
      <c r="J846" s="17">
        <f>IFERROR(__xludf.DUMMYFUNCTION("AVERAGE(QUERY(SORT(GOOGLEFINANCE(B846,""price"",TODAY()-365,TODAY()),1,0),""select Col2 limit 30""))"),2782.8600000000006)</f>
        <v>2782.86</v>
      </c>
      <c r="K846" s="18">
        <f>IFERROR(__xludf.DUMMYFUNCTION("AVERAGE(QUERY(SORT(GOOGLEFINANCE(B846,""price"",TODAY()-365,TODAY()),1,0),""select Col2 limit 60""))"),2715.7149999999997)</f>
        <v>2715.715</v>
      </c>
      <c r="L846" s="17">
        <f>IFERROR(__xludf.DUMMYFUNCTION("AVERAGE(QUERY(SORT(GOOGLEFINANCE(B846,""price"",TODAY()-365,TODAY()),1,0),""select Col2 limit 90""))"),2790.5472222222224)</f>
        <v>2790.547222</v>
      </c>
      <c r="M846" s="17">
        <f>IFERROR(__xludf.DUMMYFUNCTION("AVERAGE(QUERY(SORT(GOOGLEFINANCE(B846,""price"",TODAY()-365,TODAY()),1,0),""select Col2 limit 120""))"),2737.18625)</f>
        <v>2737.18625</v>
      </c>
      <c r="N846" s="19">
        <f>IFERROR(__xludf.DUMMYFUNCTION("AVERAGE(QUERY(SORT(GOOGLEFINANCE(B846,""price"",TODAY()-365,TODAY()),1,0),""select Col2 limit 200""))"),2760.443249999999)</f>
        <v>2760.44325</v>
      </c>
      <c r="O846" s="20" t="str">
        <f t="shared" si="2"/>
        <v>Avoid</v>
      </c>
      <c r="P846" s="21" t="str">
        <f t="shared" si="3"/>
        <v/>
      </c>
      <c r="Q846" s="21" t="str">
        <f t="shared" si="4"/>
        <v/>
      </c>
      <c r="R846" s="22">
        <f>IFERROR(__xludf.DUMMYFUNCTION("GOOGLEFINANCE(B846, ""pe"")
"),37.45)</f>
        <v>37.45</v>
      </c>
    </row>
    <row r="847">
      <c r="A847" s="9" t="s">
        <v>857</v>
      </c>
      <c r="B847" s="11" t="str">
        <f t="shared" si="1"/>
        <v>NSE:HATHWAY</v>
      </c>
      <c r="C847" s="12">
        <f>IFERROR(__xludf.DUMMYFUNCTION("GOOGLEFINANCE(B847,""marketcap"")/10000000"),2671.0522164)</f>
        <v>2671.052216</v>
      </c>
      <c r="D847" s="13">
        <f>IFERROR(__xludf.DUMMYFUNCTION("GOOGLEFINANCE(B847,""price"")"),15.06)</f>
        <v>15.06</v>
      </c>
      <c r="E847" s="14">
        <f>IFERROR(__xludf.DUMMYFUNCTION("GOOGLEFINANCE(B847,""Volume"")"),1834043.0)</f>
        <v>1834043</v>
      </c>
      <c r="F847" s="14">
        <f t="array" ref="F847">F846</f>
        <v>14</v>
      </c>
      <c r="G847" s="15" t="str">
        <f>IFERROR(__xludf.DUMMYFUNCTION("IF(E847&gt;AVERAGE(INDEX(GOOGLEFINANCE(B847,""volume"",WORKDAY(TODAY(),-$F$1),TODAY()),,2)),""Breakout"","""")"),"")</f>
        <v/>
      </c>
      <c r="H847" s="16">
        <f>IFERROR(__xludf.DUMMYFUNCTION("GOOGLEFINANCE(B847,""price"")"),15.06)</f>
        <v>15.06</v>
      </c>
      <c r="I847" s="17">
        <f>IFERROR(__xludf.DUMMYFUNCTION("AVERAGE(QUERY(SORT(GOOGLEFINANCE(B847,""price"",TODAY()-365,TODAY()),1,0),""select Col2 limit 10""))"),15.883)</f>
        <v>15.883</v>
      </c>
      <c r="J847" s="17">
        <f>IFERROR(__xludf.DUMMYFUNCTION("AVERAGE(QUERY(SORT(GOOGLEFINANCE(B847,""price"",TODAY()-365,TODAY()),1,0),""select Col2 limit 30""))"),15.67066666666667)</f>
        <v>15.67066667</v>
      </c>
      <c r="K847" s="18">
        <f>IFERROR(__xludf.DUMMYFUNCTION("AVERAGE(QUERY(SORT(GOOGLEFINANCE(B847,""price"",TODAY()-365,TODAY()),1,0),""select Col2 limit 60""))"),15.35916666666667)</f>
        <v>15.35916667</v>
      </c>
      <c r="L847" s="17">
        <f>IFERROR(__xludf.DUMMYFUNCTION("AVERAGE(QUERY(SORT(GOOGLEFINANCE(B847,""price"",TODAY()-365,TODAY()),1,0),""select Col2 limit 90""))"),14.753000000000002)</f>
        <v>14.753</v>
      </c>
      <c r="M847" s="17">
        <f>IFERROR(__xludf.DUMMYFUNCTION("AVERAGE(QUERY(SORT(GOOGLEFINANCE(B847,""price"",TODAY()-365,TODAY()),1,0),""select Col2 limit 120""))"),14.597750000000008)</f>
        <v>14.59775</v>
      </c>
      <c r="N847" s="19">
        <f>IFERROR(__xludf.DUMMYFUNCTION("AVERAGE(QUERY(SORT(GOOGLEFINANCE(B847,""price"",TODAY()-365,TODAY()),1,0),""select Col2 limit 200""))"),15.818800000000008)</f>
        <v>15.8188</v>
      </c>
      <c r="O847" s="20" t="str">
        <f t="shared" si="2"/>
        <v>Avoid</v>
      </c>
      <c r="P847" s="21" t="str">
        <f t="shared" si="3"/>
        <v/>
      </c>
      <c r="Q847" s="21" t="str">
        <f t="shared" si="4"/>
        <v/>
      </c>
      <c r="R847" s="22">
        <f>IFERROR(__xludf.DUMMYFUNCTION("GOOGLEFINANCE(B847, ""pe"")
"),24.69)</f>
        <v>24.69</v>
      </c>
    </row>
    <row r="848">
      <c r="A848" s="9" t="s">
        <v>858</v>
      </c>
      <c r="B848" s="11" t="str">
        <f t="shared" si="1"/>
        <v>NSE:JNKINDIA</v>
      </c>
      <c r="C848" s="12">
        <f>IFERROR(__xludf.DUMMYFUNCTION("GOOGLEFINANCE(B848,""marketcap"")/10000000"),1794.7213425)</f>
        <v>1794.721343</v>
      </c>
      <c r="D848" s="13">
        <f>IFERROR(__xludf.DUMMYFUNCTION("GOOGLEFINANCE(B848,""price"")"),320.75)</f>
        <v>320.75</v>
      </c>
      <c r="E848" s="14">
        <f>IFERROR(__xludf.DUMMYFUNCTION("GOOGLEFINANCE(B848,""Volume"")"),17992.0)</f>
        <v>17992</v>
      </c>
      <c r="F848" s="14">
        <f t="array" ref="F848">F847</f>
        <v>14</v>
      </c>
      <c r="G848" s="15" t="str">
        <f>IFERROR(__xludf.DUMMYFUNCTION("IF(E848&gt;AVERAGE(INDEX(GOOGLEFINANCE(B848,""volume"",WORKDAY(TODAY(),-$F$1),TODAY()),,2)),""Breakout"","""")"),"")</f>
        <v/>
      </c>
      <c r="H848" s="16">
        <f>IFERROR(__xludf.DUMMYFUNCTION("GOOGLEFINANCE(B848,""price"")"),320.75)</f>
        <v>320.75</v>
      </c>
      <c r="I848" s="17">
        <f>IFERROR(__xludf.DUMMYFUNCTION("AVERAGE(QUERY(SORT(GOOGLEFINANCE(B848,""price"",TODAY()-365,TODAY()),1,0),""select Col2 limit 10""))"),327.29999999999995)</f>
        <v>327.3</v>
      </c>
      <c r="J848" s="17">
        <f>IFERROR(__xludf.DUMMYFUNCTION("AVERAGE(QUERY(SORT(GOOGLEFINANCE(B848,""price"",TODAY()-365,TODAY()),1,0),""select Col2 limit 30""))"),338.62833333333333)</f>
        <v>338.6283333</v>
      </c>
      <c r="K848" s="18">
        <f>IFERROR(__xludf.DUMMYFUNCTION("AVERAGE(QUERY(SORT(GOOGLEFINANCE(B848,""price"",TODAY()-365,TODAY()),1,0),""select Col2 limit 60""))"),348.72166666666664)</f>
        <v>348.7216667</v>
      </c>
      <c r="L848" s="17">
        <f>IFERROR(__xludf.DUMMYFUNCTION("AVERAGE(QUERY(SORT(GOOGLEFINANCE(B848,""price"",TODAY()-365,TODAY()),1,0),""select Col2 limit 90""))"),349.0522222222222)</f>
        <v>349.0522222</v>
      </c>
      <c r="M848" s="17">
        <f>IFERROR(__xludf.DUMMYFUNCTION("AVERAGE(QUERY(SORT(GOOGLEFINANCE(B848,""price"",TODAY()-365,TODAY()),1,0),""select Col2 limit 120""))"),359.32750000000004)</f>
        <v>359.3275</v>
      </c>
      <c r="N848" s="19">
        <f>IFERROR(__xludf.DUMMYFUNCTION("AVERAGE(QUERY(SORT(GOOGLEFINANCE(B848,""price"",TODAY()-365,TODAY()),1,0),""select Col2 limit 200""))"),466.9674999999999)</f>
        <v>466.9675</v>
      </c>
      <c r="O848" s="20" t="str">
        <f t="shared" si="2"/>
        <v>Avoid</v>
      </c>
      <c r="P848" s="21" t="str">
        <f t="shared" si="3"/>
        <v/>
      </c>
      <c r="Q848" s="21" t="str">
        <f t="shared" si="4"/>
        <v/>
      </c>
      <c r="R848" s="22">
        <f>IFERROR(__xludf.DUMMYFUNCTION("GOOGLEFINANCE(B848, ""pe"")
"),58.77)</f>
        <v>58.77</v>
      </c>
    </row>
    <row r="849">
      <c r="A849" s="9" t="s">
        <v>859</v>
      </c>
      <c r="B849" s="11" t="str">
        <f t="shared" si="1"/>
        <v>NSE:ASHIANA</v>
      </c>
      <c r="C849" s="12">
        <f>IFERROR(__xludf.DUMMYFUNCTION("GOOGLEFINANCE(B849,""marketcap"")/10000000"),3223.3276506)</f>
        <v>3223.327651</v>
      </c>
      <c r="D849" s="13">
        <f>IFERROR(__xludf.DUMMYFUNCTION("GOOGLEFINANCE(B849,""price"")"),320.65)</f>
        <v>320.65</v>
      </c>
      <c r="E849" s="14">
        <f>IFERROR(__xludf.DUMMYFUNCTION("GOOGLEFINANCE(B849,""Volume"")"),15000.0)</f>
        <v>15000</v>
      </c>
      <c r="F849" s="14">
        <f t="array" ref="F849">F848</f>
        <v>14</v>
      </c>
      <c r="G849" s="15" t="str">
        <f>IFERROR(__xludf.DUMMYFUNCTION("IF(E849&gt;AVERAGE(INDEX(GOOGLEFINANCE(B849,""volume"",WORKDAY(TODAY(),-$F$1),TODAY()),,2)),""Breakout"","""")"),"")</f>
        <v/>
      </c>
      <c r="H849" s="16">
        <f>IFERROR(__xludf.DUMMYFUNCTION("GOOGLEFINANCE(B849,""price"")"),320.65)</f>
        <v>320.65</v>
      </c>
      <c r="I849" s="17">
        <f>IFERROR(__xludf.DUMMYFUNCTION("AVERAGE(QUERY(SORT(GOOGLEFINANCE(B849,""price"",TODAY()-365,TODAY()),1,0),""select Col2 limit 10""))"),327.94500000000005)</f>
        <v>327.945</v>
      </c>
      <c r="J849" s="17">
        <f>IFERROR(__xludf.DUMMYFUNCTION("AVERAGE(QUERY(SORT(GOOGLEFINANCE(B849,""price"",TODAY()-365,TODAY()),1,0),""select Col2 limit 30""))"),338.5233333333333)</f>
        <v>338.5233333</v>
      </c>
      <c r="K849" s="18">
        <f>IFERROR(__xludf.DUMMYFUNCTION("AVERAGE(QUERY(SORT(GOOGLEFINANCE(B849,""price"",TODAY()-365,TODAY()),1,0),""select Col2 limit 60""))"),320.5874999999999)</f>
        <v>320.5875</v>
      </c>
      <c r="L849" s="17">
        <f>IFERROR(__xludf.DUMMYFUNCTION("AVERAGE(QUERY(SORT(GOOGLEFINANCE(B849,""price"",TODAY()-365,TODAY()),1,0),""select Col2 limit 90""))"),307.541111111111)</f>
        <v>307.5411111</v>
      </c>
      <c r="M849" s="17">
        <f>IFERROR(__xludf.DUMMYFUNCTION("AVERAGE(QUERY(SORT(GOOGLEFINANCE(B849,""price"",TODAY()-365,TODAY()),1,0),""select Col2 limit 120""))"),308.3191666666665)</f>
        <v>308.3191667</v>
      </c>
      <c r="N849" s="19">
        <f>IFERROR(__xludf.DUMMYFUNCTION("AVERAGE(QUERY(SORT(GOOGLEFINANCE(B849,""price"",TODAY()-365,TODAY()),1,0),""select Col2 limit 200""))"),314.9142499999998)</f>
        <v>314.91425</v>
      </c>
      <c r="O849" s="20" t="str">
        <f t="shared" si="2"/>
        <v>Avoid</v>
      </c>
      <c r="P849" s="21" t="str">
        <f t="shared" si="3"/>
        <v/>
      </c>
      <c r="Q849" s="21" t="str">
        <f t="shared" si="4"/>
        <v/>
      </c>
      <c r="R849" s="22">
        <f>IFERROR(__xludf.DUMMYFUNCTION("GOOGLEFINANCE(B849, ""pe"")
"),171.83)</f>
        <v>171.83</v>
      </c>
    </row>
    <row r="850">
      <c r="A850" s="9" t="s">
        <v>860</v>
      </c>
      <c r="B850" s="11" t="str">
        <f t="shared" si="1"/>
        <v>NSE:BALUFORGE</v>
      </c>
      <c r="C850" s="12">
        <f>IFERROR(__xludf.DUMMYFUNCTION("GOOGLEFINANCE(B850,""marketcap"")/10000000"),7174.0736546)</f>
        <v>7174.073655</v>
      </c>
      <c r="D850" s="13">
        <f>IFERROR(__xludf.DUMMYFUNCTION("GOOGLEFINANCE(B850,""price"")"),625.3)</f>
        <v>625.3</v>
      </c>
      <c r="E850" s="14">
        <f>IFERROR(__xludf.DUMMYFUNCTION("GOOGLEFINANCE(B850,""Volume"")"),47480.0)</f>
        <v>47480</v>
      </c>
      <c r="F850" s="14">
        <f t="array" ref="F850">F849</f>
        <v>14</v>
      </c>
      <c r="G850" s="15" t="str">
        <f>IFERROR(__xludf.DUMMYFUNCTION("IF(E850&gt;AVERAGE(INDEX(GOOGLEFINANCE(B850,""volume"",WORKDAY(TODAY(),-$F$1),TODAY()),,2)),""Breakout"","""")"),"")</f>
        <v/>
      </c>
      <c r="H850" s="16">
        <f>IFERROR(__xludf.DUMMYFUNCTION("GOOGLEFINANCE(B850,""price"")"),625.3)</f>
        <v>625.3</v>
      </c>
      <c r="I850" s="17">
        <f>IFERROR(__xludf.DUMMYFUNCTION("AVERAGE(QUERY(SORT(GOOGLEFINANCE(B850,""price"",TODAY()-365,TODAY()),1,0),""select Col2 limit 10""))"),662.9100000000001)</f>
        <v>662.91</v>
      </c>
      <c r="J850" s="17">
        <f>IFERROR(__xludf.DUMMYFUNCTION("AVERAGE(QUERY(SORT(GOOGLEFINANCE(B850,""price"",TODAY()-365,TODAY()),1,0),""select Col2 limit 30""))"),667.7800000000001)</f>
        <v>667.78</v>
      </c>
      <c r="K850" s="18">
        <f>IFERROR(__xludf.DUMMYFUNCTION("AVERAGE(QUERY(SORT(GOOGLEFINANCE(B850,""price"",TODAY()-365,TODAY()),1,0),""select Col2 limit 60""))"),657.7249999999999)</f>
        <v>657.725</v>
      </c>
      <c r="L850" s="17">
        <f>IFERROR(__xludf.DUMMYFUNCTION("AVERAGE(QUERY(SORT(GOOGLEFINANCE(B850,""price"",TODAY()-365,TODAY()),1,0),""select Col2 limit 90""))"),633.0322222222222)</f>
        <v>633.0322222</v>
      </c>
      <c r="M850" s="17">
        <f>IFERROR(__xludf.DUMMYFUNCTION("AVERAGE(QUERY(SORT(GOOGLEFINANCE(B850,""price"",TODAY()-365,TODAY()),1,0),""select Col2 limit 120""))"),609.0883333333333)</f>
        <v>609.0883333</v>
      </c>
      <c r="N850" s="19">
        <f>IFERROR(__xludf.DUMMYFUNCTION("AVERAGE(QUERY(SORT(GOOGLEFINANCE(B850,""price"",TODAY()-365,TODAY()),1,0),""select Col2 limit 200""))"),664.678)</f>
        <v>664.678</v>
      </c>
      <c r="O850" s="20" t="str">
        <f t="shared" si="2"/>
        <v>Avoid</v>
      </c>
      <c r="P850" s="21" t="str">
        <f t="shared" si="3"/>
        <v/>
      </c>
      <c r="Q850" s="21" t="str">
        <f t="shared" si="4"/>
        <v/>
      </c>
      <c r="R850" s="22">
        <f>IFERROR(__xludf.DUMMYFUNCTION("GOOGLEFINANCE(B850, ""pe"")
"),34.02)</f>
        <v>34.02</v>
      </c>
    </row>
    <row r="851">
      <c r="A851" s="9" t="s">
        <v>861</v>
      </c>
      <c r="B851" s="11" t="str">
        <f t="shared" si="1"/>
        <v>NSE:SOTL</v>
      </c>
      <c r="C851" s="12">
        <f>IFERROR(__xludf.DUMMYFUNCTION("GOOGLEFINANCE(B851,""marketcap"")/10000000"),2753.386509)</f>
        <v>2753.386509</v>
      </c>
      <c r="D851" s="13">
        <f>IFERROR(__xludf.DUMMYFUNCTION("GOOGLEFINANCE(B851,""price"")"),401.5)</f>
        <v>401.5</v>
      </c>
      <c r="E851" s="14">
        <f>IFERROR(__xludf.DUMMYFUNCTION("GOOGLEFINANCE(B851,""Volume"")"),10419.0)</f>
        <v>10419</v>
      </c>
      <c r="F851" s="14">
        <f t="array" ref="F851">F850</f>
        <v>14</v>
      </c>
      <c r="G851" s="15" t="str">
        <f>IFERROR(__xludf.DUMMYFUNCTION("IF(E851&gt;AVERAGE(INDEX(GOOGLEFINANCE(B851,""volume"",WORKDAY(TODAY(),-$F$1),TODAY()),,2)),""Breakout"","""")"),"")</f>
        <v/>
      </c>
      <c r="H851" s="16">
        <f>IFERROR(__xludf.DUMMYFUNCTION("GOOGLEFINANCE(B851,""price"")"),401.5)</f>
        <v>401.5</v>
      </c>
      <c r="I851" s="17">
        <f>IFERROR(__xludf.DUMMYFUNCTION("AVERAGE(QUERY(SORT(GOOGLEFINANCE(B851,""price"",TODAY()-365,TODAY()),1,0),""select Col2 limit 10""))"),414.445)</f>
        <v>414.445</v>
      </c>
      <c r="J851" s="17">
        <f>IFERROR(__xludf.DUMMYFUNCTION("AVERAGE(QUERY(SORT(GOOGLEFINANCE(B851,""price"",TODAY()-365,TODAY()),1,0),""select Col2 limit 30""))"),420.2916666666667)</f>
        <v>420.2916667</v>
      </c>
      <c r="K851" s="18">
        <f>IFERROR(__xludf.DUMMYFUNCTION("AVERAGE(QUERY(SORT(GOOGLEFINANCE(B851,""price"",TODAY()-365,TODAY()),1,0),""select Col2 limit 60""))"),410.8175)</f>
        <v>410.8175</v>
      </c>
      <c r="L851" s="17">
        <f>IFERROR(__xludf.DUMMYFUNCTION("AVERAGE(QUERY(SORT(GOOGLEFINANCE(B851,""price"",TODAY()-365,TODAY()),1,0),""select Col2 limit 90""))"),400.8894444444444)</f>
        <v>400.8894444</v>
      </c>
      <c r="M851" s="17">
        <f>IFERROR(__xludf.DUMMYFUNCTION("AVERAGE(QUERY(SORT(GOOGLEFINANCE(B851,""price"",TODAY()-365,TODAY()),1,0),""select Col2 limit 120""))"),405.2608333333333)</f>
        <v>405.2608333</v>
      </c>
      <c r="N851" s="19">
        <f>IFERROR(__xludf.DUMMYFUNCTION("AVERAGE(QUERY(SORT(GOOGLEFINANCE(B851,""price"",TODAY()-365,TODAY()),1,0),""select Col2 limit 200""))"),454.44899999999996)</f>
        <v>454.449</v>
      </c>
      <c r="O851" s="20" t="str">
        <f t="shared" si="2"/>
        <v>Avoid</v>
      </c>
      <c r="P851" s="21" t="str">
        <f t="shared" si="3"/>
        <v>120 DMA</v>
      </c>
      <c r="Q851" s="21" t="str">
        <f t="shared" si="4"/>
        <v/>
      </c>
      <c r="R851" s="22">
        <f>IFERROR(__xludf.DUMMYFUNCTION("GOOGLEFINANCE(B851, ""pe"")
"),24.44)</f>
        <v>24.44</v>
      </c>
    </row>
    <row r="852">
      <c r="A852" s="9" t="s">
        <v>862</v>
      </c>
      <c r="B852" s="11" t="str">
        <f t="shared" si="1"/>
        <v>NSE:BANARISUG</v>
      </c>
      <c r="C852" s="12">
        <f>IFERROR(__xludf.DUMMYFUNCTION("GOOGLEFINANCE(B852,""marketcap"")/10000000"),4727.46313)</f>
        <v>4727.46313</v>
      </c>
      <c r="D852" s="13">
        <f>IFERROR(__xludf.DUMMYFUNCTION("GOOGLEFINANCE(B852,""price"")"),3770.0)</f>
        <v>3770</v>
      </c>
      <c r="E852" s="14">
        <f>IFERROR(__xludf.DUMMYFUNCTION("GOOGLEFINANCE(B852,""Volume"")"),860.0)</f>
        <v>860</v>
      </c>
      <c r="F852" s="14">
        <f t="array" ref="F852">F851</f>
        <v>14</v>
      </c>
      <c r="G852" s="15" t="str">
        <f>IFERROR(__xludf.DUMMYFUNCTION("IF(E852&gt;AVERAGE(INDEX(GOOGLEFINANCE(B852,""volume"",WORKDAY(TODAY(),-$F$1),TODAY()),,2)),""Breakout"","""")"),"")</f>
        <v/>
      </c>
      <c r="H852" s="16">
        <f>IFERROR(__xludf.DUMMYFUNCTION("GOOGLEFINANCE(B852,""price"")"),3770.0)</f>
        <v>3770</v>
      </c>
      <c r="I852" s="17">
        <f>IFERROR(__xludf.DUMMYFUNCTION("AVERAGE(QUERY(SORT(GOOGLEFINANCE(B852,""price"",TODAY()-365,TODAY()),1,0),""select Col2 limit 10""))"),3760.0700000000006)</f>
        <v>3760.07</v>
      </c>
      <c r="J852" s="17">
        <f>IFERROR(__xludf.DUMMYFUNCTION("AVERAGE(QUERY(SORT(GOOGLEFINANCE(B852,""price"",TODAY()-365,TODAY()),1,0),""select Col2 limit 30""))"),3848.893333333334)</f>
        <v>3848.893333</v>
      </c>
      <c r="K852" s="18">
        <f>IFERROR(__xludf.DUMMYFUNCTION("AVERAGE(QUERY(SORT(GOOGLEFINANCE(B852,""price"",TODAY()-365,TODAY()),1,0),""select Col2 limit 60""))"),3977.536666666667)</f>
        <v>3977.536667</v>
      </c>
      <c r="L852" s="17">
        <f>IFERROR(__xludf.DUMMYFUNCTION("AVERAGE(QUERY(SORT(GOOGLEFINANCE(B852,""price"",TODAY()-365,TODAY()),1,0),""select Col2 limit 90""))"),3914.8061111111115)</f>
        <v>3914.806111</v>
      </c>
      <c r="M852" s="17">
        <f>IFERROR(__xludf.DUMMYFUNCTION("AVERAGE(QUERY(SORT(GOOGLEFINANCE(B852,""price"",TODAY()-365,TODAY()),1,0),""select Col2 limit 120""))"),3804.142916666667)</f>
        <v>3804.142917</v>
      </c>
      <c r="N852" s="19">
        <f>IFERROR(__xludf.DUMMYFUNCTION("AVERAGE(QUERY(SORT(GOOGLEFINANCE(B852,""price"",TODAY()-365,TODAY()),1,0),""select Col2 limit 200""))"),3736.44075)</f>
        <v>3736.44075</v>
      </c>
      <c r="O852" s="20" t="str">
        <f t="shared" si="2"/>
        <v>Avoid</v>
      </c>
      <c r="P852" s="21" t="str">
        <f t="shared" si="3"/>
        <v>120 DMA</v>
      </c>
      <c r="Q852" s="21" t="str">
        <f t="shared" si="4"/>
        <v/>
      </c>
      <c r="R852" s="22">
        <f>IFERROR(__xludf.DUMMYFUNCTION("GOOGLEFINANCE(B852, ""pe"")
"),45.17)</f>
        <v>45.17</v>
      </c>
    </row>
    <row r="853">
      <c r="A853" s="9" t="s">
        <v>863</v>
      </c>
      <c r="B853" s="11" t="str">
        <f t="shared" si="1"/>
        <v>NSE:PITTIENG</v>
      </c>
      <c r="C853" s="12">
        <f>IFERROR(__xludf.DUMMYFUNCTION("GOOGLEFINANCE(B853,""marketcap"")/10000000"),3450.3849589)</f>
        <v>3450.384959</v>
      </c>
      <c r="D853" s="13">
        <f>IFERROR(__xludf.DUMMYFUNCTION("GOOGLEFINANCE(B853,""price"")"),925.6)</f>
        <v>925.6</v>
      </c>
      <c r="E853" s="14">
        <f>IFERROR(__xludf.DUMMYFUNCTION("GOOGLEFINANCE(B853,""Volume"")"),111047.0)</f>
        <v>111047</v>
      </c>
      <c r="F853" s="14">
        <f t="array" ref="F853">F852</f>
        <v>14</v>
      </c>
      <c r="G853" s="15" t="str">
        <f>IFERROR(__xludf.DUMMYFUNCTION("IF(E853&gt;AVERAGE(INDEX(GOOGLEFINANCE(B853,""volume"",WORKDAY(TODAY(),-$F$1),TODAY()),,2)),""Breakout"","""")"),"")</f>
        <v/>
      </c>
      <c r="H853" s="16">
        <f>IFERROR(__xludf.DUMMYFUNCTION("GOOGLEFINANCE(B853,""price"")"),925.6)</f>
        <v>925.6</v>
      </c>
      <c r="I853" s="17">
        <f>IFERROR(__xludf.DUMMYFUNCTION("AVERAGE(QUERY(SORT(GOOGLEFINANCE(B853,""price"",TODAY()-365,TODAY()),1,0),""select Col2 limit 10""))"),976.1099999999999)</f>
        <v>976.11</v>
      </c>
      <c r="J853" s="17">
        <f>IFERROR(__xludf.DUMMYFUNCTION("AVERAGE(QUERY(SORT(GOOGLEFINANCE(B853,""price"",TODAY()-365,TODAY()),1,0),""select Col2 limit 30""))"),973.703333333333)</f>
        <v>973.7033333</v>
      </c>
      <c r="K853" s="18">
        <f>IFERROR(__xludf.DUMMYFUNCTION("AVERAGE(QUERY(SORT(GOOGLEFINANCE(B853,""price"",TODAY()-365,TODAY()),1,0),""select Col2 limit 60""))"),977.7774999999997)</f>
        <v>977.7775</v>
      </c>
      <c r="L853" s="17">
        <f>IFERROR(__xludf.DUMMYFUNCTION("AVERAGE(QUERY(SORT(GOOGLEFINANCE(B853,""price"",TODAY()-365,TODAY()),1,0),""select Col2 limit 90""))"),986.2305555555547)</f>
        <v>986.2305556</v>
      </c>
      <c r="M853" s="17">
        <f>IFERROR(__xludf.DUMMYFUNCTION("AVERAGE(QUERY(SORT(GOOGLEFINANCE(B853,""price"",TODAY()-365,TODAY()),1,0),""select Col2 limit 120""))"),985.3412499999996)</f>
        <v>985.34125</v>
      </c>
      <c r="N853" s="19">
        <f>IFERROR(__xludf.DUMMYFUNCTION("AVERAGE(QUERY(SORT(GOOGLEFINANCE(B853,""price"",TODAY()-365,TODAY()),1,0),""select Col2 limit 200""))"),1122.232)</f>
        <v>1122.232</v>
      </c>
      <c r="O853" s="20" t="str">
        <f t="shared" si="2"/>
        <v>Avoid</v>
      </c>
      <c r="P853" s="21" t="str">
        <f t="shared" si="3"/>
        <v/>
      </c>
      <c r="Q853" s="21" t="str">
        <f t="shared" si="4"/>
        <v/>
      </c>
      <c r="R853" s="22">
        <f>IFERROR(__xludf.DUMMYFUNCTION("GOOGLEFINANCE(B853, ""pe"")
"),27.78)</f>
        <v>27.78</v>
      </c>
    </row>
    <row r="854">
      <c r="A854" s="9" t="s">
        <v>864</v>
      </c>
      <c r="B854" s="11" t="str">
        <f t="shared" si="1"/>
        <v>NSE:MUTHOOTMF</v>
      </c>
      <c r="C854" s="12">
        <f>IFERROR(__xludf.DUMMYFUNCTION("GOOGLEFINANCE(B854,""marketcap"")/10000000"),2798.87825)</f>
        <v>2798.87825</v>
      </c>
      <c r="D854" s="13">
        <f>IFERROR(__xludf.DUMMYFUNCTION("GOOGLEFINANCE(B854,""price"")"),165.25)</f>
        <v>165.25</v>
      </c>
      <c r="E854" s="14">
        <f>IFERROR(__xludf.DUMMYFUNCTION("GOOGLEFINANCE(B854,""Volume"")"),121790.0)</f>
        <v>121790</v>
      </c>
      <c r="F854" s="14">
        <f t="array" ref="F854">F853</f>
        <v>14</v>
      </c>
      <c r="G854" s="15" t="str">
        <f>IFERROR(__xludf.DUMMYFUNCTION("IF(E854&gt;AVERAGE(INDEX(GOOGLEFINANCE(B854,""volume"",WORKDAY(TODAY(),-$F$1),TODAY()),,2)),""Breakout"","""")"),"")</f>
        <v/>
      </c>
      <c r="H854" s="16">
        <f>IFERROR(__xludf.DUMMYFUNCTION("GOOGLEFINANCE(B854,""price"")"),165.25)</f>
        <v>165.25</v>
      </c>
      <c r="I854" s="17">
        <f>IFERROR(__xludf.DUMMYFUNCTION("AVERAGE(QUERY(SORT(GOOGLEFINANCE(B854,""price"",TODAY()-365,TODAY()),1,0),""select Col2 limit 10""))"),167.78799999999998)</f>
        <v>167.788</v>
      </c>
      <c r="J854" s="17">
        <f>IFERROR(__xludf.DUMMYFUNCTION("AVERAGE(QUERY(SORT(GOOGLEFINANCE(B854,""price"",TODAY()-365,TODAY()),1,0),""select Col2 limit 30""))"),150.69933333333336)</f>
        <v>150.6993333</v>
      </c>
      <c r="K854" s="18">
        <f>IFERROR(__xludf.DUMMYFUNCTION("AVERAGE(QUERY(SORT(GOOGLEFINANCE(B854,""price"",TODAY()-365,TODAY()),1,0),""select Col2 limit 60""))"),141.65450000000007)</f>
        <v>141.6545</v>
      </c>
      <c r="L854" s="17">
        <f>IFERROR(__xludf.DUMMYFUNCTION("AVERAGE(QUERY(SORT(GOOGLEFINANCE(B854,""price"",TODAY()-365,TODAY()),1,0),""select Col2 limit 90""))"),140.9447777777778)</f>
        <v>140.9447778</v>
      </c>
      <c r="M854" s="17">
        <f>IFERROR(__xludf.DUMMYFUNCTION("AVERAGE(QUERY(SORT(GOOGLEFINANCE(B854,""price"",TODAY()-365,TODAY()),1,0),""select Col2 limit 120""))"),141.00691666666668)</f>
        <v>141.0069167</v>
      </c>
      <c r="N854" s="19">
        <f>IFERROR(__xludf.DUMMYFUNCTION("AVERAGE(QUERY(SORT(GOOGLEFINANCE(B854,""price"",TODAY()-365,TODAY()),1,0),""select Col2 limit 200""))"),160.8764)</f>
        <v>160.8764</v>
      </c>
      <c r="O854" s="20" t="str">
        <f t="shared" si="2"/>
        <v>Avoid</v>
      </c>
      <c r="P854" s="21" t="str">
        <f t="shared" si="3"/>
        <v/>
      </c>
      <c r="Q854" s="21" t="str">
        <f t="shared" si="4"/>
        <v/>
      </c>
      <c r="R854" s="22" t="str">
        <f>IFERROR(__xludf.DUMMYFUNCTION("GOOGLEFINANCE(B854, ""pe"")
"),"#N/A")</f>
        <v>#N/A</v>
      </c>
    </row>
    <row r="855">
      <c r="A855" s="9" t="s">
        <v>865</v>
      </c>
      <c r="B855" s="11" t="str">
        <f t="shared" si="1"/>
        <v>NSE:UFLEX</v>
      </c>
      <c r="C855" s="12">
        <f>IFERROR(__xludf.DUMMYFUNCTION("GOOGLEFINANCE(B855,""marketcap"")/10000000"),4248.5628378)</f>
        <v>4248.562838</v>
      </c>
      <c r="D855" s="13">
        <f>IFERROR(__xludf.DUMMYFUNCTION("GOOGLEFINANCE(B855,""price"")"),588.35)</f>
        <v>588.35</v>
      </c>
      <c r="E855" s="14">
        <f>IFERROR(__xludf.DUMMYFUNCTION("GOOGLEFINANCE(B855,""Volume"")"),6936.0)</f>
        <v>6936</v>
      </c>
      <c r="F855" s="14">
        <f t="array" ref="F855">F854</f>
        <v>14</v>
      </c>
      <c r="G855" s="15" t="str">
        <f>IFERROR(__xludf.DUMMYFUNCTION("IF(E855&gt;AVERAGE(INDEX(GOOGLEFINANCE(B855,""volume"",WORKDAY(TODAY(),-$F$1),TODAY()),,2)),""Breakout"","""")"),"")</f>
        <v/>
      </c>
      <c r="H855" s="16">
        <f>IFERROR(__xludf.DUMMYFUNCTION("GOOGLEFINANCE(B855,""price"")"),588.35)</f>
        <v>588.35</v>
      </c>
      <c r="I855" s="17">
        <f>IFERROR(__xludf.DUMMYFUNCTION("AVERAGE(QUERY(SORT(GOOGLEFINANCE(B855,""price"",TODAY()-365,TODAY()),1,0),""select Col2 limit 10""))"),598.925)</f>
        <v>598.925</v>
      </c>
      <c r="J855" s="17">
        <f>IFERROR(__xludf.DUMMYFUNCTION("AVERAGE(QUERY(SORT(GOOGLEFINANCE(B855,""price"",TODAY()-365,TODAY()),1,0),""select Col2 limit 30""))"),601.7099999999999)</f>
        <v>601.71</v>
      </c>
      <c r="K855" s="18">
        <f>IFERROR(__xludf.DUMMYFUNCTION("AVERAGE(QUERY(SORT(GOOGLEFINANCE(B855,""price"",TODAY()-365,TODAY()),1,0),""select Col2 limit 60""))"),601.3433333333334)</f>
        <v>601.3433333</v>
      </c>
      <c r="L855" s="17">
        <f>IFERROR(__xludf.DUMMYFUNCTION("AVERAGE(QUERY(SORT(GOOGLEFINANCE(B855,""price"",TODAY()-365,TODAY()),1,0),""select Col2 limit 90""))"),573.2783333333333)</f>
        <v>573.2783333</v>
      </c>
      <c r="M855" s="17">
        <f>IFERROR(__xludf.DUMMYFUNCTION("AVERAGE(QUERY(SORT(GOOGLEFINANCE(B855,""price"",TODAY()-365,TODAY()),1,0),""select Col2 limit 120""))"),546.8670833333334)</f>
        <v>546.8670833</v>
      </c>
      <c r="N855" s="19">
        <f>IFERROR(__xludf.DUMMYFUNCTION("AVERAGE(QUERY(SORT(GOOGLEFINANCE(B855,""price"",TODAY()-365,TODAY()),1,0),""select Col2 limit 200""))"),553.6012499999998)</f>
        <v>553.60125</v>
      </c>
      <c r="O855" s="20" t="str">
        <f t="shared" si="2"/>
        <v>Avoid</v>
      </c>
      <c r="P855" s="21" t="str">
        <f t="shared" si="3"/>
        <v/>
      </c>
      <c r="Q855" s="21" t="str">
        <f t="shared" si="4"/>
        <v/>
      </c>
      <c r="R855" s="22">
        <f>IFERROR(__xludf.DUMMYFUNCTION("GOOGLEFINANCE(B855, ""pe"")
"),29.85)</f>
        <v>29.85</v>
      </c>
    </row>
    <row r="856">
      <c r="A856" s="9" t="s">
        <v>866</v>
      </c>
      <c r="B856" s="11" t="str">
        <f t="shared" si="1"/>
        <v>NSE:NUCLEUS</v>
      </c>
      <c r="C856" s="12">
        <f>IFERROR(__xludf.DUMMYFUNCTION("GOOGLEFINANCE(B856,""marketcap"")/10000000"),2729.1437224)</f>
        <v>2729.143722</v>
      </c>
      <c r="D856" s="13">
        <f>IFERROR(__xludf.DUMMYFUNCTION("GOOGLEFINANCE(B856,""price"")"),1039.7)</f>
        <v>1039.7</v>
      </c>
      <c r="E856" s="14">
        <f>IFERROR(__xludf.DUMMYFUNCTION("GOOGLEFINANCE(B856,""Volume"")"),10748.0)</f>
        <v>10748</v>
      </c>
      <c r="F856" s="14">
        <f t="array" ref="F856">F855</f>
        <v>14</v>
      </c>
      <c r="G856" s="15" t="str">
        <f>IFERROR(__xludf.DUMMYFUNCTION("IF(E856&gt;AVERAGE(INDEX(GOOGLEFINANCE(B856,""volume"",WORKDAY(TODAY(),-$F$1),TODAY()),,2)),""Breakout"","""")"),"")</f>
        <v/>
      </c>
      <c r="H856" s="16">
        <f>IFERROR(__xludf.DUMMYFUNCTION("GOOGLEFINANCE(B856,""price"")"),1039.7)</f>
        <v>1039.7</v>
      </c>
      <c r="I856" s="17">
        <f>IFERROR(__xludf.DUMMYFUNCTION("AVERAGE(QUERY(SORT(GOOGLEFINANCE(B856,""price"",TODAY()-365,TODAY()),1,0),""select Col2 limit 10""))"),1105.94)</f>
        <v>1105.94</v>
      </c>
      <c r="J856" s="17">
        <f>IFERROR(__xludf.DUMMYFUNCTION("AVERAGE(QUERY(SORT(GOOGLEFINANCE(B856,""price"",TODAY()-365,TODAY()),1,0),""select Col2 limit 30""))"),1151.6033333333335)</f>
        <v>1151.603333</v>
      </c>
      <c r="K856" s="18">
        <f>IFERROR(__xludf.DUMMYFUNCTION("AVERAGE(QUERY(SORT(GOOGLEFINANCE(B856,""price"",TODAY()-365,TODAY()),1,0),""select Col2 limit 60""))"),1151.553333333334)</f>
        <v>1151.553333</v>
      </c>
      <c r="L856" s="17">
        <f>IFERROR(__xludf.DUMMYFUNCTION("AVERAGE(QUERY(SORT(GOOGLEFINANCE(B856,""price"",TODAY()-365,TODAY()),1,0),""select Col2 limit 90""))"),1049.683333333334)</f>
        <v>1049.683333</v>
      </c>
      <c r="M856" s="17">
        <f>IFERROR(__xludf.DUMMYFUNCTION("AVERAGE(QUERY(SORT(GOOGLEFINANCE(B856,""price"",TODAY()-365,TODAY()),1,0),""select Col2 limit 120""))"),1003.5491666666674)</f>
        <v>1003.549167</v>
      </c>
      <c r="N856" s="19">
        <f>IFERROR(__xludf.DUMMYFUNCTION("AVERAGE(QUERY(SORT(GOOGLEFINANCE(B856,""price"",TODAY()-365,TODAY()),1,0),""select Col2 limit 200""))"),1050.7740000000006)</f>
        <v>1050.774</v>
      </c>
      <c r="O856" s="20" t="str">
        <f t="shared" si="2"/>
        <v>Avoid</v>
      </c>
      <c r="P856" s="21" t="str">
        <f t="shared" si="3"/>
        <v>90 DMA</v>
      </c>
      <c r="Q856" s="21" t="str">
        <f t="shared" si="4"/>
        <v/>
      </c>
      <c r="R856" s="22">
        <f>IFERROR(__xludf.DUMMYFUNCTION("GOOGLEFINANCE(B856, ""pe"")
"),16.9)</f>
        <v>16.9</v>
      </c>
    </row>
    <row r="857">
      <c r="A857" s="9" t="s">
        <v>867</v>
      </c>
      <c r="B857" s="11" t="str">
        <f t="shared" si="1"/>
        <v>NSE:MEDIASSIST</v>
      </c>
      <c r="C857" s="12">
        <f>IFERROR(__xludf.DUMMYFUNCTION("GOOGLEFINANCE(B857,""marketcap"")/10000000"),3702.8981705)</f>
        <v>3702.898171</v>
      </c>
      <c r="D857" s="13">
        <f>IFERROR(__xludf.DUMMYFUNCTION("GOOGLEFINANCE(B857,""price"")"),524.95)</f>
        <v>524.95</v>
      </c>
      <c r="E857" s="14">
        <f>IFERROR(__xludf.DUMMYFUNCTION("GOOGLEFINANCE(B857,""Volume"")"),55131.0)</f>
        <v>55131</v>
      </c>
      <c r="F857" s="14">
        <f t="array" ref="F857">F856</f>
        <v>14</v>
      </c>
      <c r="G857" s="15" t="str">
        <f>IFERROR(__xludf.DUMMYFUNCTION("IF(E857&gt;AVERAGE(INDEX(GOOGLEFINANCE(B857,""volume"",WORKDAY(TODAY(),-$F$1),TODAY()),,2)),""Breakout"","""")"),"")</f>
        <v/>
      </c>
      <c r="H857" s="16">
        <f>IFERROR(__xludf.DUMMYFUNCTION("GOOGLEFINANCE(B857,""price"")"),524.95)</f>
        <v>524.95</v>
      </c>
      <c r="I857" s="17">
        <f>IFERROR(__xludf.DUMMYFUNCTION("AVERAGE(QUERY(SORT(GOOGLEFINANCE(B857,""price"",TODAY()-365,TODAY()),1,0),""select Col2 limit 10""))"),548.8300000000002)</f>
        <v>548.83</v>
      </c>
      <c r="J857" s="17">
        <f>IFERROR(__xludf.DUMMYFUNCTION("AVERAGE(QUERY(SORT(GOOGLEFINANCE(B857,""price"",TODAY()-365,TODAY()),1,0),""select Col2 limit 30""))"),526.2183333333335)</f>
        <v>526.2183333</v>
      </c>
      <c r="K857" s="18">
        <f>IFERROR(__xludf.DUMMYFUNCTION("AVERAGE(QUERY(SORT(GOOGLEFINANCE(B857,""price"",TODAY()-365,TODAY()),1,0),""select Col2 limit 60""))"),504.16749999999996)</f>
        <v>504.1675</v>
      </c>
      <c r="L857" s="17">
        <f>IFERROR(__xludf.DUMMYFUNCTION("AVERAGE(QUERY(SORT(GOOGLEFINANCE(B857,""price"",TODAY()-365,TODAY()),1,0),""select Col2 limit 90""))"),486.81944444444434)</f>
        <v>486.8194444</v>
      </c>
      <c r="M857" s="17">
        <f>IFERROR(__xludf.DUMMYFUNCTION("AVERAGE(QUERY(SORT(GOOGLEFINANCE(B857,""price"",TODAY()-365,TODAY()),1,0),""select Col2 limit 120""))"),487.87041666666664)</f>
        <v>487.8704167</v>
      </c>
      <c r="N857" s="19">
        <f>IFERROR(__xludf.DUMMYFUNCTION("AVERAGE(QUERY(SORT(GOOGLEFINANCE(B857,""price"",TODAY()-365,TODAY()),1,0),""select Col2 limit 200""))"),534.6902500000001)</f>
        <v>534.69025</v>
      </c>
      <c r="O857" s="20" t="str">
        <f t="shared" si="2"/>
        <v>Avoid</v>
      </c>
      <c r="P857" s="21" t="str">
        <f t="shared" si="3"/>
        <v>30 DMA</v>
      </c>
      <c r="Q857" s="21" t="str">
        <f t="shared" si="4"/>
        <v/>
      </c>
      <c r="R857" s="22">
        <f>IFERROR(__xludf.DUMMYFUNCTION("GOOGLEFINANCE(B857, ""pe"")
"),40.97)</f>
        <v>40.97</v>
      </c>
    </row>
    <row r="858">
      <c r="A858" s="9" t="s">
        <v>868</v>
      </c>
      <c r="B858" s="11" t="str">
        <f t="shared" si="1"/>
        <v>NSE:PARKHOTELS</v>
      </c>
      <c r="C858" s="12">
        <f>IFERROR(__xludf.DUMMYFUNCTION("GOOGLEFINANCE(B858,""marketcap"")/10000000"),3266.9723892)</f>
        <v>3266.972389</v>
      </c>
      <c r="D858" s="13">
        <f>IFERROR(__xludf.DUMMYFUNCTION("GOOGLEFINANCE(B858,""price"")"),153.1)</f>
        <v>153.1</v>
      </c>
      <c r="E858" s="14">
        <f>IFERROR(__xludf.DUMMYFUNCTION("GOOGLEFINANCE(B858,""Volume"")"),515953.0)</f>
        <v>515953</v>
      </c>
      <c r="F858" s="14">
        <f t="array" ref="F858">F857</f>
        <v>14</v>
      </c>
      <c r="G858" s="15" t="str">
        <f>IFERROR(__xludf.DUMMYFUNCTION("IF(E858&gt;AVERAGE(INDEX(GOOGLEFINANCE(B858,""volume"",WORKDAY(TODAY(),-$F$1),TODAY()),,2)),""Breakout"","""")"),"")</f>
        <v/>
      </c>
      <c r="H858" s="16">
        <f>IFERROR(__xludf.DUMMYFUNCTION("GOOGLEFINANCE(B858,""price"")"),153.1)</f>
        <v>153.1</v>
      </c>
      <c r="I858" s="17">
        <f>IFERROR(__xludf.DUMMYFUNCTION("AVERAGE(QUERY(SORT(GOOGLEFINANCE(B858,""price"",TODAY()-365,TODAY()),1,0),""select Col2 limit 10""))"),160.11900000000003)</f>
        <v>160.119</v>
      </c>
      <c r="J858" s="17">
        <f>IFERROR(__xludf.DUMMYFUNCTION("AVERAGE(QUERY(SORT(GOOGLEFINANCE(B858,""price"",TODAY()-365,TODAY()),1,0),""select Col2 limit 30""))"),161.34133333333338)</f>
        <v>161.3413333</v>
      </c>
      <c r="K858" s="18">
        <f>IFERROR(__xludf.DUMMYFUNCTION("AVERAGE(QUERY(SORT(GOOGLEFINANCE(B858,""price"",TODAY()-365,TODAY()),1,0),""select Col2 limit 60""))"),158.2855)</f>
        <v>158.2855</v>
      </c>
      <c r="L858" s="17">
        <f>IFERROR(__xludf.DUMMYFUNCTION("AVERAGE(QUERY(SORT(GOOGLEFINANCE(B858,""price"",TODAY()-365,TODAY()),1,0),""select Col2 limit 90""))"),155.36788888888893)</f>
        <v>155.3678889</v>
      </c>
      <c r="M858" s="17">
        <f>IFERROR(__xludf.DUMMYFUNCTION("AVERAGE(QUERY(SORT(GOOGLEFINANCE(B858,""price"",TODAY()-365,TODAY()),1,0),""select Col2 limit 120""))"),157.5165833333334)</f>
        <v>157.5165833</v>
      </c>
      <c r="N858" s="19">
        <f>IFERROR(__xludf.DUMMYFUNCTION("AVERAGE(QUERY(SORT(GOOGLEFINANCE(B858,""price"",TODAY()-365,TODAY()),1,0),""select Col2 limit 200""))"),163.27349999999996)</f>
        <v>163.2735</v>
      </c>
      <c r="O858" s="20" t="str">
        <f t="shared" si="2"/>
        <v>Avoid</v>
      </c>
      <c r="P858" s="21" t="str">
        <f t="shared" si="3"/>
        <v/>
      </c>
      <c r="Q858" s="21" t="str">
        <f t="shared" si="4"/>
        <v/>
      </c>
      <c r="R858" s="22">
        <f>IFERROR(__xludf.DUMMYFUNCTION("GOOGLEFINANCE(B858, ""pe"")
"),31.78)</f>
        <v>31.78</v>
      </c>
    </row>
    <row r="859">
      <c r="A859" s="9" t="s">
        <v>869</v>
      </c>
      <c r="B859" s="11" t="str">
        <f t="shared" si="1"/>
        <v>NSE:CARTRADE</v>
      </c>
      <c r="C859" s="12">
        <f>IFERROR(__xludf.DUMMYFUNCTION("GOOGLEFINANCE(B859,""marketcap"")/10000000"),9957.133872)</f>
        <v>9957.133872</v>
      </c>
      <c r="D859" s="13">
        <f>IFERROR(__xludf.DUMMYFUNCTION("GOOGLEFINANCE(B859,""price"")"),2092.1)</f>
        <v>2092.1</v>
      </c>
      <c r="E859" s="14">
        <f>IFERROR(__xludf.DUMMYFUNCTION("GOOGLEFINANCE(B859,""Volume"")"),2840984.0)</f>
        <v>2840984</v>
      </c>
      <c r="F859" s="14">
        <f t="array" ref="F859">F858</f>
        <v>14</v>
      </c>
      <c r="G859" s="15" t="str">
        <f>IFERROR(__xludf.DUMMYFUNCTION("IF(E859&gt;AVERAGE(INDEX(GOOGLEFINANCE(B859,""volume"",WORKDAY(TODAY(),-$F$1),TODAY()),,2)),""Breakout"","""")"),"Breakout")</f>
        <v>Breakout</v>
      </c>
      <c r="H859" s="16">
        <f>IFERROR(__xludf.DUMMYFUNCTION("GOOGLEFINANCE(B859,""price"")"),2092.1)</f>
        <v>2092.1</v>
      </c>
      <c r="I859" s="17">
        <f>IFERROR(__xludf.DUMMYFUNCTION("AVERAGE(QUERY(SORT(GOOGLEFINANCE(B859,""price"",TODAY()-365,TODAY()),1,0),""select Col2 limit 10""))"),1928.1799999999998)</f>
        <v>1928.18</v>
      </c>
      <c r="J859" s="17">
        <f>IFERROR(__xludf.DUMMYFUNCTION("AVERAGE(QUERY(SORT(GOOGLEFINANCE(B859,""price"",TODAY()-365,TODAY()),1,0),""select Col2 limit 30""))"),1773.7266666666665)</f>
        <v>1773.726667</v>
      </c>
      <c r="K859" s="18">
        <f>IFERROR(__xludf.DUMMYFUNCTION("AVERAGE(QUERY(SORT(GOOGLEFINANCE(B859,""price"",TODAY()-365,TODAY()),1,0),""select Col2 limit 60""))"),1695.1083333333333)</f>
        <v>1695.108333</v>
      </c>
      <c r="L859" s="17">
        <f>IFERROR(__xludf.DUMMYFUNCTION("AVERAGE(QUERY(SORT(GOOGLEFINANCE(B859,""price"",TODAY()-365,TODAY()),1,0),""select Col2 limit 90""))"),1677.6794444444454)</f>
        <v>1677.679444</v>
      </c>
      <c r="M859" s="17">
        <f>IFERROR(__xludf.DUMMYFUNCTION("AVERAGE(QUERY(SORT(GOOGLEFINANCE(B859,""price"",TODAY()-365,TODAY()),1,0),""select Col2 limit 120""))"),1652.1799999999998)</f>
        <v>1652.18</v>
      </c>
      <c r="N859" s="19">
        <f>IFERROR(__xludf.DUMMYFUNCTION("AVERAGE(QUERY(SORT(GOOGLEFINANCE(B859,""price"",TODAY()-365,TODAY()),1,0),""select Col2 limit 200""))"),1511.058)</f>
        <v>1511.058</v>
      </c>
      <c r="O859" s="20" t="str">
        <f t="shared" si="2"/>
        <v>Avoid</v>
      </c>
      <c r="P859" s="21" t="str">
        <f t="shared" si="3"/>
        <v/>
      </c>
      <c r="Q859" s="21" t="str">
        <f t="shared" si="4"/>
        <v/>
      </c>
      <c r="R859" s="22">
        <f>IFERROR(__xludf.DUMMYFUNCTION("GOOGLEFINANCE(B859, ""pe"")
"),79.53)</f>
        <v>79.53</v>
      </c>
    </row>
    <row r="860">
      <c r="A860" s="9" t="s">
        <v>870</v>
      </c>
      <c r="B860" s="11" t="str">
        <f t="shared" si="1"/>
        <v>NSE:GREENPANEL</v>
      </c>
      <c r="C860" s="12">
        <f>IFERROR(__xludf.DUMMYFUNCTION("GOOGLEFINANCE(B860,""marketcap"")/10000000"),3952.2777293)</f>
        <v>3952.277729</v>
      </c>
      <c r="D860" s="13">
        <f>IFERROR(__xludf.DUMMYFUNCTION("GOOGLEFINANCE(B860,""price"")"),322.3)</f>
        <v>322.3</v>
      </c>
      <c r="E860" s="14">
        <f>IFERROR(__xludf.DUMMYFUNCTION("GOOGLEFINANCE(B860,""Volume"")"),608150.0)</f>
        <v>608150</v>
      </c>
      <c r="F860" s="14">
        <f t="array" ref="F860">F859</f>
        <v>14</v>
      </c>
      <c r="G860" s="15" t="str">
        <f>IFERROR(__xludf.DUMMYFUNCTION("IF(E860&gt;AVERAGE(INDEX(GOOGLEFINANCE(B860,""volume"",WORKDAY(TODAY(),-$F$1),TODAY()),,2)),""Breakout"","""")"),"Breakout")</f>
        <v>Breakout</v>
      </c>
      <c r="H860" s="16">
        <f>IFERROR(__xludf.DUMMYFUNCTION("GOOGLEFINANCE(B860,""price"")"),322.3)</f>
        <v>322.3</v>
      </c>
      <c r="I860" s="17">
        <f>IFERROR(__xludf.DUMMYFUNCTION("AVERAGE(QUERY(SORT(GOOGLEFINANCE(B860,""price"",TODAY()-365,TODAY()),1,0),""select Col2 limit 10""))"),298.645)</f>
        <v>298.645</v>
      </c>
      <c r="J860" s="17">
        <f>IFERROR(__xludf.DUMMYFUNCTION("AVERAGE(QUERY(SORT(GOOGLEFINANCE(B860,""price"",TODAY()-365,TODAY()),1,0),""select Col2 limit 30""))"),282.05833333333334)</f>
        <v>282.0583333</v>
      </c>
      <c r="K860" s="18">
        <f>IFERROR(__xludf.DUMMYFUNCTION("AVERAGE(QUERY(SORT(GOOGLEFINANCE(B860,""price"",TODAY()-365,TODAY()),1,0),""select Col2 limit 60""))"),268.1753333333333)</f>
        <v>268.1753333</v>
      </c>
      <c r="L860" s="17">
        <f>IFERROR(__xludf.DUMMYFUNCTION("AVERAGE(QUERY(SORT(GOOGLEFINANCE(B860,""price"",TODAY()-365,TODAY()),1,0),""select Col2 limit 90""))"),256.1277777777777)</f>
        <v>256.1277778</v>
      </c>
      <c r="M860" s="17">
        <f>IFERROR(__xludf.DUMMYFUNCTION("AVERAGE(QUERY(SORT(GOOGLEFINANCE(B860,""price"",TODAY()-365,TODAY()),1,0),""select Col2 limit 120""))"),267.78041666666667)</f>
        <v>267.7804167</v>
      </c>
      <c r="N860" s="19">
        <f>IFERROR(__xludf.DUMMYFUNCTION("AVERAGE(QUERY(SORT(GOOGLEFINANCE(B860,""price"",TODAY()-365,TODAY()),1,0),""select Col2 limit 200""))"),306.8675)</f>
        <v>306.8675</v>
      </c>
      <c r="O860" s="20" t="str">
        <f t="shared" si="2"/>
        <v>Avoid</v>
      </c>
      <c r="P860" s="21" t="str">
        <f t="shared" si="3"/>
        <v/>
      </c>
      <c r="Q860" s="21" t="str">
        <f t="shared" si="4"/>
        <v/>
      </c>
      <c r="R860" s="22">
        <f>IFERROR(__xludf.DUMMYFUNCTION("GOOGLEFINANCE(B860, ""pe"")
"),54.81)</f>
        <v>54.81</v>
      </c>
    </row>
    <row r="861">
      <c r="A861" s="9" t="s">
        <v>871</v>
      </c>
      <c r="B861" s="11" t="str">
        <f t="shared" si="1"/>
        <v>NSE:GREENPLY</v>
      </c>
      <c r="C861" s="12">
        <f>IFERROR(__xludf.DUMMYFUNCTION("GOOGLEFINANCE(B861,""marketcap"")/10000000"),4166.6444792)</f>
        <v>4166.644479</v>
      </c>
      <c r="D861" s="13">
        <f>IFERROR(__xludf.DUMMYFUNCTION("GOOGLEFINANCE(B861,""price"")"),334.1)</f>
        <v>334.1</v>
      </c>
      <c r="E861" s="14">
        <f>IFERROR(__xludf.DUMMYFUNCTION("GOOGLEFINANCE(B861,""Volume"")"),140261.0)</f>
        <v>140261</v>
      </c>
      <c r="F861" s="14">
        <f t="array" ref="F861">F860</f>
        <v>14</v>
      </c>
      <c r="G861" s="15" t="str">
        <f>IFERROR(__xludf.DUMMYFUNCTION("IF(E861&gt;AVERAGE(INDEX(GOOGLEFINANCE(B861,""volume"",WORKDAY(TODAY(),-$F$1),TODAY()),,2)),""Breakout"","""")"),"")</f>
        <v/>
      </c>
      <c r="H861" s="16">
        <f>IFERROR(__xludf.DUMMYFUNCTION("GOOGLEFINANCE(B861,""price"")"),334.1)</f>
        <v>334.1</v>
      </c>
      <c r="I861" s="17">
        <f>IFERROR(__xludf.DUMMYFUNCTION("AVERAGE(QUERY(SORT(GOOGLEFINANCE(B861,""price"",TODAY()-365,TODAY()),1,0),""select Col2 limit 10""))"),326.79499999999996)</f>
        <v>326.795</v>
      </c>
      <c r="J861" s="17">
        <f>IFERROR(__xludf.DUMMYFUNCTION("AVERAGE(QUERY(SORT(GOOGLEFINANCE(B861,""price"",TODAY()-365,TODAY()),1,0),""select Col2 limit 30""))"),318.1516666666666)</f>
        <v>318.1516667</v>
      </c>
      <c r="K861" s="18">
        <f>IFERROR(__xludf.DUMMYFUNCTION("AVERAGE(QUERY(SORT(GOOGLEFINANCE(B861,""price"",TODAY()-365,TODAY()),1,0),""select Col2 limit 60""))"),310.8299999999999)</f>
        <v>310.83</v>
      </c>
      <c r="L861" s="17">
        <f>IFERROR(__xludf.DUMMYFUNCTION("AVERAGE(QUERY(SORT(GOOGLEFINANCE(B861,""price"",TODAY()-365,TODAY()),1,0),""select Col2 limit 90""))"),302.6938888888889)</f>
        <v>302.6938889</v>
      </c>
      <c r="M861" s="17">
        <f>IFERROR(__xludf.DUMMYFUNCTION("AVERAGE(QUERY(SORT(GOOGLEFINANCE(B861,""price"",TODAY()-365,TODAY()),1,0),""select Col2 limit 120""))"),297.17375000000004)</f>
        <v>297.17375</v>
      </c>
      <c r="N861" s="19">
        <f>IFERROR(__xludf.DUMMYFUNCTION("AVERAGE(QUERY(SORT(GOOGLEFINANCE(B861,""price"",TODAY()-365,TODAY()),1,0),""select Col2 limit 200""))"),311.72675)</f>
        <v>311.72675</v>
      </c>
      <c r="O861" s="20" t="str">
        <f t="shared" si="2"/>
        <v>Avoid</v>
      </c>
      <c r="P861" s="21" t="str">
        <f t="shared" si="3"/>
        <v/>
      </c>
      <c r="Q861" s="21" t="str">
        <f t="shared" si="4"/>
        <v/>
      </c>
      <c r="R861" s="22">
        <f>IFERROR(__xludf.DUMMYFUNCTION("GOOGLEFINANCE(B861, ""pe"")
"),45.53)</f>
        <v>45.53</v>
      </c>
    </row>
    <row r="862">
      <c r="A862" s="9" t="s">
        <v>872</v>
      </c>
      <c r="B862" s="11" t="str">
        <f t="shared" si="1"/>
        <v>NSE:JTLIND</v>
      </c>
      <c r="C862" s="12">
        <f>IFERROR(__xludf.DUMMYFUNCTION("GOOGLEFINANCE(B862,""marketcap"")/10000000"),2934.3534574)</f>
        <v>2934.353457</v>
      </c>
      <c r="D862" s="13">
        <f>IFERROR(__xludf.DUMMYFUNCTION("GOOGLEFINANCE(B862,""price"")"),74.67)</f>
        <v>74.67</v>
      </c>
      <c r="E862" s="14">
        <f>IFERROR(__xludf.DUMMYFUNCTION("GOOGLEFINANCE(B862,""Volume"")"),637330.0)</f>
        <v>637330</v>
      </c>
      <c r="F862" s="14">
        <f t="array" ref="F862">F861</f>
        <v>14</v>
      </c>
      <c r="G862" s="15" t="str">
        <f>IFERROR(__xludf.DUMMYFUNCTION("IF(E862&gt;AVERAGE(INDEX(GOOGLEFINANCE(B862,""volume"",WORKDAY(TODAY(),-$F$1),TODAY()),,2)),""Breakout"","""")"),"")</f>
        <v/>
      </c>
      <c r="H862" s="16">
        <f>IFERROR(__xludf.DUMMYFUNCTION("GOOGLEFINANCE(B862,""price"")"),74.67)</f>
        <v>74.67</v>
      </c>
      <c r="I862" s="17">
        <f>IFERROR(__xludf.DUMMYFUNCTION("AVERAGE(QUERY(SORT(GOOGLEFINANCE(B862,""price"",TODAY()-365,TODAY()),1,0),""select Col2 limit 10""))"),79.25300000000001)</f>
        <v>79.253</v>
      </c>
      <c r="J862" s="17">
        <f>IFERROR(__xludf.DUMMYFUNCTION("AVERAGE(QUERY(SORT(GOOGLEFINANCE(B862,""price"",TODAY()-365,TODAY()),1,0),""select Col2 limit 30""))"),78.65566666666669)</f>
        <v>78.65566667</v>
      </c>
      <c r="K862" s="18">
        <f>IFERROR(__xludf.DUMMYFUNCTION("AVERAGE(QUERY(SORT(GOOGLEFINANCE(B862,""price"",TODAY()-365,TODAY()),1,0),""select Col2 limit 60""))"),74.00983333333335)</f>
        <v>74.00983333</v>
      </c>
      <c r="L862" s="17">
        <f>IFERROR(__xludf.DUMMYFUNCTION("AVERAGE(QUERY(SORT(GOOGLEFINANCE(B862,""price"",TODAY()-365,TODAY()),1,0),""select Col2 limit 90""))"),74.06455555555554)</f>
        <v>74.06455556</v>
      </c>
      <c r="M862" s="17">
        <f>IFERROR(__xludf.DUMMYFUNCTION("AVERAGE(QUERY(SORT(GOOGLEFINANCE(B862,""price"",TODAY()-365,TODAY()),1,0),""select Col2 limit 120""))"),77.77583333333337)</f>
        <v>77.77583333</v>
      </c>
      <c r="N862" s="19">
        <f>IFERROR(__xludf.DUMMYFUNCTION("AVERAGE(QUERY(SORT(GOOGLEFINANCE(B862,""price"",TODAY()-365,TODAY()),1,0),""select Col2 limit 200""))"),87.07654999999998)</f>
        <v>87.07655</v>
      </c>
      <c r="O862" s="20" t="str">
        <f t="shared" si="2"/>
        <v>Avoid</v>
      </c>
      <c r="P862" s="21" t="str">
        <f t="shared" si="3"/>
        <v/>
      </c>
      <c r="Q862" s="21" t="str">
        <f t="shared" si="4"/>
        <v/>
      </c>
      <c r="R862" s="22">
        <f>IFERROR(__xludf.DUMMYFUNCTION("GOOGLEFINANCE(B862, ""pe"")
"),41.25)</f>
        <v>41.25</v>
      </c>
    </row>
    <row r="863">
      <c r="A863" s="9" t="s">
        <v>873</v>
      </c>
      <c r="B863" s="11" t="str">
        <f t="shared" si="1"/>
        <v>NSE:IMFA</v>
      </c>
      <c r="C863" s="12">
        <f>IFERROR(__xludf.DUMMYFUNCTION("GOOGLEFINANCE(B863,""marketcap"")/10000000"),3944.04471)</f>
        <v>3944.04471</v>
      </c>
      <c r="D863" s="13">
        <f>IFERROR(__xludf.DUMMYFUNCTION("GOOGLEFINANCE(B863,""price"")"),732.5)</f>
        <v>732.5</v>
      </c>
      <c r="E863" s="14">
        <f>IFERROR(__xludf.DUMMYFUNCTION("GOOGLEFINANCE(B863,""Volume"")"),27746.0)</f>
        <v>27746</v>
      </c>
      <c r="F863" s="14">
        <f t="array" ref="F863">F862</f>
        <v>14</v>
      </c>
      <c r="G863" s="15" t="str">
        <f>IFERROR(__xludf.DUMMYFUNCTION("IF(E863&gt;AVERAGE(INDEX(GOOGLEFINANCE(B863,""volume"",WORKDAY(TODAY(),-$F$1),TODAY()),,2)),""Breakout"","""")"),"")</f>
        <v/>
      </c>
      <c r="H863" s="16">
        <f>IFERROR(__xludf.DUMMYFUNCTION("GOOGLEFINANCE(B863,""price"")"),732.5)</f>
        <v>732.5</v>
      </c>
      <c r="I863" s="17">
        <f>IFERROR(__xludf.DUMMYFUNCTION("AVERAGE(QUERY(SORT(GOOGLEFINANCE(B863,""price"",TODAY()-365,TODAY()),1,0),""select Col2 limit 10""))"),760.1)</f>
        <v>760.1</v>
      </c>
      <c r="J863" s="17">
        <f>IFERROR(__xludf.DUMMYFUNCTION("AVERAGE(QUERY(SORT(GOOGLEFINANCE(B863,""price"",TODAY()-365,TODAY()),1,0),""select Col2 limit 30""))"),757.9766666666668)</f>
        <v>757.9766667</v>
      </c>
      <c r="K863" s="18">
        <f>IFERROR(__xludf.DUMMYFUNCTION("AVERAGE(QUERY(SORT(GOOGLEFINANCE(B863,""price"",TODAY()-365,TODAY()),1,0),""select Col2 limit 60""))"),702.2525000000002)</f>
        <v>702.2525</v>
      </c>
      <c r="L863" s="17">
        <f>IFERROR(__xludf.DUMMYFUNCTION("AVERAGE(QUERY(SORT(GOOGLEFINANCE(B863,""price"",TODAY()-365,TODAY()),1,0),""select Col2 limit 90""))"),675.4122222222223)</f>
        <v>675.4122222</v>
      </c>
      <c r="M863" s="17">
        <f>IFERROR(__xludf.DUMMYFUNCTION("AVERAGE(QUERY(SORT(GOOGLEFINANCE(B863,""price"",TODAY()-365,TODAY()),1,0),""select Col2 limit 120""))"),669.6733333333336)</f>
        <v>669.6733333</v>
      </c>
      <c r="N863" s="19">
        <f>IFERROR(__xludf.DUMMYFUNCTION("AVERAGE(QUERY(SORT(GOOGLEFINANCE(B863,""price"",TODAY()-365,TODAY()),1,0),""select Col2 limit 200""))"),726.6137500000001)</f>
        <v>726.61375</v>
      </c>
      <c r="O863" s="20" t="str">
        <f t="shared" si="2"/>
        <v>Avoid</v>
      </c>
      <c r="P863" s="21" t="str">
        <f t="shared" si="3"/>
        <v/>
      </c>
      <c r="Q863" s="21" t="str">
        <f t="shared" si="4"/>
        <v/>
      </c>
      <c r="R863" s="22">
        <f>IFERROR(__xludf.DUMMYFUNCTION("GOOGLEFINANCE(B863, ""pe"")
"),10.43)</f>
        <v>10.43</v>
      </c>
    </row>
    <row r="864">
      <c r="A864" s="9" t="s">
        <v>874</v>
      </c>
      <c r="B864" s="11" t="str">
        <f t="shared" si="1"/>
        <v>NSE:SHAILY</v>
      </c>
      <c r="C864" s="12">
        <f>IFERROR(__xludf.DUMMYFUNCTION("GOOGLEFINANCE(B864,""marketcap"")/10000000"),7268.7163609)</f>
        <v>7268.716361</v>
      </c>
      <c r="D864" s="13">
        <f>IFERROR(__xludf.DUMMYFUNCTION("GOOGLEFINANCE(B864,""price"")"),1577.4)</f>
        <v>1577.4</v>
      </c>
      <c r="E864" s="14">
        <f>IFERROR(__xludf.DUMMYFUNCTION("GOOGLEFINANCE(B864,""Volume"")"),11601.0)</f>
        <v>11601</v>
      </c>
      <c r="F864" s="14">
        <f t="array" ref="F864">F863</f>
        <v>14</v>
      </c>
      <c r="G864" s="15" t="str">
        <f>IFERROR(__xludf.DUMMYFUNCTION("IF(E864&gt;AVERAGE(INDEX(GOOGLEFINANCE(B864,""volume"",WORKDAY(TODAY(),-$F$1),TODAY()),,2)),""Breakout"","""")"),"#N/A")</f>
        <v>#N/A</v>
      </c>
      <c r="H864" s="16">
        <f>IFERROR(__xludf.DUMMYFUNCTION("GOOGLEFINANCE(B864,""price"")"),1577.4)</f>
        <v>1577.4</v>
      </c>
      <c r="I864" s="17">
        <f>IFERROR(__xludf.DUMMYFUNCTION("AVERAGE(QUERY(SORT(GOOGLEFINANCE(B864,""price"",TODAY()-365,TODAY()),1,0),""select Col2 limit 10""))"),1630.3200000000002)</f>
        <v>1630.32</v>
      </c>
      <c r="J864" s="17">
        <f>IFERROR(__xludf.DUMMYFUNCTION("AVERAGE(QUERY(SORT(GOOGLEFINANCE(B864,""price"",TODAY()-365,TODAY()),1,0),""select Col2 limit 30""))"),1659.88)</f>
        <v>1659.88</v>
      </c>
      <c r="K864" s="18">
        <f>IFERROR(__xludf.DUMMYFUNCTION("AVERAGE(QUERY(SORT(GOOGLEFINANCE(B864,""price"",TODAY()-365,TODAY()),1,0),""select Col2 limit 60""))"),1713.8366666666668)</f>
        <v>1713.836667</v>
      </c>
      <c r="L864" s="17">
        <f>IFERROR(__xludf.DUMMYFUNCTION("AVERAGE(QUERY(SORT(GOOGLEFINANCE(B864,""price"",TODAY()-365,TODAY()),1,0),""select Col2 limit 90""))"),1699.9455555555555)</f>
        <v>1699.945556</v>
      </c>
      <c r="M864" s="17">
        <f>IFERROR(__xludf.DUMMYFUNCTION("AVERAGE(QUERY(SORT(GOOGLEFINANCE(B864,""price"",TODAY()-365,TODAY()),1,0),""select Col2 limit 120""))"),1672.5029166666668)</f>
        <v>1672.502917</v>
      </c>
      <c r="N864" s="19">
        <f>IFERROR(__xludf.DUMMYFUNCTION("AVERAGE(QUERY(SORT(GOOGLEFINANCE(B864,""price"",TODAY()-365,TODAY()),1,0),""select Col2 limit 200""))"),1506.7407500000006)</f>
        <v>1506.74075</v>
      </c>
      <c r="O864" s="20" t="str">
        <f t="shared" si="2"/>
        <v>Sell Below 200 DMA</v>
      </c>
      <c r="P864" s="21" t="str">
        <f t="shared" si="3"/>
        <v/>
      </c>
      <c r="Q864" s="21" t="str">
        <f t="shared" si="4"/>
        <v/>
      </c>
      <c r="R864" s="22">
        <f>IFERROR(__xludf.DUMMYFUNCTION("GOOGLEFINANCE(B864, ""pe"")
"),78.16)</f>
        <v>78.16</v>
      </c>
    </row>
    <row r="865">
      <c r="A865" s="9" t="s">
        <v>875</v>
      </c>
      <c r="B865" s="11" t="str">
        <f t="shared" si="1"/>
        <v>NSE:BAJAJCON</v>
      </c>
      <c r="C865" s="12">
        <f>IFERROR(__xludf.DUMMYFUNCTION("GOOGLEFINANCE(B865,""marketcap"")/10000000"),3177.8408879)</f>
        <v>3177.840888</v>
      </c>
      <c r="D865" s="13">
        <f>IFERROR(__xludf.DUMMYFUNCTION("GOOGLEFINANCE(B865,""price"")"),231.8)</f>
        <v>231.8</v>
      </c>
      <c r="E865" s="14">
        <f>IFERROR(__xludf.DUMMYFUNCTION("GOOGLEFINANCE(B865,""Volume"")"),646646.0)</f>
        <v>646646</v>
      </c>
      <c r="F865" s="14">
        <f t="array" ref="F865">F864</f>
        <v>14</v>
      </c>
      <c r="G865" s="15" t="str">
        <f>IFERROR(__xludf.DUMMYFUNCTION("IF(E865&gt;AVERAGE(INDEX(GOOGLEFINANCE(B865,""volume"",WORKDAY(TODAY(),-$F$1),TODAY()),,2)),""Breakout"","""")"),"")</f>
        <v/>
      </c>
      <c r="H865" s="16">
        <f>IFERROR(__xludf.DUMMYFUNCTION("GOOGLEFINANCE(B865,""price"")"),231.8)</f>
        <v>231.8</v>
      </c>
      <c r="I865" s="17">
        <f>IFERROR(__xludf.DUMMYFUNCTION("AVERAGE(QUERY(SORT(GOOGLEFINANCE(B865,""price"",TODAY()-365,TODAY()),1,0),""select Col2 limit 10""))"),238.55599999999998)</f>
        <v>238.556</v>
      </c>
      <c r="J865" s="17">
        <f>IFERROR(__xludf.DUMMYFUNCTION("AVERAGE(QUERY(SORT(GOOGLEFINANCE(B865,""price"",TODAY()-365,TODAY()),1,0),""select Col2 limit 30""))"),217.27933333333334)</f>
        <v>217.2793333</v>
      </c>
      <c r="K865" s="18">
        <f>IFERROR(__xludf.DUMMYFUNCTION("AVERAGE(QUERY(SORT(GOOGLEFINANCE(B865,""price"",TODAY()-365,TODAY()),1,0),""select Col2 limit 60""))"),195.0945)</f>
        <v>195.0945</v>
      </c>
      <c r="L865" s="17">
        <f>IFERROR(__xludf.DUMMYFUNCTION("AVERAGE(QUERY(SORT(GOOGLEFINANCE(B865,""price"",TODAY()-365,TODAY()),1,0),""select Col2 limit 90""))"),185.58255555555547)</f>
        <v>185.5825556</v>
      </c>
      <c r="M865" s="17">
        <f>IFERROR(__xludf.DUMMYFUNCTION("AVERAGE(QUERY(SORT(GOOGLEFINANCE(B865,""price"",TODAY()-365,TODAY()),1,0),""select Col2 limit 120""))"),181.70533333333339)</f>
        <v>181.7053333</v>
      </c>
      <c r="N865" s="19">
        <f>IFERROR(__xludf.DUMMYFUNCTION("AVERAGE(QUERY(SORT(GOOGLEFINANCE(B865,""price"",TODAY()-365,TODAY()),1,0),""select Col2 limit 200""))"),192.88690000000005)</f>
        <v>192.8869</v>
      </c>
      <c r="O865" s="20" t="str">
        <f t="shared" si="2"/>
        <v>Avoid</v>
      </c>
      <c r="P865" s="21" t="str">
        <f t="shared" si="3"/>
        <v/>
      </c>
      <c r="Q865" s="21" t="str">
        <f t="shared" si="4"/>
        <v/>
      </c>
      <c r="R865" s="22">
        <f>IFERROR(__xludf.DUMMYFUNCTION("GOOGLEFINANCE(B865, ""pe"")
"),25.68)</f>
        <v>25.68</v>
      </c>
    </row>
    <row r="866">
      <c r="A866" s="9" t="s">
        <v>876</v>
      </c>
      <c r="B866" s="11" t="str">
        <f t="shared" si="1"/>
        <v>NSE:TIDEWATER</v>
      </c>
      <c r="C866" s="12" t="str">
        <f>IFERROR(__xludf.DUMMYFUNCTION("GOOGLEFINANCE(B866,""marketcap"")/10000000"),"#N/A")</f>
        <v>#N/A</v>
      </c>
      <c r="D866" s="13" t="str">
        <f>IFERROR(__xludf.DUMMYFUNCTION("GOOGLEFINANCE(B866,""price"")"),"#N/A")</f>
        <v>#N/A</v>
      </c>
      <c r="E866" s="14" t="str">
        <f>IFERROR(__xludf.DUMMYFUNCTION("GOOGLEFINANCE(B866,""Volume"")"),"#N/A")</f>
        <v>#N/A</v>
      </c>
      <c r="F866" s="14">
        <f t="array" ref="F866">F865</f>
        <v>14</v>
      </c>
      <c r="G866" s="15" t="str">
        <f>IFERROR(__xludf.DUMMYFUNCTION("IF(E866&gt;AVERAGE(INDEX(GOOGLEFINANCE(B866,""volume"",WORKDAY(TODAY(),-$F$1),TODAY()),,2)),""Breakout"","""")"),"#N/A")</f>
        <v>#N/A</v>
      </c>
      <c r="H866" s="16" t="str">
        <f>IFERROR(__xludf.DUMMYFUNCTION("GOOGLEFINANCE(B866,""price"")"),"#N/A")</f>
        <v>#N/A</v>
      </c>
      <c r="I866" s="17" t="str">
        <f>IFERROR(__xludf.DUMMYFUNCTION("AVERAGE(QUERY(SORT(GOOGLEFINANCE(B866,""price"",TODAY()-365,TODAY()),1,0),""select Col2 limit 10""))"),"#N/A")</f>
        <v>#N/A</v>
      </c>
      <c r="J866" s="17" t="str">
        <f>IFERROR(__xludf.DUMMYFUNCTION("AVERAGE(QUERY(SORT(GOOGLEFINANCE(B866,""price"",TODAY()-365,TODAY()),1,0),""select Col2 limit 30""))"),"#N/A")</f>
        <v>#N/A</v>
      </c>
      <c r="K866" s="18" t="str">
        <f>IFERROR(__xludf.DUMMYFUNCTION("AVERAGE(QUERY(SORT(GOOGLEFINANCE(B866,""price"",TODAY()-365,TODAY()),1,0),""select Col2 limit 60""))"),"#N/A")</f>
        <v>#N/A</v>
      </c>
      <c r="L866" s="17" t="str">
        <f>IFERROR(__xludf.DUMMYFUNCTION("AVERAGE(QUERY(SORT(GOOGLEFINANCE(B866,""price"",TODAY()-365,TODAY()),1,0),""select Col2 limit 90""))"),"#N/A")</f>
        <v>#N/A</v>
      </c>
      <c r="M866" s="17" t="str">
        <f>IFERROR(__xludf.DUMMYFUNCTION("AVERAGE(QUERY(SORT(GOOGLEFINANCE(B866,""price"",TODAY()-365,TODAY()),1,0),""select Col2 limit 120""))"),"#N/A")</f>
        <v>#N/A</v>
      </c>
      <c r="N866" s="19" t="str">
        <f>IFERROR(__xludf.DUMMYFUNCTION("AVERAGE(QUERY(SORT(GOOGLEFINANCE(B866,""price"",TODAY()-365,TODAY()),1,0),""select Col2 limit 200""))"),"#N/A")</f>
        <v>#N/A</v>
      </c>
      <c r="O866" s="20" t="str">
        <f t="shared" si="2"/>
        <v>#N/A</v>
      </c>
      <c r="P866" s="21" t="str">
        <f t="shared" si="3"/>
        <v>#N/A</v>
      </c>
      <c r="Q866" s="21" t="str">
        <f t="shared" si="4"/>
        <v>#N/A</v>
      </c>
      <c r="R866" s="22" t="str">
        <f>IFERROR(__xludf.DUMMYFUNCTION("GOOGLEFINANCE(B866, ""pe"")
"),"#N/A")</f>
        <v>#N/A</v>
      </c>
    </row>
    <row r="867">
      <c r="A867" s="9" t="s">
        <v>877</v>
      </c>
      <c r="B867" s="11" t="str">
        <f t="shared" si="1"/>
        <v>NSE:SAMHI</v>
      </c>
      <c r="C867" s="12">
        <f>IFERROR(__xludf.DUMMYFUNCTION("GOOGLEFINANCE(B867,""marketcap"")/10000000"),5087.7403)</f>
        <v>5087.7403</v>
      </c>
      <c r="D867" s="13">
        <f>IFERROR(__xludf.DUMMYFUNCTION("GOOGLEFINANCE(B867,""price"")"),229.19)</f>
        <v>229.19</v>
      </c>
      <c r="E867" s="14">
        <f>IFERROR(__xludf.DUMMYFUNCTION("GOOGLEFINANCE(B867,""Volume"")"),622011.0)</f>
        <v>622011</v>
      </c>
      <c r="F867" s="14">
        <f t="array" ref="F867">F866</f>
        <v>14</v>
      </c>
      <c r="G867" s="15" t="str">
        <f>IFERROR(__xludf.DUMMYFUNCTION("IF(E867&gt;AVERAGE(INDEX(GOOGLEFINANCE(B867,""volume"",WORKDAY(TODAY(),-$F$1),TODAY()),,2)),""Breakout"","""")"),"")</f>
        <v/>
      </c>
      <c r="H867" s="16">
        <f>IFERROR(__xludf.DUMMYFUNCTION("GOOGLEFINANCE(B867,""price"")"),229.19)</f>
        <v>229.19</v>
      </c>
      <c r="I867" s="17">
        <f>IFERROR(__xludf.DUMMYFUNCTION("AVERAGE(QUERY(SORT(GOOGLEFINANCE(B867,""price"",TODAY()-365,TODAY()),1,0),""select Col2 limit 10""))"),242.49100000000004)</f>
        <v>242.491</v>
      </c>
      <c r="J867" s="17">
        <f>IFERROR(__xludf.DUMMYFUNCTION("AVERAGE(QUERY(SORT(GOOGLEFINANCE(B867,""price"",TODAY()-365,TODAY()),1,0),""select Col2 limit 30""))"),228.94166666666672)</f>
        <v>228.9416667</v>
      </c>
      <c r="K867" s="18">
        <f>IFERROR(__xludf.DUMMYFUNCTION("AVERAGE(QUERY(SORT(GOOGLEFINANCE(B867,""price"",TODAY()-365,TODAY()),1,0),""select Col2 limit 60""))"),209.48850000000002)</f>
        <v>209.4885</v>
      </c>
      <c r="L867" s="17">
        <f>IFERROR(__xludf.DUMMYFUNCTION("AVERAGE(QUERY(SORT(GOOGLEFINANCE(B867,""price"",TODAY()-365,TODAY()),1,0),""select Col2 limit 90""))"),191.52222222222235)</f>
        <v>191.5222222</v>
      </c>
      <c r="M867" s="17">
        <f>IFERROR(__xludf.DUMMYFUNCTION("AVERAGE(QUERY(SORT(GOOGLEFINANCE(B867,""price"",TODAY()-365,TODAY()),1,0),""select Col2 limit 120""))"),183.41450000000017)</f>
        <v>183.4145</v>
      </c>
      <c r="N867" s="19">
        <f>IFERROR(__xludf.DUMMYFUNCTION("AVERAGE(QUERY(SORT(GOOGLEFINANCE(B867,""price"",TODAY()-365,TODAY()),1,0),""select Col2 limit 200""))"),187.11215000000007)</f>
        <v>187.11215</v>
      </c>
      <c r="O867" s="20" t="str">
        <f t="shared" si="2"/>
        <v>Avoid</v>
      </c>
      <c r="P867" s="21" t="str">
        <f t="shared" si="3"/>
        <v/>
      </c>
      <c r="Q867" s="21" t="str">
        <f t="shared" si="4"/>
        <v/>
      </c>
      <c r="R867" s="22">
        <f>IFERROR(__xludf.DUMMYFUNCTION("GOOGLEFINANCE(B867, ""pe"")
"),59.67)</f>
        <v>59.67</v>
      </c>
    </row>
    <row r="868">
      <c r="A868" s="9" t="s">
        <v>878</v>
      </c>
      <c r="B868" s="11" t="str">
        <f t="shared" si="1"/>
        <v>NSE:DREDGECORP</v>
      </c>
      <c r="C868" s="12">
        <f>IFERROR(__xludf.DUMMYFUNCTION("GOOGLEFINANCE(B868,""marketcap"")/10000000"),1927.6600341)</f>
        <v>1927.660034</v>
      </c>
      <c r="D868" s="13">
        <f>IFERROR(__xludf.DUMMYFUNCTION("GOOGLEFINANCE(B868,""price"")"),688.45)</f>
        <v>688.45</v>
      </c>
      <c r="E868" s="14">
        <f>IFERROR(__xludf.DUMMYFUNCTION("GOOGLEFINANCE(B868,""Volume"")"),10835.0)</f>
        <v>10835</v>
      </c>
      <c r="F868" s="14">
        <f t="array" ref="F868">F867</f>
        <v>14</v>
      </c>
      <c r="G868" s="15" t="str">
        <f>IFERROR(__xludf.DUMMYFUNCTION("IF(E868&gt;AVERAGE(INDEX(GOOGLEFINANCE(B868,""volume"",WORKDAY(TODAY(),-$F$1),TODAY()),,2)),""Breakout"","""")"),"")</f>
        <v/>
      </c>
      <c r="H868" s="16">
        <f>IFERROR(__xludf.DUMMYFUNCTION("GOOGLEFINANCE(B868,""price"")"),688.45)</f>
        <v>688.45</v>
      </c>
      <c r="I868" s="17">
        <f>IFERROR(__xludf.DUMMYFUNCTION("AVERAGE(QUERY(SORT(GOOGLEFINANCE(B868,""price"",TODAY()-365,TODAY()),1,0),""select Col2 limit 10""))"),705.5649999999998)</f>
        <v>705.565</v>
      </c>
      <c r="J868" s="17">
        <f>IFERROR(__xludf.DUMMYFUNCTION("AVERAGE(QUERY(SORT(GOOGLEFINANCE(B868,""price"",TODAY()-365,TODAY()),1,0),""select Col2 limit 30""))"),704.4466666666666)</f>
        <v>704.4466667</v>
      </c>
      <c r="K868" s="18">
        <f>IFERROR(__xludf.DUMMYFUNCTION("AVERAGE(QUERY(SORT(GOOGLEFINANCE(B868,""price"",TODAY()-365,TODAY()),1,0),""select Col2 limit 60""))"),708.1925)</f>
        <v>708.1925</v>
      </c>
      <c r="L868" s="17">
        <f>IFERROR(__xludf.DUMMYFUNCTION("AVERAGE(QUERY(SORT(GOOGLEFINANCE(B868,""price"",TODAY()-365,TODAY()),1,0),""select Col2 limit 90""))"),662.4327777777778)</f>
        <v>662.4327778</v>
      </c>
      <c r="M868" s="17">
        <f>IFERROR(__xludf.DUMMYFUNCTION("AVERAGE(QUERY(SORT(GOOGLEFINANCE(B868,""price"",TODAY()-365,TODAY()),1,0),""select Col2 limit 120""))"),650.5687499999999)</f>
        <v>650.56875</v>
      </c>
      <c r="N868" s="19">
        <f>IFERROR(__xludf.DUMMYFUNCTION("AVERAGE(QUERY(SORT(GOOGLEFINANCE(B868,""price"",TODAY()-365,TODAY()),1,0),""select Col2 limit 200""))"),753.0102499999999)</f>
        <v>753.01025</v>
      </c>
      <c r="O868" s="20" t="str">
        <f t="shared" si="2"/>
        <v>Avoid</v>
      </c>
      <c r="P868" s="21" t="str">
        <f t="shared" si="3"/>
        <v/>
      </c>
      <c r="Q868" s="21" t="str">
        <f t="shared" si="4"/>
        <v/>
      </c>
      <c r="R868" s="22" t="str">
        <f>IFERROR(__xludf.DUMMYFUNCTION("GOOGLEFINANCE(B868, ""pe"")
"),"#N/A")</f>
        <v>#N/A</v>
      </c>
    </row>
    <row r="869">
      <c r="A869" s="9" t="s">
        <v>879</v>
      </c>
      <c r="B869" s="11" t="str">
        <f t="shared" si="1"/>
        <v>NSE:LUMAXTECH</v>
      </c>
      <c r="C869" s="12">
        <f>IFERROR(__xludf.DUMMYFUNCTION("GOOGLEFINANCE(B869,""marketcap"")/10000000"),7176.3243994)</f>
        <v>7176.324399</v>
      </c>
      <c r="D869" s="13">
        <f>IFERROR(__xludf.DUMMYFUNCTION("GOOGLEFINANCE(B869,""price"")"),1055.0)</f>
        <v>1055</v>
      </c>
      <c r="E869" s="14">
        <f>IFERROR(__xludf.DUMMYFUNCTION("GOOGLEFINANCE(B869,""Volume"")"),63743.0)</f>
        <v>63743</v>
      </c>
      <c r="F869" s="14">
        <f t="array" ref="F869">F868</f>
        <v>14</v>
      </c>
      <c r="G869" s="15" t="str">
        <f>IFERROR(__xludf.DUMMYFUNCTION("IF(E869&gt;AVERAGE(INDEX(GOOGLEFINANCE(B869,""volume"",WORKDAY(TODAY(),-$F$1),TODAY()),,2)),""Breakout"","""")"),"")</f>
        <v/>
      </c>
      <c r="H869" s="16">
        <f>IFERROR(__xludf.DUMMYFUNCTION("GOOGLEFINANCE(B869,""price"")"),1055.0)</f>
        <v>1055</v>
      </c>
      <c r="I869" s="17">
        <f>IFERROR(__xludf.DUMMYFUNCTION("AVERAGE(QUERY(SORT(GOOGLEFINANCE(B869,""price"",TODAY()-365,TODAY()),1,0),""select Col2 limit 10""))"),1129.19)</f>
        <v>1129.19</v>
      </c>
      <c r="J869" s="17">
        <f>IFERROR(__xludf.DUMMYFUNCTION("AVERAGE(QUERY(SORT(GOOGLEFINANCE(B869,""price"",TODAY()-365,TODAY()),1,0),""select Col2 limit 30""))"),1122.5916666666667)</f>
        <v>1122.591667</v>
      </c>
      <c r="K869" s="18">
        <f>IFERROR(__xludf.DUMMYFUNCTION("AVERAGE(QUERY(SORT(GOOGLEFINANCE(B869,""price"",TODAY()-365,TODAY()),1,0),""select Col2 limit 60""))"),935.625)</f>
        <v>935.625</v>
      </c>
      <c r="L869" s="17">
        <f>IFERROR(__xludf.DUMMYFUNCTION("AVERAGE(QUERY(SORT(GOOGLEFINANCE(B869,""price"",TODAY()-365,TODAY()),1,0),""select Col2 limit 90""))"),801.9938888888887)</f>
        <v>801.9938889</v>
      </c>
      <c r="M869" s="17">
        <f>IFERROR(__xludf.DUMMYFUNCTION("AVERAGE(QUERY(SORT(GOOGLEFINANCE(B869,""price"",TODAY()-365,TODAY()),1,0),""select Col2 limit 120""))"),734.9299999999998)</f>
        <v>734.93</v>
      </c>
      <c r="N869" s="19">
        <f>IFERROR(__xludf.DUMMYFUNCTION("AVERAGE(QUERY(SORT(GOOGLEFINANCE(B869,""price"",TODAY()-365,TODAY()),1,0),""select Col2 limit 200""))"),665.8859999999997)</f>
        <v>665.886</v>
      </c>
      <c r="O869" s="20" t="str">
        <f t="shared" si="2"/>
        <v>Avoid</v>
      </c>
      <c r="P869" s="21" t="str">
        <f t="shared" si="3"/>
        <v/>
      </c>
      <c r="Q869" s="21" t="str">
        <f t="shared" si="4"/>
        <v/>
      </c>
      <c r="R869" s="22">
        <f>IFERROR(__xludf.DUMMYFUNCTION("GOOGLEFINANCE(B869, ""pe"")
"),40.39)</f>
        <v>40.39</v>
      </c>
    </row>
    <row r="870">
      <c r="A870" s="9" t="s">
        <v>880</v>
      </c>
      <c r="B870" s="11" t="str">
        <f t="shared" si="1"/>
        <v>NSE:SKIPPER</v>
      </c>
      <c r="C870" s="12">
        <f>IFERROR(__xludf.DUMMYFUNCTION("GOOGLEFINANCE(B870,""marketcap"")/10000000"),5136.5665369)</f>
        <v>5136.566537</v>
      </c>
      <c r="D870" s="13">
        <f>IFERROR(__xludf.DUMMYFUNCTION("GOOGLEFINANCE(B870,""price"")"),454.35)</f>
        <v>454.35</v>
      </c>
      <c r="E870" s="14">
        <f>IFERROR(__xludf.DUMMYFUNCTION("GOOGLEFINANCE(B870,""Volume"")"),207972.0)</f>
        <v>207972</v>
      </c>
      <c r="F870" s="14">
        <f t="array" ref="F870">F869</f>
        <v>14</v>
      </c>
      <c r="G870" s="15" t="str">
        <f>IFERROR(__xludf.DUMMYFUNCTION("IF(E870&gt;AVERAGE(INDEX(GOOGLEFINANCE(B870,""volume"",WORKDAY(TODAY(),-$F$1),TODAY()),,2)),""Breakout"","""")"),"")</f>
        <v/>
      </c>
      <c r="H870" s="16">
        <f>IFERROR(__xludf.DUMMYFUNCTION("GOOGLEFINANCE(B870,""price"")"),454.35)</f>
        <v>454.35</v>
      </c>
      <c r="I870" s="17">
        <f>IFERROR(__xludf.DUMMYFUNCTION("AVERAGE(QUERY(SORT(GOOGLEFINANCE(B870,""price"",TODAY()-365,TODAY()),1,0),""select Col2 limit 10""))"),481.93499999999995)</f>
        <v>481.935</v>
      </c>
      <c r="J870" s="17">
        <f>IFERROR(__xludf.DUMMYFUNCTION("AVERAGE(QUERY(SORT(GOOGLEFINANCE(B870,""price"",TODAY()-365,TODAY()),1,0),""select Col2 limit 30""))"),489.37500000000006)</f>
        <v>489.375</v>
      </c>
      <c r="K870" s="18">
        <f>IFERROR(__xludf.DUMMYFUNCTION("AVERAGE(QUERY(SORT(GOOGLEFINANCE(B870,""price"",TODAY()-365,TODAY()),1,0),""select Col2 limit 60""))"),487.9650000000001)</f>
        <v>487.965</v>
      </c>
      <c r="L870" s="17">
        <f>IFERROR(__xludf.DUMMYFUNCTION("AVERAGE(QUERY(SORT(GOOGLEFINANCE(B870,""price"",TODAY()-365,TODAY()),1,0),""select Col2 limit 90""))"),472.4927777777777)</f>
        <v>472.4927778</v>
      </c>
      <c r="M870" s="17">
        <f>IFERROR(__xludf.DUMMYFUNCTION("AVERAGE(QUERY(SORT(GOOGLEFINANCE(B870,""price"",TODAY()-365,TODAY()),1,0),""select Col2 limit 120""))"),460.36624999999987)</f>
        <v>460.36625</v>
      </c>
      <c r="N870" s="19">
        <f>IFERROR(__xludf.DUMMYFUNCTION("AVERAGE(QUERY(SORT(GOOGLEFINANCE(B870,""price"",TODAY()-365,TODAY()),1,0),""select Col2 limit 200""))"),490.9494999999998)</f>
        <v>490.9495</v>
      </c>
      <c r="O870" s="20" t="str">
        <f t="shared" si="2"/>
        <v>Avoid</v>
      </c>
      <c r="P870" s="21" t="str">
        <f t="shared" si="3"/>
        <v/>
      </c>
      <c r="Q870" s="21" t="str">
        <f t="shared" si="4"/>
        <v/>
      </c>
      <c r="R870" s="22">
        <f>IFERROR(__xludf.DUMMYFUNCTION("GOOGLEFINANCE(B870, ""pe"")
"),32.86)</f>
        <v>32.86</v>
      </c>
    </row>
    <row r="871">
      <c r="A871" s="9" t="s">
        <v>881</v>
      </c>
      <c r="B871" s="11" t="str">
        <f t="shared" si="1"/>
        <v>NSE:MANORAMA</v>
      </c>
      <c r="C871" s="12">
        <f>IFERROR(__xludf.DUMMYFUNCTION("GOOGLEFINANCE(B871,""marketcap"")/10000000"),10291.7697375)</f>
        <v>10291.76974</v>
      </c>
      <c r="D871" s="13">
        <f>IFERROR(__xludf.DUMMYFUNCTION("GOOGLEFINANCE(B871,""price"")"),1723.9)</f>
        <v>1723.9</v>
      </c>
      <c r="E871" s="14">
        <f>IFERROR(__xludf.DUMMYFUNCTION("GOOGLEFINANCE(B871,""Volume"")"),1956271.0)</f>
        <v>1956271</v>
      </c>
      <c r="F871" s="14">
        <f t="array" ref="F871">F870</f>
        <v>14</v>
      </c>
      <c r="G871" s="15" t="str">
        <f>IFERROR(__xludf.DUMMYFUNCTION("IF(E871&gt;AVERAGE(INDEX(GOOGLEFINANCE(B871,""volume"",WORKDAY(TODAY(),-$F$1),TODAY()),,2)),""Breakout"","""")"),"Breakout")</f>
        <v>Breakout</v>
      </c>
      <c r="H871" s="16">
        <f>IFERROR(__xludf.DUMMYFUNCTION("GOOGLEFINANCE(B871,""price"")"),1723.9)</f>
        <v>1723.9</v>
      </c>
      <c r="I871" s="17">
        <f>IFERROR(__xludf.DUMMYFUNCTION("AVERAGE(QUERY(SORT(GOOGLEFINANCE(B871,""price"",TODAY()-365,TODAY()),1,0),""select Col2 limit 10""))"),1578.4299999999998)</f>
        <v>1578.43</v>
      </c>
      <c r="J871" s="17">
        <f>IFERROR(__xludf.DUMMYFUNCTION("AVERAGE(QUERY(SORT(GOOGLEFINANCE(B871,""price"",TODAY()-365,TODAY()),1,0),""select Col2 limit 30""))"),1478.303333333333)</f>
        <v>1478.303333</v>
      </c>
      <c r="K871" s="18">
        <f>IFERROR(__xludf.DUMMYFUNCTION("AVERAGE(QUERY(SORT(GOOGLEFINANCE(B871,""price"",TODAY()-365,TODAY()),1,0),""select Col2 limit 60""))"),1431.09)</f>
        <v>1431.09</v>
      </c>
      <c r="L871" s="17">
        <f>IFERROR(__xludf.DUMMYFUNCTION("AVERAGE(QUERY(SORT(GOOGLEFINANCE(B871,""price"",TODAY()-365,TODAY()),1,0),""select Col2 limit 90""))"),1314.730555555555)</f>
        <v>1314.730556</v>
      </c>
      <c r="M871" s="17">
        <f>IFERROR(__xludf.DUMMYFUNCTION("AVERAGE(QUERY(SORT(GOOGLEFINANCE(B871,""price"",TODAY()-365,TODAY()),1,0),""select Col2 limit 120""))"),1241.1383333333335)</f>
        <v>1241.138333</v>
      </c>
      <c r="N871" s="19">
        <f>IFERROR(__xludf.DUMMYFUNCTION("AVERAGE(QUERY(SORT(GOOGLEFINANCE(B871,""price"",TODAY()-365,TODAY()),1,0),""select Col2 limit 200""))"),1162.9575000000002)</f>
        <v>1162.9575</v>
      </c>
      <c r="O871" s="20" t="str">
        <f t="shared" si="2"/>
        <v>Avoid</v>
      </c>
      <c r="P871" s="21" t="str">
        <f t="shared" si="3"/>
        <v/>
      </c>
      <c r="Q871" s="21" t="str">
        <f t="shared" si="4"/>
        <v/>
      </c>
      <c r="R871" s="22">
        <f>IFERROR(__xludf.DUMMYFUNCTION("GOOGLEFINANCE(B871, ""pe"")
"),93.5)</f>
        <v>93.5</v>
      </c>
    </row>
    <row r="872">
      <c r="A872" s="9" t="s">
        <v>882</v>
      </c>
      <c r="B872" s="11" t="str">
        <f t="shared" si="1"/>
        <v>NSE:GANECOS</v>
      </c>
      <c r="C872" s="12">
        <f>IFERROR(__xludf.DUMMYFUNCTION("GOOGLEFINANCE(B872,""marketcap"")/10000000"),3981.6522375)</f>
        <v>3981.652238</v>
      </c>
      <c r="D872" s="13">
        <f>IFERROR(__xludf.DUMMYFUNCTION("GOOGLEFINANCE(B872,""price"")"),1486.5)</f>
        <v>1486.5</v>
      </c>
      <c r="E872" s="14">
        <f>IFERROR(__xludf.DUMMYFUNCTION("GOOGLEFINANCE(B872,""Volume"")"),25759.0)</f>
        <v>25759</v>
      </c>
      <c r="F872" s="14">
        <f t="array" ref="F872">F871</f>
        <v>14</v>
      </c>
      <c r="G872" s="15" t="str">
        <f>IFERROR(__xludf.DUMMYFUNCTION("IF(E872&gt;AVERAGE(INDEX(GOOGLEFINANCE(B872,""volume"",WORKDAY(TODAY(),-$F$1),TODAY()),,2)),""Breakout"","""")"),"")</f>
        <v/>
      </c>
      <c r="H872" s="16">
        <f>IFERROR(__xludf.DUMMYFUNCTION("GOOGLEFINANCE(B872,""price"")"),1486.5)</f>
        <v>1486.5</v>
      </c>
      <c r="I872" s="17">
        <f>IFERROR(__xludf.DUMMYFUNCTION("AVERAGE(QUERY(SORT(GOOGLEFINANCE(B872,""price"",TODAY()-365,TODAY()),1,0),""select Col2 limit 10""))"),1511.28)</f>
        <v>1511.28</v>
      </c>
      <c r="J872" s="17">
        <f>IFERROR(__xludf.DUMMYFUNCTION("AVERAGE(QUERY(SORT(GOOGLEFINANCE(B872,""price"",TODAY()-365,TODAY()),1,0),""select Col2 limit 30""))"),1500.173333333333)</f>
        <v>1500.173333</v>
      </c>
      <c r="K872" s="18">
        <f>IFERROR(__xludf.DUMMYFUNCTION("AVERAGE(QUERY(SORT(GOOGLEFINANCE(B872,""price"",TODAY()-365,TODAY()),1,0),""select Col2 limit 60""))"),1514.3433333333337)</f>
        <v>1514.343333</v>
      </c>
      <c r="L872" s="17">
        <f>IFERROR(__xludf.DUMMYFUNCTION("AVERAGE(QUERY(SORT(GOOGLEFINANCE(B872,""price"",TODAY()-365,TODAY()),1,0),""select Col2 limit 90""))"),1527.2327777777782)</f>
        <v>1527.232778</v>
      </c>
      <c r="M872" s="17">
        <f>IFERROR(__xludf.DUMMYFUNCTION("AVERAGE(QUERY(SORT(GOOGLEFINANCE(B872,""price"",TODAY()-365,TODAY()),1,0),""select Col2 limit 120""))"),1517.3958333333337)</f>
        <v>1517.395833</v>
      </c>
      <c r="N872" s="19">
        <f>IFERROR(__xludf.DUMMYFUNCTION("AVERAGE(QUERY(SORT(GOOGLEFINANCE(B872,""price"",TODAY()-365,TODAY()),1,0),""select Col2 limit 200""))"),1743.6735)</f>
        <v>1743.6735</v>
      </c>
      <c r="O872" s="20" t="str">
        <f t="shared" si="2"/>
        <v>Avoid</v>
      </c>
      <c r="P872" s="21" t="str">
        <f t="shared" si="3"/>
        <v>30 DMA</v>
      </c>
      <c r="Q872" s="21" t="str">
        <f t="shared" si="4"/>
        <v/>
      </c>
      <c r="R872" s="22">
        <f>IFERROR(__xludf.DUMMYFUNCTION("GOOGLEFINANCE(B872, ""pe"")
"),36.49)</f>
        <v>36.49</v>
      </c>
    </row>
    <row r="873">
      <c r="A873" s="9" t="s">
        <v>883</v>
      </c>
      <c r="B873" s="11" t="str">
        <f t="shared" si="1"/>
        <v>NSE:MAHLOG</v>
      </c>
      <c r="C873" s="12">
        <f>IFERROR(__xludf.DUMMYFUNCTION("GOOGLEFINANCE(B873,""marketcap"")/10000000"),3514.4709998)</f>
        <v>3514.471</v>
      </c>
      <c r="D873" s="13">
        <f>IFERROR(__xludf.DUMMYFUNCTION("GOOGLEFINANCE(B873,""price"")"),353.9)</f>
        <v>353.9</v>
      </c>
      <c r="E873" s="14">
        <f>IFERROR(__xludf.DUMMYFUNCTION("GOOGLEFINANCE(B873,""Volume"")"),68823.0)</f>
        <v>68823</v>
      </c>
      <c r="F873" s="14">
        <f t="array" ref="F873">F872</f>
        <v>14</v>
      </c>
      <c r="G873" s="15" t="str">
        <f>IFERROR(__xludf.DUMMYFUNCTION("IF(E873&gt;AVERAGE(INDEX(GOOGLEFINANCE(B873,""volume"",WORKDAY(TODAY(),-$F$1),TODAY()),,2)),""Breakout"","""")"),"")</f>
        <v/>
      </c>
      <c r="H873" s="16">
        <f>IFERROR(__xludf.DUMMYFUNCTION("GOOGLEFINANCE(B873,""price"")"),353.9)</f>
        <v>353.9</v>
      </c>
      <c r="I873" s="17">
        <f>IFERROR(__xludf.DUMMYFUNCTION("AVERAGE(QUERY(SORT(GOOGLEFINANCE(B873,""price"",TODAY()-365,TODAY()),1,0),""select Col2 limit 10""))"),361.925)</f>
        <v>361.925</v>
      </c>
      <c r="J873" s="17">
        <f>IFERROR(__xludf.DUMMYFUNCTION("AVERAGE(QUERY(SORT(GOOGLEFINANCE(B873,""price"",TODAY()-365,TODAY()),1,0),""select Col2 limit 30""))"),330.7853333333333)</f>
        <v>330.7853333</v>
      </c>
      <c r="K873" s="18">
        <f>IFERROR(__xludf.DUMMYFUNCTION("AVERAGE(QUERY(SORT(GOOGLEFINANCE(B873,""price"",TODAY()-365,TODAY()),1,0),""select Col2 limit 60""))"),311.88783333333333)</f>
        <v>311.8878333</v>
      </c>
      <c r="L873" s="17">
        <f>IFERROR(__xludf.DUMMYFUNCTION("AVERAGE(QUERY(SORT(GOOGLEFINANCE(B873,""price"",TODAY()-365,TODAY()),1,0),""select Col2 limit 90""))"),293.7642222222222)</f>
        <v>293.7642222</v>
      </c>
      <c r="M873" s="17">
        <f>IFERROR(__xludf.DUMMYFUNCTION("AVERAGE(QUERY(SORT(GOOGLEFINANCE(B873,""price"",TODAY()-365,TODAY()),1,0),""select Col2 limit 120""))"),290.04783333333324)</f>
        <v>290.0478333</v>
      </c>
      <c r="N873" s="19">
        <f>IFERROR(__xludf.DUMMYFUNCTION("AVERAGE(QUERY(SORT(GOOGLEFINANCE(B873,""price"",TODAY()-365,TODAY()),1,0),""select Col2 limit 200""))"),321.85829999999993)</f>
        <v>321.8583</v>
      </c>
      <c r="O873" s="20" t="str">
        <f t="shared" si="2"/>
        <v>Avoid</v>
      </c>
      <c r="P873" s="21" t="str">
        <f t="shared" si="3"/>
        <v/>
      </c>
      <c r="Q873" s="21" t="str">
        <f t="shared" si="4"/>
        <v/>
      </c>
      <c r="R873" s="22" t="str">
        <f>IFERROR(__xludf.DUMMYFUNCTION("GOOGLEFINANCE(B873, ""pe"")
"),"#N/A")</f>
        <v>#N/A</v>
      </c>
    </row>
    <row r="874">
      <c r="A874" s="9" t="s">
        <v>884</v>
      </c>
      <c r="B874" s="11" t="str">
        <f t="shared" si="1"/>
        <v>NSE:DATAMATICS</v>
      </c>
      <c r="C874" s="12">
        <f>IFERROR(__xludf.DUMMYFUNCTION("GOOGLEFINANCE(B874,""marketcap"")/10000000"),5386.9556175)</f>
        <v>5386.955618</v>
      </c>
      <c r="D874" s="13">
        <f>IFERROR(__xludf.DUMMYFUNCTION("GOOGLEFINANCE(B874,""price"")"),910.15)</f>
        <v>910.15</v>
      </c>
      <c r="E874" s="14">
        <f>IFERROR(__xludf.DUMMYFUNCTION("GOOGLEFINANCE(B874,""Volume"")"),372003.0)</f>
        <v>372003</v>
      </c>
      <c r="F874" s="14">
        <f t="array" ref="F874">F873</f>
        <v>14</v>
      </c>
      <c r="G874" s="15" t="str">
        <f>IFERROR(__xludf.DUMMYFUNCTION("IF(E874&gt;AVERAGE(INDEX(GOOGLEFINANCE(B874,""volume"",WORKDAY(TODAY(),-$F$1),TODAY()),,2)),""Breakout"","""")"),"")</f>
        <v/>
      </c>
      <c r="H874" s="16">
        <f>IFERROR(__xludf.DUMMYFUNCTION("GOOGLEFINANCE(B874,""price"")"),910.15)</f>
        <v>910.15</v>
      </c>
      <c r="I874" s="17">
        <f>IFERROR(__xludf.DUMMYFUNCTION("AVERAGE(QUERY(SORT(GOOGLEFINANCE(B874,""price"",TODAY()-365,TODAY()),1,0),""select Col2 limit 10""))"),793.6949999999999)</f>
        <v>793.695</v>
      </c>
      <c r="J874" s="17">
        <f>IFERROR(__xludf.DUMMYFUNCTION("AVERAGE(QUERY(SORT(GOOGLEFINANCE(B874,""price"",TODAY()-365,TODAY()),1,0),""select Col2 limit 30""))"),686.6983333333334)</f>
        <v>686.6983333</v>
      </c>
      <c r="K874" s="18">
        <f>IFERROR(__xludf.DUMMYFUNCTION("AVERAGE(QUERY(SORT(GOOGLEFINANCE(B874,""price"",TODAY()-365,TODAY()),1,0),""select Col2 limit 60""))"),647.685)</f>
        <v>647.685</v>
      </c>
      <c r="L874" s="17">
        <f>IFERROR(__xludf.DUMMYFUNCTION("AVERAGE(QUERY(SORT(GOOGLEFINANCE(B874,""price"",TODAY()-365,TODAY()),1,0),""select Col2 limit 90""))"),634.1427777777777)</f>
        <v>634.1427778</v>
      </c>
      <c r="M874" s="17">
        <f>IFERROR(__xludf.DUMMYFUNCTION("AVERAGE(QUERY(SORT(GOOGLEFINANCE(B874,""price"",TODAY()-365,TODAY()),1,0),""select Col2 limit 120""))"),628.7429166666665)</f>
        <v>628.7429167</v>
      </c>
      <c r="N874" s="19">
        <f>IFERROR(__xludf.DUMMYFUNCTION("AVERAGE(QUERY(SORT(GOOGLEFINANCE(B874,""price"",TODAY()-365,TODAY()),1,0),""select Col2 limit 200""))"),620.5212499999999)</f>
        <v>620.52125</v>
      </c>
      <c r="O874" s="20" t="str">
        <f t="shared" si="2"/>
        <v>Avoid</v>
      </c>
      <c r="P874" s="21" t="str">
        <f t="shared" si="3"/>
        <v/>
      </c>
      <c r="Q874" s="21" t="str">
        <f t="shared" si="4"/>
        <v/>
      </c>
      <c r="R874" s="22">
        <f>IFERROR(__xludf.DUMMYFUNCTION("GOOGLEFINANCE(B874, ""pe"")
"),26.25)</f>
        <v>26.25</v>
      </c>
    </row>
    <row r="875">
      <c r="A875" s="9" t="s">
        <v>885</v>
      </c>
      <c r="B875" s="11" t="str">
        <f t="shared" si="1"/>
        <v>NSE:PFOCUS</v>
      </c>
      <c r="C875" s="12">
        <f>IFERROR(__xludf.DUMMYFUNCTION("GOOGLEFINANCE(B875,""marketcap"")/10000000"),4450.3838335)</f>
        <v>4450.383834</v>
      </c>
      <c r="D875" s="13">
        <f>IFERROR(__xludf.DUMMYFUNCTION("GOOGLEFINANCE(B875,""price"")"),143.59)</f>
        <v>143.59</v>
      </c>
      <c r="E875" s="14">
        <f>IFERROR(__xludf.DUMMYFUNCTION("GOOGLEFINANCE(B875,""Volume"")"),1014096.0)</f>
        <v>1014096</v>
      </c>
      <c r="F875" s="14">
        <f t="array" ref="F875">F874</f>
        <v>14</v>
      </c>
      <c r="G875" s="15" t="str">
        <f>IFERROR(__xludf.DUMMYFUNCTION("IF(E875&gt;AVERAGE(INDEX(GOOGLEFINANCE(B875,""volume"",WORKDAY(TODAY(),-$F$1),TODAY()),,2)),""Breakout"","""")"),"")</f>
        <v/>
      </c>
      <c r="H875" s="16">
        <f>IFERROR(__xludf.DUMMYFUNCTION("GOOGLEFINANCE(B875,""price"")"),143.59)</f>
        <v>143.59</v>
      </c>
      <c r="I875" s="17">
        <f>IFERROR(__xludf.DUMMYFUNCTION("AVERAGE(QUERY(SORT(GOOGLEFINANCE(B875,""price"",TODAY()-365,TODAY()),1,0),""select Col2 limit 10""))"),165.22699999999998)</f>
        <v>165.227</v>
      </c>
      <c r="J875" s="17">
        <f>IFERROR(__xludf.DUMMYFUNCTION("AVERAGE(QUERY(SORT(GOOGLEFINANCE(B875,""price"",TODAY()-365,TODAY()),1,0),""select Col2 limit 30""))"),147.723)</f>
        <v>147.723</v>
      </c>
      <c r="K875" s="18">
        <f>IFERROR(__xludf.DUMMYFUNCTION("AVERAGE(QUERY(SORT(GOOGLEFINANCE(B875,""price"",TODAY()-365,TODAY()),1,0),""select Col2 limit 60""))"),127.58433333333336)</f>
        <v>127.5843333</v>
      </c>
      <c r="L875" s="17">
        <f>IFERROR(__xludf.DUMMYFUNCTION("AVERAGE(QUERY(SORT(GOOGLEFINANCE(B875,""price"",TODAY()-365,TODAY()),1,0),""select Col2 limit 90""))"),117.26788888888893)</f>
        <v>117.2678889</v>
      </c>
      <c r="M875" s="17">
        <f>IFERROR(__xludf.DUMMYFUNCTION("AVERAGE(QUERY(SORT(GOOGLEFINANCE(B875,""price"",TODAY()-365,TODAY()),1,0),""select Col2 limit 120""))"),113.67250000000003)</f>
        <v>113.6725</v>
      </c>
      <c r="N875" s="19">
        <f>IFERROR(__xludf.DUMMYFUNCTION("AVERAGE(QUERY(SORT(GOOGLEFINANCE(B875,""price"",TODAY()-365,TODAY()),1,0),""select Col2 limit 200""))"),120.91275000000003)</f>
        <v>120.91275</v>
      </c>
      <c r="O875" s="20" t="str">
        <f t="shared" si="2"/>
        <v>Avoid</v>
      </c>
      <c r="P875" s="21" t="str">
        <f t="shared" si="3"/>
        <v/>
      </c>
      <c r="Q875" s="21" t="str">
        <f t="shared" si="4"/>
        <v/>
      </c>
      <c r="R875" s="22" t="str">
        <f>IFERROR(__xludf.DUMMYFUNCTION("GOOGLEFINANCE(B875, ""pe"")
"),"#N/A")</f>
        <v>#N/A</v>
      </c>
    </row>
    <row r="876">
      <c r="A876" s="9" t="s">
        <v>886</v>
      </c>
      <c r="B876" s="11" t="str">
        <f t="shared" si="1"/>
        <v>NSE:SEAMECLTD</v>
      </c>
      <c r="C876" s="12">
        <f>IFERROR(__xludf.DUMMYFUNCTION("GOOGLEFINANCE(B876,""marketcap"")/10000000"),2050.1448129)</f>
        <v>2050.144813</v>
      </c>
      <c r="D876" s="13">
        <f>IFERROR(__xludf.DUMMYFUNCTION("GOOGLEFINANCE(B876,""price"")"),806.35)</f>
        <v>806.35</v>
      </c>
      <c r="E876" s="14">
        <f>IFERROR(__xludf.DUMMYFUNCTION("GOOGLEFINANCE(B876,""Volume"")"),26198.0)</f>
        <v>26198</v>
      </c>
      <c r="F876" s="14">
        <f t="array" ref="F876">F875</f>
        <v>14</v>
      </c>
      <c r="G876" s="15" t="str">
        <f>IFERROR(__xludf.DUMMYFUNCTION("IF(E876&gt;AVERAGE(INDEX(GOOGLEFINANCE(B876,""volume"",WORKDAY(TODAY(),-$F$1),TODAY()),,2)),""Breakout"","""")"),"Breakout")</f>
        <v>Breakout</v>
      </c>
      <c r="H876" s="16">
        <f>IFERROR(__xludf.DUMMYFUNCTION("GOOGLEFINANCE(B876,""price"")"),806.35)</f>
        <v>806.35</v>
      </c>
      <c r="I876" s="17">
        <f>IFERROR(__xludf.DUMMYFUNCTION("AVERAGE(QUERY(SORT(GOOGLEFINANCE(B876,""price"",TODAY()-365,TODAY()),1,0),""select Col2 limit 10""))"),847.15)</f>
        <v>847.15</v>
      </c>
      <c r="J876" s="17">
        <f>IFERROR(__xludf.DUMMYFUNCTION("AVERAGE(QUERY(SORT(GOOGLEFINANCE(B876,""price"",TODAY()-365,TODAY()),1,0),""select Col2 limit 30""))"),849.0966666666668)</f>
        <v>849.0966667</v>
      </c>
      <c r="K876" s="18">
        <f>IFERROR(__xludf.DUMMYFUNCTION("AVERAGE(QUERY(SORT(GOOGLEFINANCE(B876,""price"",TODAY()-365,TODAY()),1,0),""select Col2 limit 60""))"),868.1291666666667)</f>
        <v>868.1291667</v>
      </c>
      <c r="L876" s="17">
        <f>IFERROR(__xludf.DUMMYFUNCTION("AVERAGE(QUERY(SORT(GOOGLEFINANCE(B876,""price"",TODAY()-365,TODAY()),1,0),""select Col2 limit 90""))"),904.6888888888891)</f>
        <v>904.6888889</v>
      </c>
      <c r="M876" s="17">
        <f>IFERROR(__xludf.DUMMYFUNCTION("AVERAGE(QUERY(SORT(GOOGLEFINANCE(B876,""price"",TODAY()-365,TODAY()),1,0),""select Col2 limit 120""))"),915.2925)</f>
        <v>915.2925</v>
      </c>
      <c r="N876" s="19">
        <f>IFERROR(__xludf.DUMMYFUNCTION("AVERAGE(QUERY(SORT(GOOGLEFINANCE(B876,""price"",TODAY()-365,TODAY()),1,0),""select Col2 limit 200""))"),1032.9235)</f>
        <v>1032.9235</v>
      </c>
      <c r="O876" s="20" t="str">
        <f t="shared" si="2"/>
        <v>Avoid</v>
      </c>
      <c r="P876" s="21" t="str">
        <f t="shared" si="3"/>
        <v/>
      </c>
      <c r="Q876" s="21" t="str">
        <f t="shared" si="4"/>
        <v/>
      </c>
      <c r="R876" s="22">
        <f>IFERROR(__xludf.DUMMYFUNCTION("GOOGLEFINANCE(B876, ""pe"")
"),22.85)</f>
        <v>22.85</v>
      </c>
    </row>
    <row r="877">
      <c r="A877" s="9" t="s">
        <v>887</v>
      </c>
      <c r="B877" s="11" t="str">
        <f t="shared" si="1"/>
        <v>NSE:ALEMBICLTD</v>
      </c>
      <c r="C877" s="12">
        <f>IFERROR(__xludf.DUMMYFUNCTION("GOOGLEFINANCE(B877,""marketcap"")/10000000"),2916.0140581)</f>
        <v>2916.014058</v>
      </c>
      <c r="D877" s="13">
        <f>IFERROR(__xludf.DUMMYFUNCTION("GOOGLEFINANCE(B877,""price"")"),113.56)</f>
        <v>113.56</v>
      </c>
      <c r="E877" s="14">
        <f>IFERROR(__xludf.DUMMYFUNCTION("GOOGLEFINANCE(B877,""Volume"")"),240456.0)</f>
        <v>240456</v>
      </c>
      <c r="F877" s="14">
        <f t="array" ref="F877">F876</f>
        <v>14</v>
      </c>
      <c r="G877" s="15" t="str">
        <f>IFERROR(__xludf.DUMMYFUNCTION("IF(E877&gt;AVERAGE(INDEX(GOOGLEFINANCE(B877,""volume"",WORKDAY(TODAY(),-$F$1),TODAY()),,2)),""Breakout"","""")"),"")</f>
        <v/>
      </c>
      <c r="H877" s="16">
        <f>IFERROR(__xludf.DUMMYFUNCTION("GOOGLEFINANCE(B877,""price"")"),113.56)</f>
        <v>113.56</v>
      </c>
      <c r="I877" s="17">
        <f>IFERROR(__xludf.DUMMYFUNCTION("AVERAGE(QUERY(SORT(GOOGLEFINANCE(B877,""price"",TODAY()-365,TODAY()),1,0),""select Col2 limit 10""))"),118.393)</f>
        <v>118.393</v>
      </c>
      <c r="J877" s="17">
        <f>IFERROR(__xludf.DUMMYFUNCTION("AVERAGE(QUERY(SORT(GOOGLEFINANCE(B877,""price"",TODAY()-365,TODAY()),1,0),""select Col2 limit 30""))"),117.11733333333333)</f>
        <v>117.1173333</v>
      </c>
      <c r="K877" s="18">
        <f>IFERROR(__xludf.DUMMYFUNCTION("AVERAGE(QUERY(SORT(GOOGLEFINANCE(B877,""price"",TODAY()-365,TODAY()),1,0),""select Col2 limit 60""))"),113.08866666666667)</f>
        <v>113.0886667</v>
      </c>
      <c r="L877" s="17">
        <f>IFERROR(__xludf.DUMMYFUNCTION("AVERAGE(QUERY(SORT(GOOGLEFINANCE(B877,""price"",TODAY()-365,TODAY()),1,0),""select Col2 limit 90""))"),108.95022222222222)</f>
        <v>108.9502222</v>
      </c>
      <c r="M877" s="17">
        <f>IFERROR(__xludf.DUMMYFUNCTION("AVERAGE(QUERY(SORT(GOOGLEFINANCE(B877,""price"",TODAY()-365,TODAY()),1,0),""select Col2 limit 120""))"),107.173)</f>
        <v>107.173</v>
      </c>
      <c r="N877" s="19">
        <f>IFERROR(__xludf.DUMMYFUNCTION("AVERAGE(QUERY(SORT(GOOGLEFINANCE(B877,""price"",TODAY()-365,TODAY()),1,0),""select Col2 limit 200""))"),116.7234)</f>
        <v>116.7234</v>
      </c>
      <c r="O877" s="20" t="str">
        <f t="shared" si="2"/>
        <v>Avoid</v>
      </c>
      <c r="P877" s="21" t="str">
        <f t="shared" si="3"/>
        <v/>
      </c>
      <c r="Q877" s="21" t="str">
        <f t="shared" si="4"/>
        <v/>
      </c>
      <c r="R877" s="22">
        <f>IFERROR(__xludf.DUMMYFUNCTION("GOOGLEFINANCE(B877, ""pe"")
"),9.39)</f>
        <v>9.39</v>
      </c>
    </row>
    <row r="878">
      <c r="A878" s="9" t="s">
        <v>888</v>
      </c>
      <c r="B878" s="11" t="str">
        <f t="shared" si="1"/>
        <v>NSE:EMSLIMITED</v>
      </c>
      <c r="C878" s="12">
        <f>IFERROR(__xludf.DUMMYFUNCTION("GOOGLEFINANCE(B878,""marketcap"")/10000000"),3428.7486963)</f>
        <v>3428.748696</v>
      </c>
      <c r="D878" s="13">
        <f>IFERROR(__xludf.DUMMYFUNCTION("GOOGLEFINANCE(B878,""price"")"),617.95)</f>
        <v>617.95</v>
      </c>
      <c r="E878" s="14">
        <f>IFERROR(__xludf.DUMMYFUNCTION("GOOGLEFINANCE(B878,""Volume"")"),72697.0)</f>
        <v>72697</v>
      </c>
      <c r="F878" s="14">
        <f t="array" ref="F878">F877</f>
        <v>14</v>
      </c>
      <c r="G878" s="15" t="str">
        <f>IFERROR(__xludf.DUMMYFUNCTION("IF(E878&gt;AVERAGE(INDEX(GOOGLEFINANCE(B878,""volume"",WORKDAY(TODAY(),-$F$1),TODAY()),,2)),""Breakout"","""")"),"")</f>
        <v/>
      </c>
      <c r="H878" s="16">
        <f>IFERROR(__xludf.DUMMYFUNCTION("GOOGLEFINANCE(B878,""price"")"),617.95)</f>
        <v>617.95</v>
      </c>
      <c r="I878" s="17">
        <f>IFERROR(__xludf.DUMMYFUNCTION("AVERAGE(QUERY(SORT(GOOGLEFINANCE(B878,""price"",TODAY()-365,TODAY()),1,0),""select Col2 limit 10""))"),622.675)</f>
        <v>622.675</v>
      </c>
      <c r="J878" s="17">
        <f>IFERROR(__xludf.DUMMYFUNCTION("AVERAGE(QUERY(SORT(GOOGLEFINANCE(B878,""price"",TODAY()-365,TODAY()),1,0),""select Col2 limit 30""))"),610.9783333333332)</f>
        <v>610.9783333</v>
      </c>
      <c r="K878" s="18">
        <f>IFERROR(__xludf.DUMMYFUNCTION("AVERAGE(QUERY(SORT(GOOGLEFINANCE(B878,""price"",TODAY()-365,TODAY()),1,0),""select Col2 limit 60""))"),610.1341666666666)</f>
        <v>610.1341667</v>
      </c>
      <c r="L878" s="17">
        <f>IFERROR(__xludf.DUMMYFUNCTION("AVERAGE(QUERY(SORT(GOOGLEFINANCE(B878,""price"",TODAY()-365,TODAY()),1,0),""select Col2 limit 90""))"),620.1955555555555)</f>
        <v>620.1955556</v>
      </c>
      <c r="M878" s="17">
        <f>IFERROR(__xludf.DUMMYFUNCTION("AVERAGE(QUERY(SORT(GOOGLEFINANCE(B878,""price"",TODAY()-365,TODAY()),1,0),""select Col2 limit 120""))"),633.5825)</f>
        <v>633.5825</v>
      </c>
      <c r="N878" s="19">
        <f>IFERROR(__xludf.DUMMYFUNCTION("AVERAGE(QUERY(SORT(GOOGLEFINANCE(B878,""price"",TODAY()-365,TODAY()),1,0),""select Col2 limit 200""))"),708.1580000000001)</f>
        <v>708.158</v>
      </c>
      <c r="O878" s="20" t="str">
        <f t="shared" si="2"/>
        <v>Avoid</v>
      </c>
      <c r="P878" s="21" t="str">
        <f t="shared" si="3"/>
        <v>10 DMA</v>
      </c>
      <c r="Q878" s="21" t="str">
        <f t="shared" si="4"/>
        <v/>
      </c>
      <c r="R878" s="22">
        <f>IFERROR(__xludf.DUMMYFUNCTION("GOOGLEFINANCE(B878, ""pe"")
"),18.69)</f>
        <v>18.69</v>
      </c>
    </row>
    <row r="879">
      <c r="A879" s="9" t="s">
        <v>889</v>
      </c>
      <c r="B879" s="11" t="str">
        <f t="shared" si="1"/>
        <v>NSE:YATHARTH</v>
      </c>
      <c r="C879" s="12">
        <f>IFERROR(__xludf.DUMMYFUNCTION("GOOGLEFINANCE(B879,""marketcap"")/10000000"),6015.883607)</f>
        <v>6015.883607</v>
      </c>
      <c r="D879" s="13">
        <f>IFERROR(__xludf.DUMMYFUNCTION("GOOGLEFINANCE(B879,""price"")"),624.55)</f>
        <v>624.55</v>
      </c>
      <c r="E879" s="14">
        <f>IFERROR(__xludf.DUMMYFUNCTION("GOOGLEFINANCE(B879,""Volume"")"),305573.0)</f>
        <v>305573</v>
      </c>
      <c r="F879" s="14">
        <f t="array" ref="F879">F878</f>
        <v>14</v>
      </c>
      <c r="G879" s="15" t="str">
        <f>IFERROR(__xludf.DUMMYFUNCTION("IF(E879&gt;AVERAGE(INDEX(GOOGLEFINANCE(B879,""volume"",WORKDAY(TODAY(),-$F$1),TODAY()),,2)),""Breakout"","""")"),"")</f>
        <v/>
      </c>
      <c r="H879" s="16">
        <f>IFERROR(__xludf.DUMMYFUNCTION("GOOGLEFINANCE(B879,""price"")"),624.55)</f>
        <v>624.55</v>
      </c>
      <c r="I879" s="17">
        <f>IFERROR(__xludf.DUMMYFUNCTION("AVERAGE(QUERY(SORT(GOOGLEFINANCE(B879,""price"",TODAY()-365,TODAY()),1,0),""select Col2 limit 10""))"),626.83)</f>
        <v>626.83</v>
      </c>
      <c r="J879" s="17">
        <f>IFERROR(__xludf.DUMMYFUNCTION("AVERAGE(QUERY(SORT(GOOGLEFINANCE(B879,""price"",TODAY()-365,TODAY()),1,0),""select Col2 limit 30""))"),576.6666666666666)</f>
        <v>576.6666667</v>
      </c>
      <c r="K879" s="18">
        <f>IFERROR(__xludf.DUMMYFUNCTION("AVERAGE(QUERY(SORT(GOOGLEFINANCE(B879,""price"",TODAY()-365,TODAY()),1,0),""select Col2 limit 60""))"),540.3875)</f>
        <v>540.3875</v>
      </c>
      <c r="L879" s="17">
        <f>IFERROR(__xludf.DUMMYFUNCTION("AVERAGE(QUERY(SORT(GOOGLEFINANCE(B879,""price"",TODAY()-365,TODAY()),1,0),""select Col2 limit 90""))"),512.2038888888887)</f>
        <v>512.2038889</v>
      </c>
      <c r="M879" s="17">
        <f>IFERROR(__xludf.DUMMYFUNCTION("AVERAGE(QUERY(SORT(GOOGLEFINANCE(B879,""price"",TODAY()-365,TODAY()),1,0),""select Col2 limit 120""))"),483.22874999999993)</f>
        <v>483.22875</v>
      </c>
      <c r="N879" s="19">
        <f>IFERROR(__xludf.DUMMYFUNCTION("AVERAGE(QUERY(SORT(GOOGLEFINANCE(B879,""price"",TODAY()-365,TODAY()),1,0),""select Col2 limit 200""))"),523.8814999999998)</f>
        <v>523.8815</v>
      </c>
      <c r="O879" s="20" t="str">
        <f t="shared" si="2"/>
        <v>Avoid</v>
      </c>
      <c r="P879" s="21" t="str">
        <f t="shared" si="3"/>
        <v>10 DMA</v>
      </c>
      <c r="Q879" s="21" t="str">
        <f t="shared" si="4"/>
        <v/>
      </c>
      <c r="R879" s="22">
        <f>IFERROR(__xludf.DUMMYFUNCTION("GOOGLEFINANCE(B879, ""pe"")
"),42.43)</f>
        <v>42.43</v>
      </c>
    </row>
    <row r="880">
      <c r="A880" s="9" t="s">
        <v>890</v>
      </c>
      <c r="B880" s="11" t="str">
        <f t="shared" si="1"/>
        <v>NSE:SBCL</v>
      </c>
      <c r="C880" s="12">
        <f>IFERROR(__xludf.DUMMYFUNCTION("GOOGLEFINANCE(B880,""marketcap"")/10000000"),3044.38197)</f>
        <v>3044.38197</v>
      </c>
      <c r="D880" s="13">
        <f>IFERROR(__xludf.DUMMYFUNCTION("GOOGLEFINANCE(B880,""price"")"),529.15)</f>
        <v>529.15</v>
      </c>
      <c r="E880" s="14">
        <f>IFERROR(__xludf.DUMMYFUNCTION("GOOGLEFINANCE(B880,""Volume"")"),85828.0)</f>
        <v>85828</v>
      </c>
      <c r="F880" s="14">
        <f t="array" ref="F880">F879</f>
        <v>14</v>
      </c>
      <c r="G880" s="15" t="str">
        <f>IFERROR(__xludf.DUMMYFUNCTION("IF(E880&gt;AVERAGE(INDEX(GOOGLEFINANCE(B880,""volume"",WORKDAY(TODAY(),-$F$1),TODAY()),,2)),""Breakout"","""")"),"")</f>
        <v/>
      </c>
      <c r="H880" s="16">
        <f>IFERROR(__xludf.DUMMYFUNCTION("GOOGLEFINANCE(B880,""price"")"),529.15)</f>
        <v>529.15</v>
      </c>
      <c r="I880" s="17">
        <f>IFERROR(__xludf.DUMMYFUNCTION("AVERAGE(QUERY(SORT(GOOGLEFINANCE(B880,""price"",TODAY()-365,TODAY()),1,0),""select Col2 limit 10""))"),566.205)</f>
        <v>566.205</v>
      </c>
      <c r="J880" s="17">
        <f>IFERROR(__xludf.DUMMYFUNCTION("AVERAGE(QUERY(SORT(GOOGLEFINANCE(B880,""price"",TODAY()-365,TODAY()),1,0),""select Col2 limit 30""))"),537.7566666666667)</f>
        <v>537.7566667</v>
      </c>
      <c r="K880" s="18">
        <f>IFERROR(__xludf.DUMMYFUNCTION("AVERAGE(QUERY(SORT(GOOGLEFINANCE(B880,""price"",TODAY()-365,TODAY()),1,0),""select Col2 limit 60""))"),507.46750000000003)</f>
        <v>507.4675</v>
      </c>
      <c r="L880" s="17">
        <f>IFERROR(__xludf.DUMMYFUNCTION("AVERAGE(QUERY(SORT(GOOGLEFINANCE(B880,""price"",TODAY()-365,TODAY()),1,0),""select Col2 limit 90""))"),486.2544444444445)</f>
        <v>486.2544444</v>
      </c>
      <c r="M880" s="17">
        <f>IFERROR(__xludf.DUMMYFUNCTION("AVERAGE(QUERY(SORT(GOOGLEFINANCE(B880,""price"",TODAY()-365,TODAY()),1,0),""select Col2 limit 120""))"),482.0816666666668)</f>
        <v>482.0816667</v>
      </c>
      <c r="N880" s="19">
        <f>IFERROR(__xludf.DUMMYFUNCTION("AVERAGE(QUERY(SORT(GOOGLEFINANCE(B880,""price"",TODAY()-365,TODAY()),1,0),""select Col2 limit 200""))"),528.3885000000002)</f>
        <v>528.3885</v>
      </c>
      <c r="O880" s="20" t="str">
        <f t="shared" si="2"/>
        <v>Avoid</v>
      </c>
      <c r="P880" s="21" t="str">
        <f t="shared" si="3"/>
        <v/>
      </c>
      <c r="Q880" s="21" t="str">
        <f t="shared" si="4"/>
        <v/>
      </c>
      <c r="R880" s="22">
        <f>IFERROR(__xludf.DUMMYFUNCTION("GOOGLEFINANCE(B880, ""pe"")
"),39.69)</f>
        <v>39.69</v>
      </c>
    </row>
    <row r="881">
      <c r="A881" s="9" t="s">
        <v>891</v>
      </c>
      <c r="B881" s="11" t="str">
        <f t="shared" si="1"/>
        <v>NSE:HPL</v>
      </c>
      <c r="C881" s="12">
        <f>IFERROR(__xludf.DUMMYFUNCTION("GOOGLEFINANCE(B881,""marketcap"")/10000000"),3520.45128)</f>
        <v>3520.45128</v>
      </c>
      <c r="D881" s="13">
        <f>IFERROR(__xludf.DUMMYFUNCTION("GOOGLEFINANCE(B881,""price"")"),546.85)</f>
        <v>546.85</v>
      </c>
      <c r="E881" s="14">
        <f>IFERROR(__xludf.DUMMYFUNCTION("GOOGLEFINANCE(B881,""Volume"")"),142959.0)</f>
        <v>142959</v>
      </c>
      <c r="F881" s="14">
        <f t="array" ref="F881">F880</f>
        <v>14</v>
      </c>
      <c r="G881" s="15" t="str">
        <f>IFERROR(__xludf.DUMMYFUNCTION("IF(E881&gt;AVERAGE(INDEX(GOOGLEFINANCE(B881,""volume"",WORKDAY(TODAY(),-$F$1),TODAY()),,2)),""Breakout"","""")"),"")</f>
        <v/>
      </c>
      <c r="H881" s="16">
        <f>IFERROR(__xludf.DUMMYFUNCTION("GOOGLEFINANCE(B881,""price"")"),546.85)</f>
        <v>546.85</v>
      </c>
      <c r="I881" s="17">
        <f>IFERROR(__xludf.DUMMYFUNCTION("AVERAGE(QUERY(SORT(GOOGLEFINANCE(B881,""price"",TODAY()-365,TODAY()),1,0),""select Col2 limit 10""))"),599.8800000000001)</f>
        <v>599.88</v>
      </c>
      <c r="J881" s="17">
        <f>IFERROR(__xludf.DUMMYFUNCTION("AVERAGE(QUERY(SORT(GOOGLEFINANCE(B881,""price"",TODAY()-365,TODAY()),1,0),""select Col2 limit 30""))"),572.33)</f>
        <v>572.33</v>
      </c>
      <c r="K881" s="18">
        <f>IFERROR(__xludf.DUMMYFUNCTION("AVERAGE(QUERY(SORT(GOOGLEFINANCE(B881,""price"",TODAY()-365,TODAY()),1,0),""select Col2 limit 60""))"),537.7416666666666)</f>
        <v>537.7416667</v>
      </c>
      <c r="L881" s="17">
        <f>IFERROR(__xludf.DUMMYFUNCTION("AVERAGE(QUERY(SORT(GOOGLEFINANCE(B881,""price"",TODAY()-365,TODAY()),1,0),""select Col2 limit 90""))"),499.1838888888888)</f>
        <v>499.1838889</v>
      </c>
      <c r="M881" s="17">
        <f>IFERROR(__xludf.DUMMYFUNCTION("AVERAGE(QUERY(SORT(GOOGLEFINANCE(B881,""price"",TODAY()-365,TODAY()),1,0),""select Col2 limit 120""))"),477.02999999999986)</f>
        <v>477.03</v>
      </c>
      <c r="N881" s="19">
        <f>IFERROR(__xludf.DUMMYFUNCTION("AVERAGE(QUERY(SORT(GOOGLEFINANCE(B881,""price"",TODAY()-365,TODAY()),1,0),""select Col2 limit 200""))"),498.80099999999993)</f>
        <v>498.801</v>
      </c>
      <c r="O881" s="20" t="str">
        <f t="shared" si="2"/>
        <v>Avoid</v>
      </c>
      <c r="P881" s="21" t="str">
        <f t="shared" si="3"/>
        <v/>
      </c>
      <c r="Q881" s="21" t="str">
        <f t="shared" si="4"/>
        <v/>
      </c>
      <c r="R881" s="22">
        <f>IFERROR(__xludf.DUMMYFUNCTION("GOOGLEFINANCE(B881, ""pe"")
"),37.45)</f>
        <v>37.45</v>
      </c>
    </row>
    <row r="882">
      <c r="A882" s="9" t="s">
        <v>892</v>
      </c>
      <c r="B882" s="11" t="str">
        <f t="shared" si="1"/>
        <v>NSE:CIGNITITEC</v>
      </c>
      <c r="C882" s="12">
        <f>IFERROR(__xludf.DUMMYFUNCTION("GOOGLEFINANCE(B882,""marketcap"")/10000000"),4412.2787975)</f>
        <v>4412.278798</v>
      </c>
      <c r="D882" s="13">
        <f>IFERROR(__xludf.DUMMYFUNCTION("GOOGLEFINANCE(B882,""price"")"),1610.5)</f>
        <v>1610.5</v>
      </c>
      <c r="E882" s="14">
        <f>IFERROR(__xludf.DUMMYFUNCTION("GOOGLEFINANCE(B882,""Volume"")"),54233.0)</f>
        <v>54233</v>
      </c>
      <c r="F882" s="14">
        <f t="array" ref="F882">F881</f>
        <v>14</v>
      </c>
      <c r="G882" s="15" t="str">
        <f>IFERROR(__xludf.DUMMYFUNCTION("IF(E882&gt;AVERAGE(INDEX(GOOGLEFINANCE(B882,""volume"",WORKDAY(TODAY(),-$F$1),TODAY()),,2)),""Breakout"","""")"),"")</f>
        <v/>
      </c>
      <c r="H882" s="16">
        <f>IFERROR(__xludf.DUMMYFUNCTION("GOOGLEFINANCE(B882,""price"")"),1610.5)</f>
        <v>1610.5</v>
      </c>
      <c r="I882" s="17">
        <f>IFERROR(__xludf.DUMMYFUNCTION("AVERAGE(QUERY(SORT(GOOGLEFINANCE(B882,""price"",TODAY()-365,TODAY()),1,0),""select Col2 limit 10""))"),1723.5699999999997)</f>
        <v>1723.57</v>
      </c>
      <c r="J882" s="17">
        <f>IFERROR(__xludf.DUMMYFUNCTION("AVERAGE(QUERY(SORT(GOOGLEFINANCE(B882,""price"",TODAY()-365,TODAY()),1,0),""select Col2 limit 30""))"),1749.0366666666664)</f>
        <v>1749.036667</v>
      </c>
      <c r="K882" s="18">
        <f>IFERROR(__xludf.DUMMYFUNCTION("AVERAGE(QUERY(SORT(GOOGLEFINANCE(B882,""price"",TODAY()-365,TODAY()),1,0),""select Col2 limit 60""))"),1652.951666666667)</f>
        <v>1652.951667</v>
      </c>
      <c r="L882" s="17">
        <f>IFERROR(__xludf.DUMMYFUNCTION("AVERAGE(QUERY(SORT(GOOGLEFINANCE(B882,""price"",TODAY()-365,TODAY()),1,0),""select Col2 limit 90""))"),1544.9111111111115)</f>
        <v>1544.911111</v>
      </c>
      <c r="M882" s="17">
        <f>IFERROR(__xludf.DUMMYFUNCTION("AVERAGE(QUERY(SORT(GOOGLEFINANCE(B882,""price"",TODAY()-365,TODAY()),1,0),""select Col2 limit 120""))"),1512.314166666667)</f>
        <v>1512.314167</v>
      </c>
      <c r="N882" s="19">
        <f>IFERROR(__xludf.DUMMYFUNCTION("AVERAGE(QUERY(SORT(GOOGLEFINANCE(B882,""price"",TODAY()-365,TODAY()),1,0),""select Col2 limit 200""))"),1543.8682499999998)</f>
        <v>1543.86825</v>
      </c>
      <c r="O882" s="20" t="str">
        <f t="shared" si="2"/>
        <v>Avoid</v>
      </c>
      <c r="P882" s="21" t="str">
        <f t="shared" si="3"/>
        <v/>
      </c>
      <c r="Q882" s="21" t="str">
        <f t="shared" si="4"/>
        <v/>
      </c>
      <c r="R882" s="22">
        <f>IFERROR(__xludf.DUMMYFUNCTION("GOOGLEFINANCE(B882, ""pe"")
"),17.34)</f>
        <v>17.34</v>
      </c>
    </row>
    <row r="883">
      <c r="A883" s="9" t="s">
        <v>893</v>
      </c>
      <c r="B883" s="11" t="str">
        <f t="shared" si="1"/>
        <v>NSE:SSWL</v>
      </c>
      <c r="C883" s="12">
        <f>IFERROR(__xludf.DUMMYFUNCTION("GOOGLEFINANCE(B883,""marketcap"")/10000000"),3756.61156)</f>
        <v>3756.61156</v>
      </c>
      <c r="D883" s="13">
        <f>IFERROR(__xludf.DUMMYFUNCTION("GOOGLEFINANCE(B883,""price"")"),238.65)</f>
        <v>238.65</v>
      </c>
      <c r="E883" s="14">
        <f>IFERROR(__xludf.DUMMYFUNCTION("GOOGLEFINANCE(B883,""Volume"")"),92113.0)</f>
        <v>92113</v>
      </c>
      <c r="F883" s="14">
        <f t="array" ref="F883">F882</f>
        <v>14</v>
      </c>
      <c r="G883" s="15" t="str">
        <f>IFERROR(__xludf.DUMMYFUNCTION("IF(E883&gt;AVERAGE(INDEX(GOOGLEFINANCE(B883,""volume"",WORKDAY(TODAY(),-$F$1),TODAY()),,2)),""Breakout"","""")"),"")</f>
        <v/>
      </c>
      <c r="H883" s="16">
        <f>IFERROR(__xludf.DUMMYFUNCTION("GOOGLEFINANCE(B883,""price"")"),238.65)</f>
        <v>238.65</v>
      </c>
      <c r="I883" s="17">
        <f>IFERROR(__xludf.DUMMYFUNCTION("AVERAGE(QUERY(SORT(GOOGLEFINANCE(B883,""price"",TODAY()-365,TODAY()),1,0),""select Col2 limit 10""))"),247.96499999999997)</f>
        <v>247.965</v>
      </c>
      <c r="J883" s="17">
        <f>IFERROR(__xludf.DUMMYFUNCTION("AVERAGE(QUERY(SORT(GOOGLEFINANCE(B883,""price"",TODAY()-365,TODAY()),1,0),""select Col2 limit 30""))"),254.02200000000002)</f>
        <v>254.022</v>
      </c>
      <c r="K883" s="18">
        <f>IFERROR(__xludf.DUMMYFUNCTION("AVERAGE(QUERY(SORT(GOOGLEFINANCE(B883,""price"",TODAY()-365,TODAY()),1,0),""select Col2 limit 60""))"),245.662)</f>
        <v>245.662</v>
      </c>
      <c r="L883" s="17">
        <f>IFERROR(__xludf.DUMMYFUNCTION("AVERAGE(QUERY(SORT(GOOGLEFINANCE(B883,""price"",TODAY()-365,TODAY()),1,0),""select Col2 limit 90""))"),228.0342222222222)</f>
        <v>228.0342222</v>
      </c>
      <c r="M883" s="17">
        <f>IFERROR(__xludf.DUMMYFUNCTION("AVERAGE(QUERY(SORT(GOOGLEFINANCE(B883,""price"",TODAY()-365,TODAY()),1,0),""select Col2 limit 120""))"),216.01233333333326)</f>
        <v>216.0123333</v>
      </c>
      <c r="N883" s="19">
        <f>IFERROR(__xludf.DUMMYFUNCTION("AVERAGE(QUERY(SORT(GOOGLEFINANCE(B883,""price"",TODAY()-365,TODAY()),1,0),""select Col2 limit 200""))"),211.2549499999999)</f>
        <v>211.25495</v>
      </c>
      <c r="O883" s="20" t="str">
        <f t="shared" si="2"/>
        <v>Avoid</v>
      </c>
      <c r="P883" s="21" t="str">
        <f t="shared" si="3"/>
        <v/>
      </c>
      <c r="Q883" s="21" t="str">
        <f t="shared" si="4"/>
        <v/>
      </c>
      <c r="R883" s="22">
        <f>IFERROR(__xludf.DUMMYFUNCTION("GOOGLEFINANCE(B883, ""pe"")
"),19.29)</f>
        <v>19.29</v>
      </c>
    </row>
    <row r="884">
      <c r="A884" s="9" t="s">
        <v>894</v>
      </c>
      <c r="B884" s="11" t="str">
        <f t="shared" si="1"/>
        <v>NSE:ZAGGLE</v>
      </c>
      <c r="C884" s="12">
        <f>IFERROR(__xludf.DUMMYFUNCTION("GOOGLEFINANCE(B884,""marketcap"")/10000000"),4929.7987375)</f>
        <v>4929.798738</v>
      </c>
      <c r="D884" s="13">
        <f>IFERROR(__xludf.DUMMYFUNCTION("GOOGLEFINANCE(B884,""price"")"),366.95)</f>
        <v>366.95</v>
      </c>
      <c r="E884" s="14">
        <f>IFERROR(__xludf.DUMMYFUNCTION("GOOGLEFINANCE(B884,""Volume"")"),349500.0)</f>
        <v>349500</v>
      </c>
      <c r="F884" s="14">
        <f t="array" ref="F884">F883</f>
        <v>14</v>
      </c>
      <c r="G884" s="15" t="str">
        <f>IFERROR(__xludf.DUMMYFUNCTION("IF(E884&gt;AVERAGE(INDEX(GOOGLEFINANCE(B884,""volume"",WORKDAY(TODAY(),-$F$1),TODAY()),,2)),""Breakout"","""")"),"")</f>
        <v/>
      </c>
      <c r="H884" s="16">
        <f>IFERROR(__xludf.DUMMYFUNCTION("GOOGLEFINANCE(B884,""price"")"),366.95)</f>
        <v>366.95</v>
      </c>
      <c r="I884" s="17">
        <f>IFERROR(__xludf.DUMMYFUNCTION("AVERAGE(QUERY(SORT(GOOGLEFINANCE(B884,""price"",TODAY()-365,TODAY()),1,0),""select Col2 limit 10""))"),410.2700000000001)</f>
        <v>410.27</v>
      </c>
      <c r="J884" s="17">
        <f>IFERROR(__xludf.DUMMYFUNCTION("AVERAGE(QUERY(SORT(GOOGLEFINANCE(B884,""price"",TODAY()-365,TODAY()),1,0),""select Col2 limit 30""))"),414.4466666666667)</f>
        <v>414.4466667</v>
      </c>
      <c r="K884" s="18">
        <f>IFERROR(__xludf.DUMMYFUNCTION("AVERAGE(QUERY(SORT(GOOGLEFINANCE(B884,""price"",TODAY()-365,TODAY()),1,0),""select Col2 limit 60""))"),413.33416666666676)</f>
        <v>413.3341667</v>
      </c>
      <c r="L884" s="17">
        <f>IFERROR(__xludf.DUMMYFUNCTION("AVERAGE(QUERY(SORT(GOOGLEFINANCE(B884,""price"",TODAY()-365,TODAY()),1,0),""select Col2 limit 90""))"),388.55666666666673)</f>
        <v>388.5566667</v>
      </c>
      <c r="M884" s="17">
        <f>IFERROR(__xludf.DUMMYFUNCTION("AVERAGE(QUERY(SORT(GOOGLEFINANCE(B884,""price"",TODAY()-365,TODAY()),1,0),""select Col2 limit 120""))"),387.55416666666673)</f>
        <v>387.5541667</v>
      </c>
      <c r="N884" s="19">
        <f>IFERROR(__xludf.DUMMYFUNCTION("AVERAGE(QUERY(SORT(GOOGLEFINANCE(B884,""price"",TODAY()-365,TODAY()),1,0),""select Col2 limit 200""))"),425.9382499999999)</f>
        <v>425.93825</v>
      </c>
      <c r="O884" s="20" t="str">
        <f t="shared" si="2"/>
        <v>Avoid</v>
      </c>
      <c r="P884" s="21" t="str">
        <f t="shared" si="3"/>
        <v/>
      </c>
      <c r="Q884" s="21" t="str">
        <f t="shared" si="4"/>
        <v/>
      </c>
      <c r="R884" s="22">
        <f>IFERROR(__xludf.DUMMYFUNCTION("GOOGLEFINANCE(B884, ""pe"")
"),52.71)</f>
        <v>52.71</v>
      </c>
    </row>
    <row r="885">
      <c r="A885" s="9" t="s">
        <v>895</v>
      </c>
      <c r="B885" s="11" t="str">
        <f t="shared" si="1"/>
        <v>NSE:SWARAJENG</v>
      </c>
      <c r="C885" s="12">
        <f>IFERROR(__xludf.DUMMYFUNCTION("GOOGLEFINANCE(B885,""marketcap"")/10000000"),5080.4830334)</f>
        <v>5080.483033</v>
      </c>
      <c r="D885" s="13">
        <f>IFERROR(__xludf.DUMMYFUNCTION("GOOGLEFINANCE(B885,""price"")"),4180.0)</f>
        <v>4180</v>
      </c>
      <c r="E885" s="14">
        <f>IFERROR(__xludf.DUMMYFUNCTION("GOOGLEFINANCE(B885,""Volume"")"),13727.0)</f>
        <v>13727</v>
      </c>
      <c r="F885" s="14">
        <f t="array" ref="F885">F884</f>
        <v>14</v>
      </c>
      <c r="G885" s="15" t="str">
        <f>IFERROR(__xludf.DUMMYFUNCTION("IF(E885&gt;AVERAGE(INDEX(GOOGLEFINANCE(B885,""volume"",WORKDAY(TODAY(),-$F$1),TODAY()),,2)),""Breakout"","""")"),"")</f>
        <v/>
      </c>
      <c r="H885" s="16">
        <f>IFERROR(__xludf.DUMMYFUNCTION("GOOGLEFINANCE(B885,""price"")"),4180.0)</f>
        <v>4180</v>
      </c>
      <c r="I885" s="17">
        <f>IFERROR(__xludf.DUMMYFUNCTION("AVERAGE(QUERY(SORT(GOOGLEFINANCE(B885,""price"",TODAY()-365,TODAY()),1,0),""select Col2 limit 10""))"),4395.17)</f>
        <v>4395.17</v>
      </c>
      <c r="J885" s="17">
        <f>IFERROR(__xludf.DUMMYFUNCTION("AVERAGE(QUERY(SORT(GOOGLEFINANCE(B885,""price"",TODAY()-365,TODAY()),1,0),""select Col2 limit 30""))"),4192.003333333333)</f>
        <v>4192.003333</v>
      </c>
      <c r="K885" s="18">
        <f>IFERROR(__xludf.DUMMYFUNCTION("AVERAGE(QUERY(SORT(GOOGLEFINANCE(B885,""price"",TODAY()-365,TODAY()),1,0),""select Col2 limit 60""))"),4100.905000000002)</f>
        <v>4100.905</v>
      </c>
      <c r="L885" s="17">
        <f>IFERROR(__xludf.DUMMYFUNCTION("AVERAGE(QUERY(SORT(GOOGLEFINANCE(B885,""price"",TODAY()-365,TODAY()),1,0),""select Col2 limit 90""))"),4039.091666666668)</f>
        <v>4039.091667</v>
      </c>
      <c r="M885" s="17">
        <f>IFERROR(__xludf.DUMMYFUNCTION("AVERAGE(QUERY(SORT(GOOGLEFINANCE(B885,""price"",TODAY()-365,TODAY()),1,0),""select Col2 limit 120""))"),3767.890000000001)</f>
        <v>3767.89</v>
      </c>
      <c r="N885" s="19">
        <f>IFERROR(__xludf.DUMMYFUNCTION("AVERAGE(QUERY(SORT(GOOGLEFINANCE(B885,""price"",TODAY()-365,TODAY()),1,0),""select Col2 limit 200""))"),3480.7174999999993)</f>
        <v>3480.7175</v>
      </c>
      <c r="O885" s="20" t="str">
        <f t="shared" si="2"/>
        <v>Avoid</v>
      </c>
      <c r="P885" s="21" t="str">
        <f t="shared" si="3"/>
        <v>30 DMA</v>
      </c>
      <c r="Q885" s="21" t="str">
        <f t="shared" si="4"/>
        <v/>
      </c>
      <c r="R885" s="22">
        <f>IFERROR(__xludf.DUMMYFUNCTION("GOOGLEFINANCE(B885, ""pe"")
"),29.4)</f>
        <v>29.4</v>
      </c>
    </row>
    <row r="886">
      <c r="A886" s="9" t="s">
        <v>896</v>
      </c>
      <c r="B886" s="11" t="str">
        <f t="shared" si="1"/>
        <v>NSE:DELTACORP</v>
      </c>
      <c r="C886" s="12">
        <f>IFERROR(__xludf.DUMMYFUNCTION("GOOGLEFINANCE(B886,""marketcap"")/10000000"),2362.0088485)</f>
        <v>2362.008849</v>
      </c>
      <c r="D886" s="13">
        <f>IFERROR(__xludf.DUMMYFUNCTION("GOOGLEFINANCE(B886,""price"")"),88.24)</f>
        <v>88.24</v>
      </c>
      <c r="E886" s="14">
        <f>IFERROR(__xludf.DUMMYFUNCTION("GOOGLEFINANCE(B886,""Volume"")"),567794.0)</f>
        <v>567794</v>
      </c>
      <c r="F886" s="14">
        <f t="array" ref="F886">F885</f>
        <v>14</v>
      </c>
      <c r="G886" s="15" t="str">
        <f>IFERROR(__xludf.DUMMYFUNCTION("IF(E886&gt;AVERAGE(INDEX(GOOGLEFINANCE(B886,""volume"",WORKDAY(TODAY(),-$F$1),TODAY()),,2)),""Breakout"","""")"),"")</f>
        <v/>
      </c>
      <c r="H886" s="16">
        <f>IFERROR(__xludf.DUMMYFUNCTION("GOOGLEFINANCE(B886,""price"")"),88.24)</f>
        <v>88.24</v>
      </c>
      <c r="I886" s="17">
        <f>IFERROR(__xludf.DUMMYFUNCTION("AVERAGE(QUERY(SORT(GOOGLEFINANCE(B886,""price"",TODAY()-365,TODAY()),1,0),""select Col2 limit 10""))"),89.88)</f>
        <v>89.88</v>
      </c>
      <c r="J886" s="17">
        <f>IFERROR(__xludf.DUMMYFUNCTION("AVERAGE(QUERY(SORT(GOOGLEFINANCE(B886,""price"",TODAY()-365,TODAY()),1,0),""select Col2 limit 30""))"),89.58899999999997)</f>
        <v>89.589</v>
      </c>
      <c r="K886" s="18">
        <f>IFERROR(__xludf.DUMMYFUNCTION("AVERAGE(QUERY(SORT(GOOGLEFINANCE(B886,""price"",TODAY()-365,TODAY()),1,0),""select Col2 limit 60""))"),90.50649999999997)</f>
        <v>90.5065</v>
      </c>
      <c r="L886" s="17">
        <f>IFERROR(__xludf.DUMMYFUNCTION("AVERAGE(QUERY(SORT(GOOGLEFINANCE(B886,""price"",TODAY()-365,TODAY()),1,0),""select Col2 limit 90""))"),89.29222222222221)</f>
        <v>89.29222222</v>
      </c>
      <c r="M886" s="17">
        <f>IFERROR(__xludf.DUMMYFUNCTION("AVERAGE(QUERY(SORT(GOOGLEFINANCE(B886,""price"",TODAY()-365,TODAY()),1,0),""select Col2 limit 120""))"),90.66891666666668)</f>
        <v>90.66891667</v>
      </c>
      <c r="N886" s="19">
        <f>IFERROR(__xludf.DUMMYFUNCTION("AVERAGE(QUERY(SORT(GOOGLEFINANCE(B886,""price"",TODAY()-365,TODAY()),1,0),""select Col2 limit 200""))"),100.8356)</f>
        <v>100.8356</v>
      </c>
      <c r="O886" s="20" t="str">
        <f t="shared" si="2"/>
        <v>Avoid</v>
      </c>
      <c r="P886" s="21" t="str">
        <f t="shared" si="3"/>
        <v/>
      </c>
      <c r="Q886" s="21" t="str">
        <f t="shared" si="4"/>
        <v/>
      </c>
      <c r="R886" s="22">
        <f>IFERROR(__xludf.DUMMYFUNCTION("GOOGLEFINANCE(B886, ""pe"")
"),7.44)</f>
        <v>7.44</v>
      </c>
    </row>
    <row r="887">
      <c r="A887" s="9" t="s">
        <v>897</v>
      </c>
      <c r="B887" s="11" t="str">
        <f t="shared" si="1"/>
        <v>NSE:GREAVESCOT</v>
      </c>
      <c r="C887" s="12">
        <f>IFERROR(__xludf.DUMMYFUNCTION("GOOGLEFINANCE(B887,""marketcap"")/10000000"),4632.57473)</f>
        <v>4632.57473</v>
      </c>
      <c r="D887" s="13">
        <f>IFERROR(__xludf.DUMMYFUNCTION("GOOGLEFINANCE(B887,""price"")"),199.15)</f>
        <v>199.15</v>
      </c>
      <c r="E887" s="14">
        <f>IFERROR(__xludf.DUMMYFUNCTION("GOOGLEFINANCE(B887,""Volume"")"),569765.0)</f>
        <v>569765</v>
      </c>
      <c r="F887" s="14">
        <f t="array" ref="F887">F886</f>
        <v>14</v>
      </c>
      <c r="G887" s="15" t="str">
        <f>IFERROR(__xludf.DUMMYFUNCTION("IF(E887&gt;AVERAGE(INDEX(GOOGLEFINANCE(B887,""volume"",WORKDAY(TODAY(),-$F$1),TODAY()),,2)),""Breakout"","""")"),"")</f>
        <v/>
      </c>
      <c r="H887" s="16">
        <f>IFERROR(__xludf.DUMMYFUNCTION("GOOGLEFINANCE(B887,""price"")"),199.15)</f>
        <v>199.15</v>
      </c>
      <c r="I887" s="17">
        <f>IFERROR(__xludf.DUMMYFUNCTION("AVERAGE(QUERY(SORT(GOOGLEFINANCE(B887,""price"",TODAY()-365,TODAY()),1,0),""select Col2 limit 10""))"),206.71000000000004)</f>
        <v>206.71</v>
      </c>
      <c r="J887" s="17">
        <f>IFERROR(__xludf.DUMMYFUNCTION("AVERAGE(QUERY(SORT(GOOGLEFINANCE(B887,""price"",TODAY()-365,TODAY()),1,0),""select Col2 limit 30""))"),202.97166666666666)</f>
        <v>202.9716667</v>
      </c>
      <c r="K887" s="18">
        <f>IFERROR(__xludf.DUMMYFUNCTION("AVERAGE(QUERY(SORT(GOOGLEFINANCE(B887,""price"",TODAY()-365,TODAY()),1,0),""select Col2 limit 60""))"),203.70633333333333)</f>
        <v>203.7063333</v>
      </c>
      <c r="L887" s="17">
        <f>IFERROR(__xludf.DUMMYFUNCTION("AVERAGE(QUERY(SORT(GOOGLEFINANCE(B887,""price"",TODAY()-365,TODAY()),1,0),""select Col2 limit 90""))"),203.87866666666662)</f>
        <v>203.8786667</v>
      </c>
      <c r="M887" s="17">
        <f>IFERROR(__xludf.DUMMYFUNCTION("AVERAGE(QUERY(SORT(GOOGLEFINANCE(B887,""price"",TODAY()-365,TODAY()),1,0),""select Col2 limit 120""))"),217.52949999999998)</f>
        <v>217.5295</v>
      </c>
      <c r="N887" s="19">
        <f>IFERROR(__xludf.DUMMYFUNCTION("AVERAGE(QUERY(SORT(GOOGLEFINANCE(B887,""price"",TODAY()-365,TODAY()),1,0),""select Col2 limit 200""))"),215.72499999999985)</f>
        <v>215.725</v>
      </c>
      <c r="O887" s="20" t="str">
        <f t="shared" si="2"/>
        <v>Avoid</v>
      </c>
      <c r="P887" s="21" t="str">
        <f t="shared" si="3"/>
        <v/>
      </c>
      <c r="Q887" s="21" t="str">
        <f t="shared" si="4"/>
        <v/>
      </c>
      <c r="R887" s="22">
        <f>IFERROR(__xludf.DUMMYFUNCTION("GOOGLEFINANCE(B887, ""pe"")
"),79.57)</f>
        <v>79.57</v>
      </c>
    </row>
    <row r="888">
      <c r="A888" s="9" t="s">
        <v>898</v>
      </c>
      <c r="B888" s="11" t="str">
        <f t="shared" si="1"/>
        <v>NSE:APOLLO</v>
      </c>
      <c r="C888" s="12">
        <f>IFERROR(__xludf.DUMMYFUNCTION("GOOGLEFINANCE(B888,""marketcap"")/10000000"),5559.3177989)</f>
        <v>5559.317799</v>
      </c>
      <c r="D888" s="13">
        <f>IFERROR(__xludf.DUMMYFUNCTION("GOOGLEFINANCE(B888,""price"")"),165.55)</f>
        <v>165.55</v>
      </c>
      <c r="E888" s="14">
        <f>IFERROR(__xludf.DUMMYFUNCTION("GOOGLEFINANCE(B888,""Volume"")"),2537176.0)</f>
        <v>2537176</v>
      </c>
      <c r="F888" s="14">
        <f t="array" ref="F888">F887</f>
        <v>14</v>
      </c>
      <c r="G888" s="15" t="str">
        <f>IFERROR(__xludf.DUMMYFUNCTION("IF(E888&gt;AVERAGE(INDEX(GOOGLEFINANCE(B888,""volume"",WORKDAY(TODAY(),-$F$1),TODAY()),,2)),""Breakout"","""")"),"")</f>
        <v/>
      </c>
      <c r="H888" s="16">
        <f>IFERROR(__xludf.DUMMYFUNCTION("GOOGLEFINANCE(B888,""price"")"),165.55)</f>
        <v>165.55</v>
      </c>
      <c r="I888" s="17">
        <f>IFERROR(__xludf.DUMMYFUNCTION("AVERAGE(QUERY(SORT(GOOGLEFINANCE(B888,""price"",TODAY()-365,TODAY()),1,0),""select Col2 limit 10""))"),179.04500000000002)</f>
        <v>179.045</v>
      </c>
      <c r="J888" s="17">
        <f>IFERROR(__xludf.DUMMYFUNCTION("AVERAGE(QUERY(SORT(GOOGLEFINANCE(B888,""price"",TODAY()-365,TODAY()),1,0),""select Col2 limit 30""))"),188.49200000000002)</f>
        <v>188.492</v>
      </c>
      <c r="K888" s="18">
        <f>IFERROR(__xludf.DUMMYFUNCTION("AVERAGE(QUERY(SORT(GOOGLEFINANCE(B888,""price"",TODAY()-365,TODAY()),1,0),""select Col2 limit 60""))"),174.5395)</f>
        <v>174.5395</v>
      </c>
      <c r="L888" s="17">
        <f>IFERROR(__xludf.DUMMYFUNCTION("AVERAGE(QUERY(SORT(GOOGLEFINANCE(B888,""price"",TODAY()-365,TODAY()),1,0),""select Col2 limit 90""))"),155.7882222222222)</f>
        <v>155.7882222</v>
      </c>
      <c r="M888" s="17">
        <f>IFERROR(__xludf.DUMMYFUNCTION("AVERAGE(QUERY(SORT(GOOGLEFINANCE(B888,""price"",TODAY()-365,TODAY()),1,0),""select Col2 limit 120""))"),146.54033333333334)</f>
        <v>146.5403333</v>
      </c>
      <c r="N888" s="19">
        <f>IFERROR(__xludf.DUMMYFUNCTION("AVERAGE(QUERY(SORT(GOOGLEFINANCE(B888,""price"",TODAY()-365,TODAY()),1,0),""select Col2 limit 200""))"),130.6784)</f>
        <v>130.6784</v>
      </c>
      <c r="O888" s="20" t="str">
        <f t="shared" si="2"/>
        <v>Avoid</v>
      </c>
      <c r="P888" s="21" t="str">
        <f t="shared" si="3"/>
        <v/>
      </c>
      <c r="Q888" s="21" t="str">
        <f t="shared" si="4"/>
        <v/>
      </c>
      <c r="R888" s="22">
        <f>IFERROR(__xludf.DUMMYFUNCTION("GOOGLEFINANCE(B888, ""pe"")
"),88.91)</f>
        <v>88.91</v>
      </c>
    </row>
    <row r="889">
      <c r="A889" s="9" t="s">
        <v>899</v>
      </c>
      <c r="B889" s="11" t="str">
        <f t="shared" si="1"/>
        <v>NSE:PGIL</v>
      </c>
      <c r="C889" s="12">
        <f>IFERROR(__xludf.DUMMYFUNCTION("GOOGLEFINANCE(B889,""marketcap"")/10000000"),6958.2296439)</f>
        <v>6958.229644</v>
      </c>
      <c r="D889" s="13">
        <f>IFERROR(__xludf.DUMMYFUNCTION("GOOGLEFINANCE(B889,""price"")"),1514.1)</f>
        <v>1514.1</v>
      </c>
      <c r="E889" s="14">
        <f>IFERROR(__xludf.DUMMYFUNCTION("GOOGLEFINANCE(B889,""Volume"")"),31338.0)</f>
        <v>31338</v>
      </c>
      <c r="F889" s="14">
        <f t="array" ref="F889">F888</f>
        <v>14</v>
      </c>
      <c r="G889" s="15" t="str">
        <f>IFERROR(__xludf.DUMMYFUNCTION("IF(E889&gt;AVERAGE(INDEX(GOOGLEFINANCE(B889,""volume"",WORKDAY(TODAY(),-$F$1),TODAY()),,2)),""Breakout"","""")"),"")</f>
        <v/>
      </c>
      <c r="H889" s="16">
        <f>IFERROR(__xludf.DUMMYFUNCTION("GOOGLEFINANCE(B889,""price"")"),1514.1)</f>
        <v>1514.1</v>
      </c>
      <c r="I889" s="17">
        <f>IFERROR(__xludf.DUMMYFUNCTION("AVERAGE(QUERY(SORT(GOOGLEFINANCE(B889,""price"",TODAY()-365,TODAY()),1,0),""select Col2 limit 10""))"),1550.5300000000002)</f>
        <v>1550.53</v>
      </c>
      <c r="J889" s="17">
        <f>IFERROR(__xludf.DUMMYFUNCTION("AVERAGE(QUERY(SORT(GOOGLEFINANCE(B889,""price"",TODAY()-365,TODAY()),1,0),""select Col2 limit 30""))"),1511.2900000000002)</f>
        <v>1511.29</v>
      </c>
      <c r="K889" s="18">
        <f>IFERROR(__xludf.DUMMYFUNCTION("AVERAGE(QUERY(SORT(GOOGLEFINANCE(B889,""price"",TODAY()-365,TODAY()),1,0),""select Col2 limit 60""))"),1382.3699999999997)</f>
        <v>1382.37</v>
      </c>
      <c r="L889" s="17">
        <f>IFERROR(__xludf.DUMMYFUNCTION("AVERAGE(QUERY(SORT(GOOGLEFINANCE(B889,""price"",TODAY()-365,TODAY()),1,0),""select Col2 limit 90""))"),1305.273333333333)</f>
        <v>1305.273333</v>
      </c>
      <c r="M889" s="17">
        <f>IFERROR(__xludf.DUMMYFUNCTION("AVERAGE(QUERY(SORT(GOOGLEFINANCE(B889,""price"",TODAY()-365,TODAY()),1,0),""select Col2 limit 120""))"),1331.7666666666664)</f>
        <v>1331.766667</v>
      </c>
      <c r="N889" s="19">
        <f>IFERROR(__xludf.DUMMYFUNCTION("AVERAGE(QUERY(SORT(GOOGLEFINANCE(B889,""price"",TODAY()-365,TODAY()),1,0),""select Col2 limit 200""))"),1283.6329999999998)</f>
        <v>1283.633</v>
      </c>
      <c r="O889" s="20" t="str">
        <f t="shared" si="2"/>
        <v>Avoid</v>
      </c>
      <c r="P889" s="21" t="str">
        <f t="shared" si="3"/>
        <v/>
      </c>
      <c r="Q889" s="21" t="str">
        <f t="shared" si="4"/>
        <v/>
      </c>
      <c r="R889" s="22">
        <f>IFERROR(__xludf.DUMMYFUNCTION("GOOGLEFINANCE(B889, ""pe"")
"),28.65)</f>
        <v>28.65</v>
      </c>
    </row>
    <row r="890">
      <c r="A890" s="9" t="s">
        <v>900</v>
      </c>
      <c r="B890" s="11" t="str">
        <f t="shared" si="1"/>
        <v>NSE:GIPCL</v>
      </c>
      <c r="C890" s="12">
        <f>IFERROR(__xludf.DUMMYFUNCTION("GOOGLEFINANCE(B890,""marketcap"")/10000000"),3098.1094587)</f>
        <v>3098.109459</v>
      </c>
      <c r="D890" s="13">
        <f>IFERROR(__xludf.DUMMYFUNCTION("GOOGLEFINANCE(B890,""price"")"),199.56)</f>
        <v>199.56</v>
      </c>
      <c r="E890" s="14">
        <f>IFERROR(__xludf.DUMMYFUNCTION("GOOGLEFINANCE(B890,""Volume"")"),111513.0)</f>
        <v>111513</v>
      </c>
      <c r="F890" s="14">
        <f t="array" ref="F890">F889</f>
        <v>14</v>
      </c>
      <c r="G890" s="15" t="str">
        <f>IFERROR(__xludf.DUMMYFUNCTION("IF(E890&gt;AVERAGE(INDEX(GOOGLEFINANCE(B890,""volume"",WORKDAY(TODAY(),-$F$1),TODAY()),,2)),""Breakout"","""")"),"")</f>
        <v/>
      </c>
      <c r="H890" s="16">
        <f>IFERROR(__xludf.DUMMYFUNCTION("GOOGLEFINANCE(B890,""price"")"),199.56)</f>
        <v>199.56</v>
      </c>
      <c r="I890" s="17">
        <f>IFERROR(__xludf.DUMMYFUNCTION("AVERAGE(QUERY(SORT(GOOGLEFINANCE(B890,""price"",TODAY()-365,TODAY()),1,0),""select Col2 limit 10""))"),209.449)</f>
        <v>209.449</v>
      </c>
      <c r="J890" s="17">
        <f>IFERROR(__xludf.DUMMYFUNCTION("AVERAGE(QUERY(SORT(GOOGLEFINANCE(B890,""price"",TODAY()-365,TODAY()),1,0),""select Col2 limit 30""))"),208.48033333333333)</f>
        <v>208.4803333</v>
      </c>
      <c r="K890" s="18">
        <f>IFERROR(__xludf.DUMMYFUNCTION("AVERAGE(QUERY(SORT(GOOGLEFINANCE(B890,""price"",TODAY()-365,TODAY()),1,0),""select Col2 limit 60""))"),201.47816666666668)</f>
        <v>201.4781667</v>
      </c>
      <c r="L890" s="17">
        <f>IFERROR(__xludf.DUMMYFUNCTION("AVERAGE(QUERY(SORT(GOOGLEFINANCE(B890,""price"",TODAY()-365,TODAY()),1,0),""select Col2 limit 90""))"),194.85244444444444)</f>
        <v>194.8524444</v>
      </c>
      <c r="M890" s="17">
        <f>IFERROR(__xludf.DUMMYFUNCTION("AVERAGE(QUERY(SORT(GOOGLEFINANCE(B890,""price"",TODAY()-365,TODAY()),1,0),""select Col2 limit 120""))"),189.64950000000002)</f>
        <v>189.6495</v>
      </c>
      <c r="N890" s="19">
        <f>IFERROR(__xludf.DUMMYFUNCTION("AVERAGE(QUERY(SORT(GOOGLEFINANCE(B890,""price"",TODAY()-365,TODAY()),1,0),""select Col2 limit 200""))"),200.78390000000002)</f>
        <v>200.7839</v>
      </c>
      <c r="O890" s="20" t="str">
        <f t="shared" si="2"/>
        <v>Avoid</v>
      </c>
      <c r="P890" s="21" t="str">
        <f t="shared" si="3"/>
        <v>60 DMA</v>
      </c>
      <c r="Q890" s="21" t="str">
        <f t="shared" si="4"/>
        <v/>
      </c>
      <c r="R890" s="22">
        <f>IFERROR(__xludf.DUMMYFUNCTION("GOOGLEFINANCE(B890, ""pe"")
"),14.28)</f>
        <v>14.28</v>
      </c>
    </row>
    <row r="891">
      <c r="A891" s="9" t="s">
        <v>901</v>
      </c>
      <c r="B891" s="11" t="str">
        <f t="shared" si="1"/>
        <v>NSE:GENSOL</v>
      </c>
      <c r="C891" s="12">
        <f>IFERROR(__xludf.DUMMYFUNCTION("GOOGLEFINANCE(B891,""marketcap"")/10000000"),177.9297493)</f>
        <v>177.9297493</v>
      </c>
      <c r="D891" s="13">
        <f>IFERROR(__xludf.DUMMYFUNCTION("GOOGLEFINANCE(B891,""price"")"),46.28)</f>
        <v>46.28</v>
      </c>
      <c r="E891" s="14">
        <f>IFERROR(__xludf.DUMMYFUNCTION("GOOGLEFINANCE(B891,""Volume"")"),5497.0)</f>
        <v>5497</v>
      </c>
      <c r="F891" s="14">
        <f t="array" ref="F891">F890</f>
        <v>14</v>
      </c>
      <c r="G891" s="15" t="str">
        <f>IFERROR(__xludf.DUMMYFUNCTION("IF(E891&gt;AVERAGE(INDEX(GOOGLEFINANCE(B891,""volume"",WORKDAY(TODAY(),-$F$1),TODAY()),,2)),""Breakout"","""")"),"")</f>
        <v/>
      </c>
      <c r="H891" s="16">
        <f>IFERROR(__xludf.DUMMYFUNCTION("GOOGLEFINANCE(B891,""price"")"),46.28)</f>
        <v>46.28</v>
      </c>
      <c r="I891" s="17">
        <f>IFERROR(__xludf.DUMMYFUNCTION("AVERAGE(QUERY(SORT(GOOGLEFINANCE(B891,""price"",TODAY()-365,TODAY()),1,0),""select Col2 limit 10""))"),46.925)</f>
        <v>46.925</v>
      </c>
      <c r="J891" s="17">
        <f>IFERROR(__xludf.DUMMYFUNCTION("AVERAGE(QUERY(SORT(GOOGLEFINANCE(B891,""price"",TODAY()-365,TODAY()),1,0),""select Col2 limit 30""))"),49.81066666666666)</f>
        <v>49.81066667</v>
      </c>
      <c r="K891" s="18">
        <f>IFERROR(__xludf.DUMMYFUNCTION("AVERAGE(QUERY(SORT(GOOGLEFINANCE(B891,""price"",TODAY()-365,TODAY()),1,0),""select Col2 limit 60""))"),63.86016666666664)</f>
        <v>63.86016667</v>
      </c>
      <c r="L891" s="17">
        <f>IFERROR(__xludf.DUMMYFUNCTION("AVERAGE(QUERY(SORT(GOOGLEFINANCE(B891,""price"",TODAY()-365,TODAY()),1,0),""select Col2 limit 90""))"),137.55599999999995)</f>
        <v>137.556</v>
      </c>
      <c r="M891" s="17">
        <f>IFERROR(__xludf.DUMMYFUNCTION("AVERAGE(QUERY(SORT(GOOGLEFINANCE(B891,""price"",TODAY()-365,TODAY()),1,0),""select Col2 limit 120""))"),274.52491666666657)</f>
        <v>274.5249167</v>
      </c>
      <c r="N891" s="19">
        <f>IFERROR(__xludf.DUMMYFUNCTION("AVERAGE(QUERY(SORT(GOOGLEFINANCE(B891,""price"",TODAY()-365,TODAY()),1,0),""select Col2 limit 200""))"),485.56819999999976)</f>
        <v>485.5682</v>
      </c>
      <c r="O891" s="20" t="str">
        <f t="shared" si="2"/>
        <v>Avoid</v>
      </c>
      <c r="P891" s="21" t="str">
        <f t="shared" si="3"/>
        <v/>
      </c>
      <c r="Q891" s="21" t="str">
        <f t="shared" si="4"/>
        <v/>
      </c>
      <c r="R891" s="22">
        <f>IFERROR(__xludf.DUMMYFUNCTION("GOOGLEFINANCE(B891, ""pe"")
"),1.72)</f>
        <v>1.72</v>
      </c>
    </row>
    <row r="892">
      <c r="A892" s="9" t="s">
        <v>902</v>
      </c>
      <c r="B892" s="11" t="str">
        <f t="shared" si="1"/>
        <v>NSE:MPSLTD</v>
      </c>
      <c r="C892" s="12">
        <f>IFERROR(__xludf.DUMMYFUNCTION("GOOGLEFINANCE(B892,""marketcap"")/10000000"),3850.960091)</f>
        <v>3850.960091</v>
      </c>
      <c r="D892" s="13">
        <f>IFERROR(__xludf.DUMMYFUNCTION("GOOGLEFINANCE(B892,""price"")"),2265.4)</f>
        <v>2265.4</v>
      </c>
      <c r="E892" s="14">
        <f>IFERROR(__xludf.DUMMYFUNCTION("GOOGLEFINANCE(B892,""Volume"")"),49896.0)</f>
        <v>49896</v>
      </c>
      <c r="F892" s="14">
        <f t="array" ref="F892">F891</f>
        <v>14</v>
      </c>
      <c r="G892" s="15" t="str">
        <f>IFERROR(__xludf.DUMMYFUNCTION("IF(E892&gt;AVERAGE(INDEX(GOOGLEFINANCE(B892,""volume"",WORKDAY(TODAY(),-$F$1),TODAY()),,2)),""Breakout"","""")"),"")</f>
        <v/>
      </c>
      <c r="H892" s="16">
        <f>IFERROR(__xludf.DUMMYFUNCTION("GOOGLEFINANCE(B892,""price"")"),2265.4)</f>
        <v>2265.4</v>
      </c>
      <c r="I892" s="17">
        <f>IFERROR(__xludf.DUMMYFUNCTION("AVERAGE(QUERY(SORT(GOOGLEFINANCE(B892,""price"",TODAY()-365,TODAY()),1,0),""select Col2 limit 10""))"),2608.66)</f>
        <v>2608.66</v>
      </c>
      <c r="J892" s="17">
        <f>IFERROR(__xludf.DUMMYFUNCTION("AVERAGE(QUERY(SORT(GOOGLEFINANCE(B892,""price"",TODAY()-365,TODAY()),1,0),""select Col2 limit 30""))"),2661.1599999999994)</f>
        <v>2661.16</v>
      </c>
      <c r="K892" s="18">
        <f>IFERROR(__xludf.DUMMYFUNCTION("AVERAGE(QUERY(SORT(GOOGLEFINANCE(B892,""price"",TODAY()-365,TODAY()),1,0),""select Col2 limit 60""))"),2606.4700000000003)</f>
        <v>2606.47</v>
      </c>
      <c r="L892" s="17">
        <f>IFERROR(__xludf.DUMMYFUNCTION("AVERAGE(QUERY(SORT(GOOGLEFINANCE(B892,""price"",TODAY()-365,TODAY()),1,0),""select Col2 limit 90""))"),2586.6100000000006)</f>
        <v>2586.61</v>
      </c>
      <c r="M892" s="17">
        <f>IFERROR(__xludf.DUMMYFUNCTION("AVERAGE(QUERY(SORT(GOOGLEFINANCE(B892,""price"",TODAY()-365,TODAY()),1,0),""select Col2 limit 120""))"),2602.7312500000016)</f>
        <v>2602.73125</v>
      </c>
      <c r="N892" s="19">
        <f>IFERROR(__xludf.DUMMYFUNCTION("AVERAGE(QUERY(SORT(GOOGLEFINANCE(B892,""price"",TODAY()-365,TODAY()),1,0),""select Col2 limit 200""))"),2395.1292500000013)</f>
        <v>2395.12925</v>
      </c>
      <c r="O892" s="20" t="str">
        <f t="shared" si="2"/>
        <v>Avoid</v>
      </c>
      <c r="P892" s="21" t="str">
        <f t="shared" si="3"/>
        <v/>
      </c>
      <c r="Q892" s="21" t="str">
        <f t="shared" si="4"/>
        <v/>
      </c>
      <c r="R892" s="22">
        <f>IFERROR(__xludf.DUMMYFUNCTION("GOOGLEFINANCE(B892, ""pe"")
"),24.26)</f>
        <v>24.26</v>
      </c>
    </row>
    <row r="893">
      <c r="A893" s="9" t="s">
        <v>903</v>
      </c>
      <c r="B893" s="11" t="str">
        <f t="shared" si="1"/>
        <v>NSE:ANUP</v>
      </c>
      <c r="C893" s="12">
        <f>IFERROR(__xludf.DUMMYFUNCTION("GOOGLEFINANCE(B893,""marketcap"")/10000000"),5230.7108918)</f>
        <v>5230.710892</v>
      </c>
      <c r="D893" s="13">
        <f>IFERROR(__xludf.DUMMYFUNCTION("GOOGLEFINANCE(B893,""price"")"),2615.3)</f>
        <v>2615.3</v>
      </c>
      <c r="E893" s="14">
        <f>IFERROR(__xludf.DUMMYFUNCTION("GOOGLEFINANCE(B893,""Volume"")"),11030.0)</f>
        <v>11030</v>
      </c>
      <c r="F893" s="14">
        <f t="array" ref="F893">F892</f>
        <v>14</v>
      </c>
      <c r="G893" s="15" t="str">
        <f>IFERROR(__xludf.DUMMYFUNCTION("IF(E893&gt;AVERAGE(INDEX(GOOGLEFINANCE(B893,""volume"",WORKDAY(TODAY(),-$F$1),TODAY()),,2)),""Breakout"","""")"),"")</f>
        <v/>
      </c>
      <c r="H893" s="16">
        <f>IFERROR(__xludf.DUMMYFUNCTION("GOOGLEFINANCE(B893,""price"")"),2615.3)</f>
        <v>2615.3</v>
      </c>
      <c r="I893" s="17">
        <f>IFERROR(__xludf.DUMMYFUNCTION("AVERAGE(QUERY(SORT(GOOGLEFINANCE(B893,""price"",TODAY()-365,TODAY()),1,0),""select Col2 limit 10""))"),2793.0600000000004)</f>
        <v>2793.06</v>
      </c>
      <c r="J893" s="17">
        <f>IFERROR(__xludf.DUMMYFUNCTION("AVERAGE(QUERY(SORT(GOOGLEFINANCE(B893,""price"",TODAY()-365,TODAY()),1,0),""select Col2 limit 30""))"),2746.733333333334)</f>
        <v>2746.733333</v>
      </c>
      <c r="K893" s="18">
        <f>IFERROR(__xludf.DUMMYFUNCTION("AVERAGE(QUERY(SORT(GOOGLEFINANCE(B893,""price"",TODAY()-365,TODAY()),1,0),""select Col2 limit 60""))"),2819.5283333333327)</f>
        <v>2819.528333</v>
      </c>
      <c r="L893" s="17">
        <f>IFERROR(__xludf.DUMMYFUNCTION("AVERAGE(QUERY(SORT(GOOGLEFINANCE(B893,""price"",TODAY()-365,TODAY()),1,0),""select Col2 limit 90""))"),2942.4477777777774)</f>
        <v>2942.447778</v>
      </c>
      <c r="M893" s="17">
        <f>IFERROR(__xludf.DUMMYFUNCTION("AVERAGE(QUERY(SORT(GOOGLEFINANCE(B893,""price"",TODAY()-365,TODAY()),1,0),""select Col2 limit 120""))"),2933.112083333335)</f>
        <v>2933.112083</v>
      </c>
      <c r="N893" s="19">
        <f>IFERROR(__xludf.DUMMYFUNCTION("AVERAGE(QUERY(SORT(GOOGLEFINANCE(B893,""price"",TODAY()-365,TODAY()),1,0),""select Col2 limit 200""))"),3059.896500000001)</f>
        <v>3059.8965</v>
      </c>
      <c r="O893" s="20" t="str">
        <f t="shared" si="2"/>
        <v>Avoid</v>
      </c>
      <c r="P893" s="21" t="str">
        <f t="shared" si="3"/>
        <v/>
      </c>
      <c r="Q893" s="21" t="str">
        <f t="shared" si="4"/>
        <v/>
      </c>
      <c r="R893" s="22">
        <f>IFERROR(__xludf.DUMMYFUNCTION("GOOGLEFINANCE(B893, ""pe"")
"),44.32)</f>
        <v>44.32</v>
      </c>
    </row>
    <row r="894">
      <c r="A894" s="9" t="s">
        <v>904</v>
      </c>
      <c r="B894" s="11" t="str">
        <f t="shared" si="1"/>
        <v>NSE:LAOPALA</v>
      </c>
      <c r="C894" s="12">
        <f>IFERROR(__xludf.DUMMYFUNCTION("GOOGLEFINANCE(B894,""marketcap"")/10000000"),3016.9771465)</f>
        <v>3016.977147</v>
      </c>
      <c r="D894" s="13">
        <f>IFERROR(__xludf.DUMMYFUNCTION("GOOGLEFINANCE(B894,""price"")"),272.1)</f>
        <v>272.1</v>
      </c>
      <c r="E894" s="14">
        <f>IFERROR(__xludf.DUMMYFUNCTION("GOOGLEFINANCE(B894,""Volume"")"),49468.0)</f>
        <v>49468</v>
      </c>
      <c r="F894" s="14">
        <f t="array" ref="F894">F893</f>
        <v>14</v>
      </c>
      <c r="G894" s="15" t="str">
        <f>IFERROR(__xludf.DUMMYFUNCTION("IF(E894&gt;AVERAGE(INDEX(GOOGLEFINANCE(B894,""volume"",WORKDAY(TODAY(),-$F$1),TODAY()),,2)),""Breakout"","""")"),"")</f>
        <v/>
      </c>
      <c r="H894" s="16">
        <f>IFERROR(__xludf.DUMMYFUNCTION("GOOGLEFINANCE(B894,""price"")"),272.1)</f>
        <v>272.1</v>
      </c>
      <c r="I894" s="17">
        <f>IFERROR(__xludf.DUMMYFUNCTION("AVERAGE(QUERY(SORT(GOOGLEFINANCE(B894,""price"",TODAY()-365,TODAY()),1,0),""select Col2 limit 10""))"),267.2)</f>
        <v>267.2</v>
      </c>
      <c r="J894" s="17">
        <f>IFERROR(__xludf.DUMMYFUNCTION("AVERAGE(QUERY(SORT(GOOGLEFINANCE(B894,""price"",TODAY()-365,TODAY()),1,0),""select Col2 limit 30""))"),262.15166666666664)</f>
        <v>262.1516667</v>
      </c>
      <c r="K894" s="18">
        <f>IFERROR(__xludf.DUMMYFUNCTION("AVERAGE(QUERY(SORT(GOOGLEFINANCE(B894,""price"",TODAY()-365,TODAY()),1,0),""select Col2 limit 60""))"),251.50066666666672)</f>
        <v>251.5006667</v>
      </c>
      <c r="L894" s="17">
        <f>IFERROR(__xludf.DUMMYFUNCTION("AVERAGE(QUERY(SORT(GOOGLEFINANCE(B894,""price"",TODAY()-365,TODAY()),1,0),""select Col2 limit 90""))"),241.40600000000012)</f>
        <v>241.406</v>
      </c>
      <c r="M894" s="17">
        <f>IFERROR(__xludf.DUMMYFUNCTION("AVERAGE(QUERY(SORT(GOOGLEFINANCE(B894,""price"",TODAY()-365,TODAY()),1,0),""select Col2 limit 120""))"),241.00225000000017)</f>
        <v>241.00225</v>
      </c>
      <c r="N894" s="19">
        <f>IFERROR(__xludf.DUMMYFUNCTION("AVERAGE(QUERY(SORT(GOOGLEFINANCE(B894,""price"",TODAY()-365,TODAY()),1,0),""select Col2 limit 200""))"),277.2151000000002)</f>
        <v>277.2151</v>
      </c>
      <c r="O894" s="20" t="str">
        <f t="shared" si="2"/>
        <v>Buy Above 200 DMA</v>
      </c>
      <c r="P894" s="21" t="str">
        <f t="shared" si="3"/>
        <v/>
      </c>
      <c r="Q894" s="21" t="str">
        <f t="shared" si="4"/>
        <v/>
      </c>
      <c r="R894" s="22">
        <f>IFERROR(__xludf.DUMMYFUNCTION("GOOGLEFINANCE(B894, ""pe"")
"),31.31)</f>
        <v>31.31</v>
      </c>
    </row>
    <row r="895">
      <c r="A895" s="9" t="s">
        <v>905</v>
      </c>
      <c r="B895" s="11" t="str">
        <f t="shared" si="1"/>
        <v>NSE:SEQUENT</v>
      </c>
      <c r="C895" s="12">
        <f>IFERROR(__xludf.DUMMYFUNCTION("GOOGLEFINANCE(B895,""marketcap"")/10000000"),4369.374012)</f>
        <v>4369.374012</v>
      </c>
      <c r="D895" s="13">
        <f>IFERROR(__xludf.DUMMYFUNCTION("GOOGLEFINANCE(B895,""price"")"),174.63)</f>
        <v>174.63</v>
      </c>
      <c r="E895" s="14">
        <f>IFERROR(__xludf.DUMMYFUNCTION("GOOGLEFINANCE(B895,""Volume"")"),289726.0)</f>
        <v>289726</v>
      </c>
      <c r="F895" s="14">
        <f t="array" ref="F895">F894</f>
        <v>14</v>
      </c>
      <c r="G895" s="15" t="str">
        <f>IFERROR(__xludf.DUMMYFUNCTION("IF(E895&gt;AVERAGE(INDEX(GOOGLEFINANCE(B895,""volume"",WORKDAY(TODAY(),-$F$1),TODAY()),,2)),""Breakout"","""")"),"")</f>
        <v/>
      </c>
      <c r="H895" s="16">
        <f>IFERROR(__xludf.DUMMYFUNCTION("GOOGLEFINANCE(B895,""price"")"),174.63)</f>
        <v>174.63</v>
      </c>
      <c r="I895" s="17">
        <f>IFERROR(__xludf.DUMMYFUNCTION("AVERAGE(QUERY(SORT(GOOGLEFINANCE(B895,""price"",TODAY()-365,TODAY()),1,0),""select Col2 limit 10""))"),185.23099999999997)</f>
        <v>185.231</v>
      </c>
      <c r="J895" s="17">
        <f>IFERROR(__xludf.DUMMYFUNCTION("AVERAGE(QUERY(SORT(GOOGLEFINANCE(B895,""price"",TODAY()-365,TODAY()),1,0),""select Col2 limit 30""))"),187.41333333333333)</f>
        <v>187.4133333</v>
      </c>
      <c r="K895" s="18">
        <f>IFERROR(__xludf.DUMMYFUNCTION("AVERAGE(QUERY(SORT(GOOGLEFINANCE(B895,""price"",TODAY()-365,TODAY()),1,0),""select Col2 limit 60""))"),184.01166666666668)</f>
        <v>184.0116667</v>
      </c>
      <c r="L895" s="17">
        <f>IFERROR(__xludf.DUMMYFUNCTION("AVERAGE(QUERY(SORT(GOOGLEFINANCE(B895,""price"",TODAY()-365,TODAY()),1,0),""select Col2 limit 90""))"),169.73600000000005)</f>
        <v>169.736</v>
      </c>
      <c r="M895" s="17">
        <f>IFERROR(__xludf.DUMMYFUNCTION("AVERAGE(QUERY(SORT(GOOGLEFINANCE(B895,""price"",TODAY()-365,TODAY()),1,0),""select Col2 limit 120""))"),165.83175000000003)</f>
        <v>165.83175</v>
      </c>
      <c r="N895" s="19">
        <f>IFERROR(__xludf.DUMMYFUNCTION("AVERAGE(QUERY(SORT(GOOGLEFINANCE(B895,""price"",TODAY()-365,TODAY()),1,0),""select Col2 limit 200""))"),175.26010000000002)</f>
        <v>175.2601</v>
      </c>
      <c r="O895" s="20" t="str">
        <f t="shared" si="2"/>
        <v>Avoid</v>
      </c>
      <c r="P895" s="21" t="str">
        <f t="shared" si="3"/>
        <v>200 DMA</v>
      </c>
      <c r="Q895" s="21" t="str">
        <f t="shared" si="4"/>
        <v/>
      </c>
      <c r="R895" s="22">
        <f>IFERROR(__xludf.DUMMYFUNCTION("GOOGLEFINANCE(B895, ""pe"")
"),204.67)</f>
        <v>204.67</v>
      </c>
    </row>
    <row r="896">
      <c r="A896" s="9" t="s">
        <v>906</v>
      </c>
      <c r="B896" s="11" t="str">
        <f t="shared" si="1"/>
        <v>NSE:VSTTILLERS</v>
      </c>
      <c r="C896" s="12">
        <f>IFERROR(__xludf.DUMMYFUNCTION("GOOGLEFINANCE(B896,""marketcap"")/10000000"),3883.8924679)</f>
        <v>3883.892468</v>
      </c>
      <c r="D896" s="13">
        <f>IFERROR(__xludf.DUMMYFUNCTION("GOOGLEFINANCE(B896,""price"")"),4490.1)</f>
        <v>4490.1</v>
      </c>
      <c r="E896" s="14">
        <f>IFERROR(__xludf.DUMMYFUNCTION("GOOGLEFINANCE(B896,""Volume"")"),7837.0)</f>
        <v>7837</v>
      </c>
      <c r="F896" s="14">
        <f t="array" ref="F896">F895</f>
        <v>14</v>
      </c>
      <c r="G896" s="15" t="str">
        <f>IFERROR(__xludf.DUMMYFUNCTION("IF(E896&gt;AVERAGE(INDEX(GOOGLEFINANCE(B896,""volume"",WORKDAY(TODAY(),-$F$1),TODAY()),,2)),""Breakout"","""")"),"")</f>
        <v/>
      </c>
      <c r="H896" s="16">
        <f>IFERROR(__xludf.DUMMYFUNCTION("GOOGLEFINANCE(B896,""price"")"),4490.1)</f>
        <v>4490.1</v>
      </c>
      <c r="I896" s="17">
        <f>IFERROR(__xludf.DUMMYFUNCTION("AVERAGE(QUERY(SORT(GOOGLEFINANCE(B896,""price"",TODAY()-365,TODAY()),1,0),""select Col2 limit 10""))"),4478.660000000001)</f>
        <v>4478.66</v>
      </c>
      <c r="J896" s="17">
        <f>IFERROR(__xludf.DUMMYFUNCTION("AVERAGE(QUERY(SORT(GOOGLEFINANCE(B896,""price"",TODAY()-365,TODAY()),1,0),""select Col2 limit 30""))"),4094.103333333334)</f>
        <v>4094.103333</v>
      </c>
      <c r="K896" s="18">
        <f>IFERROR(__xludf.DUMMYFUNCTION("AVERAGE(QUERY(SORT(GOOGLEFINANCE(B896,""price"",TODAY()-365,TODAY()),1,0),""select Col2 limit 60""))"),3914.980000000001)</f>
        <v>3914.98</v>
      </c>
      <c r="L896" s="17">
        <f>IFERROR(__xludf.DUMMYFUNCTION("AVERAGE(QUERY(SORT(GOOGLEFINANCE(B896,""price"",TODAY()-365,TODAY()),1,0),""select Col2 limit 90""))"),3827.9161111111125)</f>
        <v>3827.916111</v>
      </c>
      <c r="M896" s="17">
        <f>IFERROR(__xludf.DUMMYFUNCTION("AVERAGE(QUERY(SORT(GOOGLEFINANCE(B896,""price"",TODAY()-365,TODAY()),1,0),""select Col2 limit 120""))"),3804.9945833333345)</f>
        <v>3804.994583</v>
      </c>
      <c r="N896" s="19">
        <f>IFERROR(__xludf.DUMMYFUNCTION("AVERAGE(QUERY(SORT(GOOGLEFINANCE(B896,""price"",TODAY()-365,TODAY()),1,0),""select Col2 limit 200""))"),4174.584000000001)</f>
        <v>4174.584</v>
      </c>
      <c r="O896" s="20" t="str">
        <f t="shared" si="2"/>
        <v>Avoid</v>
      </c>
      <c r="P896" s="21" t="str">
        <f t="shared" si="3"/>
        <v/>
      </c>
      <c r="Q896" s="21" t="str">
        <f t="shared" si="4"/>
        <v/>
      </c>
      <c r="R896" s="22">
        <f>IFERROR(__xludf.DUMMYFUNCTION("GOOGLEFINANCE(B896, ""pe"")
"),41.8)</f>
        <v>41.8</v>
      </c>
    </row>
    <row r="897">
      <c r="A897" s="9" t="s">
        <v>907</v>
      </c>
      <c r="B897" s="11" t="str">
        <f t="shared" si="1"/>
        <v>NSE:MARINE</v>
      </c>
      <c r="C897" s="12">
        <f>IFERROR(__xludf.DUMMYFUNCTION("GOOGLEFINANCE(B897,""marketcap"")/10000000"),2441.03968)</f>
        <v>2441.03968</v>
      </c>
      <c r="D897" s="13">
        <f>IFERROR(__xludf.DUMMYFUNCTION("GOOGLEFINANCE(B897,""price"")"),184.0)</f>
        <v>184</v>
      </c>
      <c r="E897" s="14">
        <f>IFERROR(__xludf.DUMMYFUNCTION("GOOGLEFINANCE(B897,""Volume"")"),121662.0)</f>
        <v>121662</v>
      </c>
      <c r="F897" s="14">
        <f t="array" ref="F897">F896</f>
        <v>14</v>
      </c>
      <c r="G897" s="15" t="str">
        <f>IFERROR(__xludf.DUMMYFUNCTION("IF(E897&gt;AVERAGE(INDEX(GOOGLEFINANCE(B897,""volume"",WORKDAY(TODAY(),-$F$1),TODAY()),,2)),""Breakout"","""")"),"")</f>
        <v/>
      </c>
      <c r="H897" s="16">
        <f>IFERROR(__xludf.DUMMYFUNCTION("GOOGLEFINANCE(B897,""price"")"),184.0)</f>
        <v>184</v>
      </c>
      <c r="I897" s="17">
        <f>IFERROR(__xludf.DUMMYFUNCTION("AVERAGE(QUERY(SORT(GOOGLEFINANCE(B897,""price"",TODAY()-365,TODAY()),1,0),""select Col2 limit 10""))"),195.413)</f>
        <v>195.413</v>
      </c>
      <c r="J897" s="17">
        <f>IFERROR(__xludf.DUMMYFUNCTION("AVERAGE(QUERY(SORT(GOOGLEFINANCE(B897,""price"",TODAY()-365,TODAY()),1,0),""select Col2 limit 30""))"),205.57099999999997)</f>
        <v>205.571</v>
      </c>
      <c r="K897" s="18">
        <f>IFERROR(__xludf.DUMMYFUNCTION("AVERAGE(QUERY(SORT(GOOGLEFINANCE(B897,""price"",TODAY()-365,TODAY()),1,0),""select Col2 limit 60""))"),207.6266666666667)</f>
        <v>207.6266667</v>
      </c>
      <c r="L897" s="17">
        <f>IFERROR(__xludf.DUMMYFUNCTION("AVERAGE(QUERY(SORT(GOOGLEFINANCE(B897,""price"",TODAY()-365,TODAY()),1,0),""select Col2 limit 90""))"),198.80433333333337)</f>
        <v>198.8043333</v>
      </c>
      <c r="M897" s="17">
        <f>IFERROR(__xludf.DUMMYFUNCTION("AVERAGE(QUERY(SORT(GOOGLEFINANCE(B897,""price"",TODAY()-365,TODAY()),1,0),""select Col2 limit 120""))"),192.8945833333333)</f>
        <v>192.8945833</v>
      </c>
      <c r="N897" s="19">
        <f>IFERROR(__xludf.DUMMYFUNCTION("AVERAGE(QUERY(SORT(GOOGLEFINANCE(B897,""price"",TODAY()-365,TODAY()),1,0),""select Col2 limit 200""))"),213.62994999999998)</f>
        <v>213.62995</v>
      </c>
      <c r="O897" s="20" t="str">
        <f t="shared" si="2"/>
        <v>Avoid</v>
      </c>
      <c r="P897" s="21" t="str">
        <f t="shared" si="3"/>
        <v/>
      </c>
      <c r="Q897" s="21" t="str">
        <f t="shared" si="4"/>
        <v/>
      </c>
      <c r="R897" s="22">
        <f>IFERROR(__xludf.DUMMYFUNCTION("GOOGLEFINANCE(B897, ""pe"")
"),65.84)</f>
        <v>65.84</v>
      </c>
    </row>
    <row r="898">
      <c r="A898" s="9" t="s">
        <v>908</v>
      </c>
      <c r="B898" s="11" t="str">
        <f t="shared" si="1"/>
        <v>NSE:NAVNETEDUL</v>
      </c>
      <c r="C898" s="12">
        <f>IFERROR(__xludf.DUMMYFUNCTION("GOOGLEFINANCE(B898,""marketcap"")/10000000"),3352.2631688)</f>
        <v>3352.263169</v>
      </c>
      <c r="D898" s="13">
        <f>IFERROR(__xludf.DUMMYFUNCTION("GOOGLEFINANCE(B898,""price"")"),151.55)</f>
        <v>151.55</v>
      </c>
      <c r="E898" s="14">
        <f>IFERROR(__xludf.DUMMYFUNCTION("GOOGLEFINANCE(B898,""Volume"")"),95172.0)</f>
        <v>95172</v>
      </c>
      <c r="F898" s="14">
        <f t="array" ref="F898">F897</f>
        <v>14</v>
      </c>
      <c r="G898" s="15" t="str">
        <f>IFERROR(__xludf.DUMMYFUNCTION("IF(E898&gt;AVERAGE(INDEX(GOOGLEFINANCE(B898,""volume"",WORKDAY(TODAY(),-$F$1),TODAY()),,2)),""Breakout"","""")"),"")</f>
        <v/>
      </c>
      <c r="H898" s="16">
        <f>IFERROR(__xludf.DUMMYFUNCTION("GOOGLEFINANCE(B898,""price"")"),151.55)</f>
        <v>151.55</v>
      </c>
      <c r="I898" s="17">
        <f>IFERROR(__xludf.DUMMYFUNCTION("AVERAGE(QUERY(SORT(GOOGLEFINANCE(B898,""price"",TODAY()-365,TODAY()),1,0),""select Col2 limit 10""))"),149.079)</f>
        <v>149.079</v>
      </c>
      <c r="J898" s="17">
        <f>IFERROR(__xludf.DUMMYFUNCTION("AVERAGE(QUERY(SORT(GOOGLEFINANCE(B898,""price"",TODAY()-365,TODAY()),1,0),""select Col2 limit 30""))"),144.7156666666667)</f>
        <v>144.7156667</v>
      </c>
      <c r="K898" s="18">
        <f>IFERROR(__xludf.DUMMYFUNCTION("AVERAGE(QUERY(SORT(GOOGLEFINANCE(B898,""price"",TODAY()-365,TODAY()),1,0),""select Col2 limit 60""))"),143.89283333333333)</f>
        <v>143.8928333</v>
      </c>
      <c r="L898" s="17">
        <f>IFERROR(__xludf.DUMMYFUNCTION("AVERAGE(QUERY(SORT(GOOGLEFINANCE(B898,""price"",TODAY()-365,TODAY()),1,0),""select Col2 limit 90""))"),142.44233333333332)</f>
        <v>142.4423333</v>
      </c>
      <c r="M898" s="17">
        <f>IFERROR(__xludf.DUMMYFUNCTION("AVERAGE(QUERY(SORT(GOOGLEFINANCE(B898,""price"",TODAY()-365,TODAY()),1,0),""select Col2 limit 120""))"),140.89816666666667)</f>
        <v>140.8981667</v>
      </c>
      <c r="N898" s="19">
        <f>IFERROR(__xludf.DUMMYFUNCTION("AVERAGE(QUERY(SORT(GOOGLEFINANCE(B898,""price"",TODAY()-365,TODAY()),1,0),""select Col2 limit 200""))"),140.8126000000001)</f>
        <v>140.8126</v>
      </c>
      <c r="O898" s="20" t="str">
        <f t="shared" si="2"/>
        <v>Avoid</v>
      </c>
      <c r="P898" s="21" t="str">
        <f t="shared" si="3"/>
        <v/>
      </c>
      <c r="Q898" s="21" t="str">
        <f t="shared" si="4"/>
        <v/>
      </c>
      <c r="R898" s="22">
        <f>IFERROR(__xludf.DUMMYFUNCTION("GOOGLEFINANCE(B898, ""pe"")
"),4.46)</f>
        <v>4.46</v>
      </c>
    </row>
    <row r="899">
      <c r="A899" s="9" t="s">
        <v>909</v>
      </c>
      <c r="B899" s="11" t="str">
        <f t="shared" si="1"/>
        <v>NSE:TCNSBRANDS</v>
      </c>
      <c r="C899" s="12" t="str">
        <f>IFERROR(__xludf.DUMMYFUNCTION("GOOGLEFINANCE(B899,""marketcap"")/10000000"),"#N/A")</f>
        <v>#N/A</v>
      </c>
      <c r="D899" s="13" t="str">
        <f>IFERROR(__xludf.DUMMYFUNCTION("GOOGLEFINANCE(B899,""price"")"),"#N/A")</f>
        <v>#N/A</v>
      </c>
      <c r="E899" s="14" t="str">
        <f>IFERROR(__xludf.DUMMYFUNCTION("GOOGLEFINANCE(B899,""Volume"")"),"#N/A")</f>
        <v>#N/A</v>
      </c>
      <c r="F899" s="14">
        <f t="array" ref="F899">F898</f>
        <v>14</v>
      </c>
      <c r="G899" s="15" t="str">
        <f>IFERROR(__xludf.DUMMYFUNCTION("IF(E899&gt;AVERAGE(INDEX(GOOGLEFINANCE(B899,""volume"",WORKDAY(TODAY(),-$F$1),TODAY()),,2)),""Breakout"","""")"),"#N/A")</f>
        <v>#N/A</v>
      </c>
      <c r="H899" s="16" t="str">
        <f>IFERROR(__xludf.DUMMYFUNCTION("GOOGLEFINANCE(B899,""price"")"),"#N/A")</f>
        <v>#N/A</v>
      </c>
      <c r="I899" s="17" t="str">
        <f>IFERROR(__xludf.DUMMYFUNCTION("AVERAGE(QUERY(SORT(GOOGLEFINANCE(B899,""price"",TODAY()-365,TODAY()),1,0),""select Col2 limit 10""))"),"#N/A")</f>
        <v>#N/A</v>
      </c>
      <c r="J899" s="17" t="str">
        <f>IFERROR(__xludf.DUMMYFUNCTION("AVERAGE(QUERY(SORT(GOOGLEFINANCE(B899,""price"",TODAY()-365,TODAY()),1,0),""select Col2 limit 30""))"),"#N/A")</f>
        <v>#N/A</v>
      </c>
      <c r="K899" s="18" t="str">
        <f>IFERROR(__xludf.DUMMYFUNCTION("AVERAGE(QUERY(SORT(GOOGLEFINANCE(B899,""price"",TODAY()-365,TODAY()),1,0),""select Col2 limit 60""))"),"#N/A")</f>
        <v>#N/A</v>
      </c>
      <c r="L899" s="17" t="str">
        <f>IFERROR(__xludf.DUMMYFUNCTION("AVERAGE(QUERY(SORT(GOOGLEFINANCE(B899,""price"",TODAY()-365,TODAY()),1,0),""select Col2 limit 90""))"),"#N/A")</f>
        <v>#N/A</v>
      </c>
      <c r="M899" s="17" t="str">
        <f>IFERROR(__xludf.DUMMYFUNCTION("AVERAGE(QUERY(SORT(GOOGLEFINANCE(B899,""price"",TODAY()-365,TODAY()),1,0),""select Col2 limit 120""))"),"#N/A")</f>
        <v>#N/A</v>
      </c>
      <c r="N899" s="19" t="str">
        <f>IFERROR(__xludf.DUMMYFUNCTION("AVERAGE(QUERY(SORT(GOOGLEFINANCE(B899,""price"",TODAY()-365,TODAY()),1,0),""select Col2 limit 200""))"),"#N/A")</f>
        <v>#N/A</v>
      </c>
      <c r="O899" s="20" t="str">
        <f t="shared" si="2"/>
        <v>#N/A</v>
      </c>
      <c r="P899" s="21" t="str">
        <f t="shared" si="3"/>
        <v>#N/A</v>
      </c>
      <c r="Q899" s="21" t="str">
        <f t="shared" si="4"/>
        <v>#N/A</v>
      </c>
      <c r="R899" s="22" t="str">
        <f>IFERROR(__xludf.DUMMYFUNCTION("GOOGLEFINANCE(B899, ""pe"")
"),"#N/A")</f>
        <v>#N/A</v>
      </c>
    </row>
    <row r="900">
      <c r="A900" s="9" t="s">
        <v>910</v>
      </c>
      <c r="B900" s="11" t="str">
        <f t="shared" si="1"/>
        <v>NSE:PREMEXPLN</v>
      </c>
      <c r="C900" s="12">
        <f>IFERROR(__xludf.DUMMYFUNCTION("GOOGLEFINANCE(B900,""marketcap"")/10000000"),2504.7333433)</f>
        <v>2504.733343</v>
      </c>
      <c r="D900" s="13">
        <f>IFERROR(__xludf.DUMMYFUNCTION("GOOGLEFINANCE(B900,""price"")"),465.45)</f>
        <v>465.45</v>
      </c>
      <c r="E900" s="14">
        <f>IFERROR(__xludf.DUMMYFUNCTION("GOOGLEFINANCE(B900,""Volume"")"),176212.0)</f>
        <v>176212</v>
      </c>
      <c r="F900" s="14">
        <f t="array" ref="F900">F899</f>
        <v>14</v>
      </c>
      <c r="G900" s="15" t="str">
        <f>IFERROR(__xludf.DUMMYFUNCTION("IF(E900&gt;AVERAGE(INDEX(GOOGLEFINANCE(B900,""volume"",WORKDAY(TODAY(),-$F$1),TODAY()),,2)),""Breakout"","""")"),"")</f>
        <v/>
      </c>
      <c r="H900" s="16">
        <f>IFERROR(__xludf.DUMMYFUNCTION("GOOGLEFINANCE(B900,""price"")"),465.45)</f>
        <v>465.45</v>
      </c>
      <c r="I900" s="17">
        <f>IFERROR(__xludf.DUMMYFUNCTION("AVERAGE(QUERY(SORT(GOOGLEFINANCE(B900,""price"",TODAY()-365,TODAY()),1,0),""select Col2 limit 10""))"),517.615)</f>
        <v>517.615</v>
      </c>
      <c r="J900" s="17">
        <f>IFERROR(__xludf.DUMMYFUNCTION("AVERAGE(QUERY(SORT(GOOGLEFINANCE(B900,""price"",TODAY()-365,TODAY()),1,0),""select Col2 limit 30""))"),558.7466666666666)</f>
        <v>558.7466667</v>
      </c>
      <c r="K900" s="18">
        <f>IFERROR(__xludf.DUMMYFUNCTION("AVERAGE(QUERY(SORT(GOOGLEFINANCE(B900,""price"",TODAY()-365,TODAY()),1,0),""select Col2 limit 60""))"),546.9858333333333)</f>
        <v>546.9858333</v>
      </c>
      <c r="L900" s="17">
        <f>IFERROR(__xludf.DUMMYFUNCTION("AVERAGE(QUERY(SORT(GOOGLEFINANCE(B900,""price"",TODAY()-365,TODAY()),1,0),""select Col2 limit 90""))"),489.8033333333333)</f>
        <v>489.8033333</v>
      </c>
      <c r="M900" s="17">
        <f>IFERROR(__xludf.DUMMYFUNCTION("AVERAGE(QUERY(SORT(GOOGLEFINANCE(B900,""price"",TODAY()-365,TODAY()),1,0),""select Col2 limit 120""))"),461.50458333333324)</f>
        <v>461.5045833</v>
      </c>
      <c r="N900" s="19">
        <f>IFERROR(__xludf.DUMMYFUNCTION("AVERAGE(QUERY(SORT(GOOGLEFINANCE(B900,""price"",TODAY()-365,TODAY()),1,0),""select Col2 limit 200""))"),469.1112499999999)</f>
        <v>469.11125</v>
      </c>
      <c r="O900" s="20" t="str">
        <f t="shared" si="2"/>
        <v>Avoid</v>
      </c>
      <c r="P900" s="21" t="str">
        <f t="shared" si="3"/>
        <v>200 DMA</v>
      </c>
      <c r="Q900" s="21" t="str">
        <f t="shared" si="4"/>
        <v/>
      </c>
      <c r="R900" s="22">
        <f>IFERROR(__xludf.DUMMYFUNCTION("GOOGLEFINANCE(B900, ""pe"")
"),87.41)</f>
        <v>87.41</v>
      </c>
    </row>
    <row r="901">
      <c r="A901" s="9" t="s">
        <v>911</v>
      </c>
      <c r="B901" s="11" t="str">
        <f t="shared" si="1"/>
        <v>NSE:REPCOHOME</v>
      </c>
      <c r="C901" s="12">
        <f>IFERROR(__xludf.DUMMYFUNCTION("GOOGLEFINANCE(B901,""marketcap"")/10000000"),2632.5819524)</f>
        <v>2632.581952</v>
      </c>
      <c r="D901" s="13">
        <f>IFERROR(__xludf.DUMMYFUNCTION("GOOGLEFINANCE(B901,""price"")"),421.15)</f>
        <v>421.15</v>
      </c>
      <c r="E901" s="14">
        <f>IFERROR(__xludf.DUMMYFUNCTION("GOOGLEFINANCE(B901,""Volume"")"),36258.0)</f>
        <v>36258</v>
      </c>
      <c r="F901" s="14">
        <f t="array" ref="F901">F900</f>
        <v>14</v>
      </c>
      <c r="G901" s="15" t="str">
        <f>IFERROR(__xludf.DUMMYFUNCTION("IF(E901&gt;AVERAGE(INDEX(GOOGLEFINANCE(B901,""volume"",WORKDAY(TODAY(),-$F$1),TODAY()),,2)),""Breakout"","""")"),"")</f>
        <v/>
      </c>
      <c r="H901" s="16">
        <f>IFERROR(__xludf.DUMMYFUNCTION("GOOGLEFINANCE(B901,""price"")"),421.15)</f>
        <v>421.15</v>
      </c>
      <c r="I901" s="17">
        <f>IFERROR(__xludf.DUMMYFUNCTION("AVERAGE(QUERY(SORT(GOOGLEFINANCE(B901,""price"",TODAY()-365,TODAY()),1,0),""select Col2 limit 10""))"),439.995)</f>
        <v>439.995</v>
      </c>
      <c r="J901" s="17">
        <f>IFERROR(__xludf.DUMMYFUNCTION("AVERAGE(QUERY(SORT(GOOGLEFINANCE(B901,""price"",TODAY()-365,TODAY()),1,0),""select Col2 limit 30""))"),433.4950000000001)</f>
        <v>433.495</v>
      </c>
      <c r="K901" s="18">
        <f>IFERROR(__xludf.DUMMYFUNCTION("AVERAGE(QUERY(SORT(GOOGLEFINANCE(B901,""price"",TODAY()-365,TODAY()),1,0),""select Col2 limit 60""))"),417.7425000000001)</f>
        <v>417.7425</v>
      </c>
      <c r="L901" s="17">
        <f>IFERROR(__xludf.DUMMYFUNCTION("AVERAGE(QUERY(SORT(GOOGLEFINANCE(B901,""price"",TODAY()-365,TODAY()),1,0),""select Col2 limit 90""))"),399.0650000000003)</f>
        <v>399.065</v>
      </c>
      <c r="M901" s="17">
        <f>IFERROR(__xludf.DUMMYFUNCTION("AVERAGE(QUERY(SORT(GOOGLEFINANCE(B901,""price"",TODAY()-365,TODAY()),1,0),""select Col2 limit 120""))"),386.62583333333345)</f>
        <v>386.6258333</v>
      </c>
      <c r="N901" s="19">
        <f>IFERROR(__xludf.DUMMYFUNCTION("AVERAGE(QUERY(SORT(GOOGLEFINANCE(B901,""price"",TODAY()-365,TODAY()),1,0),""select Col2 limit 200""))"),413.722)</f>
        <v>413.722</v>
      </c>
      <c r="O901" s="20" t="str">
        <f t="shared" si="2"/>
        <v>Avoid</v>
      </c>
      <c r="P901" s="21" t="str">
        <f t="shared" si="3"/>
        <v/>
      </c>
      <c r="Q901" s="21" t="str">
        <f t="shared" si="4"/>
        <v/>
      </c>
      <c r="R901" s="22">
        <f>IFERROR(__xludf.DUMMYFUNCTION("GOOGLEFINANCE(B901, ""pe"")
"),5.71)</f>
        <v>5.71</v>
      </c>
    </row>
    <row r="902">
      <c r="A902" s="9" t="s">
        <v>912</v>
      </c>
      <c r="B902" s="11" t="str">
        <f t="shared" si="1"/>
        <v>NSE:SANDHAR</v>
      </c>
      <c r="C902" s="12">
        <f>IFERROR(__xludf.DUMMYFUNCTION("GOOGLEFINANCE(B902,""marketcap"")/10000000"),2954.1589917)</f>
        <v>2954.158992</v>
      </c>
      <c r="D902" s="13">
        <f>IFERROR(__xludf.DUMMYFUNCTION("GOOGLEFINANCE(B902,""price"")"),490.8)</f>
        <v>490.8</v>
      </c>
      <c r="E902" s="14">
        <f>IFERROR(__xludf.DUMMYFUNCTION("GOOGLEFINANCE(B902,""Volume"")"),23644.0)</f>
        <v>23644</v>
      </c>
      <c r="F902" s="14">
        <f t="array" ref="F902">F901</f>
        <v>14</v>
      </c>
      <c r="G902" s="15" t="str">
        <f>IFERROR(__xludf.DUMMYFUNCTION("IF(E902&gt;AVERAGE(INDEX(GOOGLEFINANCE(B902,""volume"",WORKDAY(TODAY(),-$F$1),TODAY()),,2)),""Breakout"","""")"),"")</f>
        <v/>
      </c>
      <c r="H902" s="16">
        <f>IFERROR(__xludf.DUMMYFUNCTION("GOOGLEFINANCE(B902,""price"")"),490.8)</f>
        <v>490.8</v>
      </c>
      <c r="I902" s="17">
        <f>IFERROR(__xludf.DUMMYFUNCTION("AVERAGE(QUERY(SORT(GOOGLEFINANCE(B902,""price"",TODAY()-365,TODAY()),1,0),""select Col2 limit 10""))"),507.4999999999999)</f>
        <v>507.5</v>
      </c>
      <c r="J902" s="17">
        <f>IFERROR(__xludf.DUMMYFUNCTION("AVERAGE(QUERY(SORT(GOOGLEFINANCE(B902,""price"",TODAY()-365,TODAY()),1,0),""select Col2 limit 30""))"),523.1949999999999)</f>
        <v>523.195</v>
      </c>
      <c r="K902" s="18">
        <f>IFERROR(__xludf.DUMMYFUNCTION("AVERAGE(QUERY(SORT(GOOGLEFINANCE(B902,""price"",TODAY()-365,TODAY()),1,0),""select Col2 limit 60""))"),493.63166666666655)</f>
        <v>493.6316667</v>
      </c>
      <c r="L902" s="17">
        <f>IFERROR(__xludf.DUMMYFUNCTION("AVERAGE(QUERY(SORT(GOOGLEFINANCE(B902,""price"",TODAY()-365,TODAY()),1,0),""select Col2 limit 90""))"),457.47333333333324)</f>
        <v>457.4733333</v>
      </c>
      <c r="M902" s="17">
        <f>IFERROR(__xludf.DUMMYFUNCTION("AVERAGE(QUERY(SORT(GOOGLEFINANCE(B902,""price"",TODAY()-365,TODAY()),1,0),""select Col2 limit 120""))"),440.35916666666634)</f>
        <v>440.3591667</v>
      </c>
      <c r="N902" s="19">
        <f>IFERROR(__xludf.DUMMYFUNCTION("AVERAGE(QUERY(SORT(GOOGLEFINANCE(B902,""price"",TODAY()-365,TODAY()),1,0),""select Col2 limit 200""))"),470.09625000000005)</f>
        <v>470.09625</v>
      </c>
      <c r="O902" s="20" t="str">
        <f t="shared" si="2"/>
        <v>Avoid</v>
      </c>
      <c r="P902" s="21" t="str">
        <f t="shared" si="3"/>
        <v>60 DMA</v>
      </c>
      <c r="Q902" s="21" t="str">
        <f t="shared" si="4"/>
        <v/>
      </c>
      <c r="R902" s="22">
        <f>IFERROR(__xludf.DUMMYFUNCTION("GOOGLEFINANCE(B902, ""pe"")
"),20.85)</f>
        <v>20.85</v>
      </c>
    </row>
    <row r="903">
      <c r="A903" s="9" t="s">
        <v>913</v>
      </c>
      <c r="B903" s="11" t="str">
        <f t="shared" si="1"/>
        <v>NSE:BEPL</v>
      </c>
      <c r="C903" s="12">
        <f>IFERROR(__xludf.DUMMYFUNCTION("GOOGLEFINANCE(B903,""marketcap"")/10000000"),2712.0589267)</f>
        <v>2712.058927</v>
      </c>
      <c r="D903" s="13">
        <f>IFERROR(__xludf.DUMMYFUNCTION("GOOGLEFINANCE(B903,""price"")"),108.98)</f>
        <v>108.98</v>
      </c>
      <c r="E903" s="14">
        <f>IFERROR(__xludf.DUMMYFUNCTION("GOOGLEFINANCE(B903,""Volume"")"),165111.0)</f>
        <v>165111</v>
      </c>
      <c r="F903" s="14">
        <f t="array" ref="F903">F902</f>
        <v>14</v>
      </c>
      <c r="G903" s="15" t="str">
        <f>IFERROR(__xludf.DUMMYFUNCTION("IF(E903&gt;AVERAGE(INDEX(GOOGLEFINANCE(B903,""volume"",WORKDAY(TODAY(),-$F$1),TODAY()),,2)),""Breakout"","""")"),"#N/A")</f>
        <v>#N/A</v>
      </c>
      <c r="H903" s="16">
        <f>IFERROR(__xludf.DUMMYFUNCTION("GOOGLEFINANCE(B903,""price"")"),108.98)</f>
        <v>108.98</v>
      </c>
      <c r="I903" s="17">
        <f>IFERROR(__xludf.DUMMYFUNCTION("AVERAGE(QUERY(SORT(GOOGLEFINANCE(B903,""price"",TODAY()-365,TODAY()),1,0),""select Col2 limit 10""))"),113.275)</f>
        <v>113.275</v>
      </c>
      <c r="J903" s="17">
        <f>IFERROR(__xludf.DUMMYFUNCTION("AVERAGE(QUERY(SORT(GOOGLEFINANCE(B903,""price"",TODAY()-365,TODAY()),1,0),""select Col2 limit 30""))"),114.05933333333331)</f>
        <v>114.0593333</v>
      </c>
      <c r="K903" s="18">
        <f>IFERROR(__xludf.DUMMYFUNCTION("AVERAGE(QUERY(SORT(GOOGLEFINANCE(B903,""price"",TODAY()-365,TODAY()),1,0),""select Col2 limit 60""))"),113.7065)</f>
        <v>113.7065</v>
      </c>
      <c r="L903" s="17">
        <f>IFERROR(__xludf.DUMMYFUNCTION("AVERAGE(QUERY(SORT(GOOGLEFINANCE(B903,""price"",TODAY()-365,TODAY()),1,0),""select Col2 limit 90""))"),112.3218888888889)</f>
        <v>112.3218889</v>
      </c>
      <c r="M903" s="17">
        <f>IFERROR(__xludf.DUMMYFUNCTION("AVERAGE(QUERY(SORT(GOOGLEFINANCE(B903,""price"",TODAY()-365,TODAY()),1,0),""select Col2 limit 120""))"),111.3835)</f>
        <v>111.3835</v>
      </c>
      <c r="N903" s="19">
        <f>IFERROR(__xludf.DUMMYFUNCTION("AVERAGE(QUERY(SORT(GOOGLEFINANCE(B903,""price"",TODAY()-365,TODAY()),1,0),""select Col2 limit 200""))"),120.54384999999996)</f>
        <v>120.54385</v>
      </c>
      <c r="O903" s="20" t="str">
        <f t="shared" si="2"/>
        <v>Avoid</v>
      </c>
      <c r="P903" s="21" t="str">
        <f t="shared" si="3"/>
        <v/>
      </c>
      <c r="Q903" s="21" t="str">
        <f t="shared" si="4"/>
        <v/>
      </c>
      <c r="R903" s="22">
        <f>IFERROR(__xludf.DUMMYFUNCTION("GOOGLEFINANCE(B903, ""pe"")
"),15.07)</f>
        <v>15.07</v>
      </c>
    </row>
    <row r="904">
      <c r="A904" s="9" t="s">
        <v>914</v>
      </c>
      <c r="B904" s="11" t="str">
        <f t="shared" si="1"/>
        <v>NSE:GUFICBIO</v>
      </c>
      <c r="C904" s="12">
        <f>IFERROR(__xludf.DUMMYFUNCTION("GOOGLEFINANCE(B904,""marketcap"")/10000000"),3862.1878512)</f>
        <v>3862.187851</v>
      </c>
      <c r="D904" s="13">
        <f>IFERROR(__xludf.DUMMYFUNCTION("GOOGLEFINANCE(B904,""price"")"),385.15)</f>
        <v>385.15</v>
      </c>
      <c r="E904" s="14">
        <f>IFERROR(__xludf.DUMMYFUNCTION("GOOGLEFINANCE(B904,""Volume"")"),62533.0)</f>
        <v>62533</v>
      </c>
      <c r="F904" s="14">
        <f t="array" ref="F904">F903</f>
        <v>14</v>
      </c>
      <c r="G904" s="15" t="str">
        <f>IFERROR(__xludf.DUMMYFUNCTION("IF(E904&gt;AVERAGE(INDEX(GOOGLEFINANCE(B904,""volume"",WORKDAY(TODAY(),-$F$1),TODAY()),,2)),""Breakout"","""")"),"#N/A")</f>
        <v>#N/A</v>
      </c>
      <c r="H904" s="16">
        <f>IFERROR(__xludf.DUMMYFUNCTION("GOOGLEFINANCE(B904,""price"")"),385.15)</f>
        <v>385.15</v>
      </c>
      <c r="I904" s="17">
        <f>IFERROR(__xludf.DUMMYFUNCTION("AVERAGE(QUERY(SORT(GOOGLEFINANCE(B904,""price"",TODAY()-365,TODAY()),1,0),""select Col2 limit 10""))"),380.91999999999996)</f>
        <v>380.92</v>
      </c>
      <c r="J904" s="17">
        <f>IFERROR(__xludf.DUMMYFUNCTION("AVERAGE(QUERY(SORT(GOOGLEFINANCE(B904,""price"",TODAY()-365,TODAY()),1,0),""select Col2 limit 30""))"),362.25833333333316)</f>
        <v>362.2583333</v>
      </c>
      <c r="K904" s="18">
        <f>IFERROR(__xludf.DUMMYFUNCTION("AVERAGE(QUERY(SORT(GOOGLEFINANCE(B904,""price"",TODAY()-365,TODAY()),1,0),""select Col2 limit 60""))"),367.9958333333333)</f>
        <v>367.9958333</v>
      </c>
      <c r="L904" s="17">
        <f>IFERROR(__xludf.DUMMYFUNCTION("AVERAGE(QUERY(SORT(GOOGLEFINANCE(B904,""price"",TODAY()-365,TODAY()),1,0),""select Col2 limit 90""))"),360.01944444444433)</f>
        <v>360.0194444</v>
      </c>
      <c r="M904" s="17">
        <f>IFERROR(__xludf.DUMMYFUNCTION("AVERAGE(QUERY(SORT(GOOGLEFINANCE(B904,""price"",TODAY()-365,TODAY()),1,0),""select Col2 limit 120""))"),365.68500000000006)</f>
        <v>365.685</v>
      </c>
      <c r="N904" s="19">
        <f>IFERROR(__xludf.DUMMYFUNCTION("AVERAGE(QUERY(SORT(GOOGLEFINANCE(B904,""price"",TODAY()-365,TODAY()),1,0),""select Col2 limit 200""))"),394.5060000000001)</f>
        <v>394.506</v>
      </c>
      <c r="O904" s="20" t="str">
        <f t="shared" si="2"/>
        <v>Buy Above 200 DMA</v>
      </c>
      <c r="P904" s="21" t="str">
        <f t="shared" si="3"/>
        <v/>
      </c>
      <c r="Q904" s="21" t="str">
        <f t="shared" si="4"/>
        <v/>
      </c>
      <c r="R904" s="22">
        <f>IFERROR(__xludf.DUMMYFUNCTION("GOOGLEFINANCE(B904, ""pe"")
"),55.53)</f>
        <v>55.53</v>
      </c>
    </row>
    <row r="905">
      <c r="A905" s="9" t="s">
        <v>915</v>
      </c>
      <c r="B905" s="11" t="str">
        <f t="shared" si="1"/>
        <v>NSE:FIEMIND</v>
      </c>
      <c r="C905" s="12">
        <f>IFERROR(__xludf.DUMMYFUNCTION("GOOGLEFINANCE(B905,""marketcap"")/10000000"),5132.3337)</f>
        <v>5132.3337</v>
      </c>
      <c r="D905" s="13">
        <f>IFERROR(__xludf.DUMMYFUNCTION("GOOGLEFINANCE(B905,""price"")"),1950.0)</f>
        <v>1950</v>
      </c>
      <c r="E905" s="14">
        <f>IFERROR(__xludf.DUMMYFUNCTION("GOOGLEFINANCE(B905,""Volume"")"),26526.0)</f>
        <v>26526</v>
      </c>
      <c r="F905" s="14">
        <f t="array" ref="F905">F904</f>
        <v>14</v>
      </c>
      <c r="G905" s="15" t="str">
        <f>IFERROR(__xludf.DUMMYFUNCTION("IF(E905&gt;AVERAGE(INDEX(GOOGLEFINANCE(B905,""volume"",WORKDAY(TODAY(),-$F$1),TODAY()),,2)),""Breakout"","""")"),"")</f>
        <v/>
      </c>
      <c r="H905" s="16">
        <f>IFERROR(__xludf.DUMMYFUNCTION("GOOGLEFINANCE(B905,""price"")"),1950.0)</f>
        <v>1950</v>
      </c>
      <c r="I905" s="17">
        <f>IFERROR(__xludf.DUMMYFUNCTION("AVERAGE(QUERY(SORT(GOOGLEFINANCE(B905,""price"",TODAY()-365,TODAY()),1,0),""select Col2 limit 10""))"),1993.3399999999997)</f>
        <v>1993.34</v>
      </c>
      <c r="J905" s="17">
        <f>IFERROR(__xludf.DUMMYFUNCTION("AVERAGE(QUERY(SORT(GOOGLEFINANCE(B905,""price"",TODAY()-365,TODAY()),1,0),""select Col2 limit 30""))"),1938.126666666667)</f>
        <v>1938.126667</v>
      </c>
      <c r="K905" s="18">
        <f>IFERROR(__xludf.DUMMYFUNCTION("AVERAGE(QUERY(SORT(GOOGLEFINANCE(B905,""price"",TODAY()-365,TODAY()),1,0),""select Col2 limit 60""))"),1802.3966666666674)</f>
        <v>1802.396667</v>
      </c>
      <c r="L905" s="17">
        <f>IFERROR(__xludf.DUMMYFUNCTION("AVERAGE(QUERY(SORT(GOOGLEFINANCE(B905,""price"",TODAY()-365,TODAY()),1,0),""select Col2 limit 90""))"),1672.0411111111118)</f>
        <v>1672.041111</v>
      </c>
      <c r="M905" s="17">
        <f>IFERROR(__xludf.DUMMYFUNCTION("AVERAGE(QUERY(SORT(GOOGLEFINANCE(B905,""price"",TODAY()-365,TODAY()),1,0),""select Col2 limit 120""))"),1602.5545833333338)</f>
        <v>1602.554583</v>
      </c>
      <c r="N905" s="19">
        <f>IFERROR(__xludf.DUMMYFUNCTION("AVERAGE(QUERY(SORT(GOOGLEFINANCE(B905,""price"",TODAY()-365,TODAY()),1,0),""select Col2 limit 200""))"),1575.7740000000006)</f>
        <v>1575.774</v>
      </c>
      <c r="O905" s="20" t="str">
        <f t="shared" si="2"/>
        <v>Avoid</v>
      </c>
      <c r="P905" s="21" t="str">
        <f t="shared" si="3"/>
        <v/>
      </c>
      <c r="Q905" s="21" t="str">
        <f t="shared" si="4"/>
        <v/>
      </c>
      <c r="R905" s="22">
        <f>IFERROR(__xludf.DUMMYFUNCTION("GOOGLEFINANCE(B905, ""pe"")
"),25.04)</f>
        <v>25.04</v>
      </c>
    </row>
    <row r="906">
      <c r="A906" s="9" t="s">
        <v>916</v>
      </c>
      <c r="B906" s="11" t="str">
        <f t="shared" si="1"/>
        <v>NSE:MAITHANALL</v>
      </c>
      <c r="C906" s="12">
        <f>IFERROR(__xludf.DUMMYFUNCTION("GOOGLEFINANCE(B906,""marketcap"")/10000000"),3283.4906676)</f>
        <v>3283.490668</v>
      </c>
      <c r="D906" s="13">
        <f>IFERROR(__xludf.DUMMYFUNCTION("GOOGLEFINANCE(B906,""price"")"),1128.1)</f>
        <v>1128.1</v>
      </c>
      <c r="E906" s="14">
        <f>IFERROR(__xludf.DUMMYFUNCTION("GOOGLEFINANCE(B906,""Volume"")"),12523.0)</f>
        <v>12523</v>
      </c>
      <c r="F906" s="14">
        <f t="array" ref="F906">F905</f>
        <v>14</v>
      </c>
      <c r="G906" s="15" t="str">
        <f>IFERROR(__xludf.DUMMYFUNCTION("IF(E906&gt;AVERAGE(INDEX(GOOGLEFINANCE(B906,""volume"",WORKDAY(TODAY(),-$F$1),TODAY()),,2)),""Breakout"","""")"),"")</f>
        <v/>
      </c>
      <c r="H906" s="16">
        <f>IFERROR(__xludf.DUMMYFUNCTION("GOOGLEFINANCE(B906,""price"")"),1128.1)</f>
        <v>1128.1</v>
      </c>
      <c r="I906" s="17">
        <f>IFERROR(__xludf.DUMMYFUNCTION("AVERAGE(QUERY(SORT(GOOGLEFINANCE(B906,""price"",TODAY()-365,TODAY()),1,0),""select Col2 limit 10""))"),1146.1300000000003)</f>
        <v>1146.13</v>
      </c>
      <c r="J906" s="17">
        <f>IFERROR(__xludf.DUMMYFUNCTION("AVERAGE(QUERY(SORT(GOOGLEFINANCE(B906,""price"",TODAY()-365,TODAY()),1,0),""select Col2 limit 30""))"),1173.0533333333333)</f>
        <v>1173.053333</v>
      </c>
      <c r="K906" s="18">
        <f>IFERROR(__xludf.DUMMYFUNCTION("AVERAGE(QUERY(SORT(GOOGLEFINANCE(B906,""price"",TODAY()-365,TODAY()),1,0),""select Col2 limit 60""))"),1116.0066666666667)</f>
        <v>1116.006667</v>
      </c>
      <c r="L906" s="17">
        <f>IFERROR(__xludf.DUMMYFUNCTION("AVERAGE(QUERY(SORT(GOOGLEFINANCE(B906,""price"",TODAY()-365,TODAY()),1,0),""select Col2 limit 90""))"),1050.0622222222219)</f>
        <v>1050.062222</v>
      </c>
      <c r="M906" s="17">
        <f>IFERROR(__xludf.DUMMYFUNCTION("AVERAGE(QUERY(SORT(GOOGLEFINANCE(B906,""price"",TODAY()-365,TODAY()),1,0),""select Col2 limit 120""))"),1017.4675000000001)</f>
        <v>1017.4675</v>
      </c>
      <c r="N906" s="19">
        <f>IFERROR(__xludf.DUMMYFUNCTION("AVERAGE(QUERY(SORT(GOOGLEFINANCE(B906,""price"",TODAY()-365,TODAY()),1,0),""select Col2 limit 200""))"),1041.672)</f>
        <v>1041.672</v>
      </c>
      <c r="O906" s="20" t="str">
        <f t="shared" si="2"/>
        <v>Avoid</v>
      </c>
      <c r="P906" s="21" t="str">
        <f t="shared" si="3"/>
        <v/>
      </c>
      <c r="Q906" s="21" t="str">
        <f t="shared" si="4"/>
        <v/>
      </c>
      <c r="R906" s="22">
        <f>IFERROR(__xludf.DUMMYFUNCTION("GOOGLEFINANCE(B906, ""pe"")
"),5.21)</f>
        <v>5.21</v>
      </c>
    </row>
    <row r="907">
      <c r="A907" s="9" t="s">
        <v>917</v>
      </c>
      <c r="B907" s="11" t="str">
        <f t="shared" si="1"/>
        <v>NSE:THYROCARE</v>
      </c>
      <c r="C907" s="12">
        <f>IFERROR(__xludf.DUMMYFUNCTION("GOOGLEFINANCE(B907,""marketcap"")/10000000"),6860.9253039)</f>
        <v>6860.925304</v>
      </c>
      <c r="D907" s="13">
        <f>IFERROR(__xludf.DUMMYFUNCTION("GOOGLEFINANCE(B907,""price"")"),1290.0)</f>
        <v>1290</v>
      </c>
      <c r="E907" s="14">
        <f>IFERROR(__xludf.DUMMYFUNCTION("GOOGLEFINANCE(B907,""Volume"")"),143569.0)</f>
        <v>143569</v>
      </c>
      <c r="F907" s="14">
        <f t="array" ref="F907">F906</f>
        <v>14</v>
      </c>
      <c r="G907" s="15" t="str">
        <f>IFERROR(__xludf.DUMMYFUNCTION("IF(E907&gt;AVERAGE(INDEX(GOOGLEFINANCE(B907,""volume"",WORKDAY(TODAY(),-$F$1),TODAY()),,2)),""Breakout"","""")"),"")</f>
        <v/>
      </c>
      <c r="H907" s="16">
        <f>IFERROR(__xludf.DUMMYFUNCTION("GOOGLEFINANCE(B907,""price"")"),1290.0)</f>
        <v>1290</v>
      </c>
      <c r="I907" s="17">
        <f>IFERROR(__xludf.DUMMYFUNCTION("AVERAGE(QUERY(SORT(GOOGLEFINANCE(B907,""price"",TODAY()-365,TODAY()),1,0),""select Col2 limit 10""))"),1210.525)</f>
        <v>1210.525</v>
      </c>
      <c r="J907" s="17">
        <f>IFERROR(__xludf.DUMMYFUNCTION("AVERAGE(QUERY(SORT(GOOGLEFINANCE(B907,""price"",TODAY()-365,TODAY()),1,0),""select Col2 limit 30""))"),1082.4750000000001)</f>
        <v>1082.475</v>
      </c>
      <c r="K907" s="18">
        <f>IFERROR(__xludf.DUMMYFUNCTION("AVERAGE(QUERY(SORT(GOOGLEFINANCE(B907,""price"",TODAY()-365,TODAY()),1,0),""select Col2 limit 60""))"),1031.0233333333333)</f>
        <v>1031.023333</v>
      </c>
      <c r="L907" s="17">
        <f>IFERROR(__xludf.DUMMYFUNCTION("AVERAGE(QUERY(SORT(GOOGLEFINANCE(B907,""price"",TODAY()-365,TODAY()),1,0),""select Col2 limit 90""))"),938.4327777777775)</f>
        <v>938.4327778</v>
      </c>
      <c r="M907" s="17">
        <f>IFERROR(__xludf.DUMMYFUNCTION("AVERAGE(QUERY(SORT(GOOGLEFINANCE(B907,""price"",TODAY()-365,TODAY()),1,0),""select Col2 limit 120""))"),886.8437499999998)</f>
        <v>886.84375</v>
      </c>
      <c r="N907" s="19">
        <f>IFERROR(__xludf.DUMMYFUNCTION("AVERAGE(QUERY(SORT(GOOGLEFINANCE(B907,""price"",TODAY()-365,TODAY()),1,0),""select Col2 limit 200""))"),899.815)</f>
        <v>899.815</v>
      </c>
      <c r="O907" s="20" t="str">
        <f t="shared" si="2"/>
        <v>Avoid</v>
      </c>
      <c r="P907" s="21" t="str">
        <f t="shared" si="3"/>
        <v/>
      </c>
      <c r="Q907" s="21" t="str">
        <f t="shared" si="4"/>
        <v/>
      </c>
      <c r="R907" s="22">
        <f>IFERROR(__xludf.DUMMYFUNCTION("GOOGLEFINANCE(B907, ""pe"")
"),63.92)</f>
        <v>63.92</v>
      </c>
    </row>
    <row r="908">
      <c r="A908" s="9" t="s">
        <v>918</v>
      </c>
      <c r="B908" s="11" t="str">
        <f t="shared" si="1"/>
        <v>NSE:JINDALPOLY</v>
      </c>
      <c r="C908" s="12">
        <f>IFERROR(__xludf.DUMMYFUNCTION("GOOGLEFINANCE(B908,""marketcap"")/10000000"),2615.3628131)</f>
        <v>2615.362813</v>
      </c>
      <c r="D908" s="13">
        <f>IFERROR(__xludf.DUMMYFUNCTION("GOOGLEFINANCE(B908,""price"")"),598.45)</f>
        <v>598.45</v>
      </c>
      <c r="E908" s="14">
        <f>IFERROR(__xludf.DUMMYFUNCTION("GOOGLEFINANCE(B908,""Volume"")"),6773.0)</f>
        <v>6773</v>
      </c>
      <c r="F908" s="14">
        <f t="array" ref="F908">F907</f>
        <v>14</v>
      </c>
      <c r="G908" s="15" t="str">
        <f>IFERROR(__xludf.DUMMYFUNCTION("IF(E908&gt;AVERAGE(INDEX(GOOGLEFINANCE(B908,""volume"",WORKDAY(TODAY(),-$F$1),TODAY()),,2)),""Breakout"","""")"),"")</f>
        <v/>
      </c>
      <c r="H908" s="16">
        <f>IFERROR(__xludf.DUMMYFUNCTION("GOOGLEFINANCE(B908,""price"")"),598.45)</f>
        <v>598.45</v>
      </c>
      <c r="I908" s="17">
        <f>IFERROR(__xludf.DUMMYFUNCTION("AVERAGE(QUERY(SORT(GOOGLEFINANCE(B908,""price"",TODAY()-365,TODAY()),1,0),""select Col2 limit 10""))"),607.0000000000001)</f>
        <v>607</v>
      </c>
      <c r="J908" s="17">
        <f>IFERROR(__xludf.DUMMYFUNCTION("AVERAGE(QUERY(SORT(GOOGLEFINANCE(B908,""price"",TODAY()-365,TODAY()),1,0),""select Col2 limit 30""))"),607.1883333333335)</f>
        <v>607.1883333</v>
      </c>
      <c r="K908" s="18">
        <f>IFERROR(__xludf.DUMMYFUNCTION("AVERAGE(QUERY(SORT(GOOGLEFINANCE(B908,""price"",TODAY()-365,TODAY()),1,0),""select Col2 limit 60""))"),625.8225000000002)</f>
        <v>625.8225</v>
      </c>
      <c r="L908" s="17">
        <f>IFERROR(__xludf.DUMMYFUNCTION("AVERAGE(QUERY(SORT(GOOGLEFINANCE(B908,""price"",TODAY()-365,TODAY()),1,0),""select Col2 limit 90""))"),642.8538888888892)</f>
        <v>642.8538889</v>
      </c>
      <c r="M908" s="17">
        <f>IFERROR(__xludf.DUMMYFUNCTION("AVERAGE(QUERY(SORT(GOOGLEFINANCE(B908,""price"",TODAY()-365,TODAY()),1,0),""select Col2 limit 120""))"),670.9162500000001)</f>
        <v>670.91625</v>
      </c>
      <c r="N908" s="19">
        <f>IFERROR(__xludf.DUMMYFUNCTION("AVERAGE(QUERY(SORT(GOOGLEFINANCE(B908,""price"",TODAY()-365,TODAY()),1,0),""select Col2 limit 200""))"),746.4274999999996)</f>
        <v>746.4275</v>
      </c>
      <c r="O908" s="20" t="str">
        <f t="shared" si="2"/>
        <v>Avoid</v>
      </c>
      <c r="P908" s="21" t="str">
        <f t="shared" si="3"/>
        <v/>
      </c>
      <c r="Q908" s="21" t="str">
        <f t="shared" si="4"/>
        <v/>
      </c>
      <c r="R908" s="22">
        <f>IFERROR(__xludf.DUMMYFUNCTION("GOOGLEFINANCE(B908, ""pe"")
"),22.78)</f>
        <v>22.78</v>
      </c>
    </row>
    <row r="909">
      <c r="A909" s="9" t="s">
        <v>919</v>
      </c>
      <c r="B909" s="11" t="str">
        <f t="shared" si="1"/>
        <v>NSE:IDEAFORGE</v>
      </c>
      <c r="C909" s="12">
        <f>IFERROR(__xludf.DUMMYFUNCTION("GOOGLEFINANCE(B909,""marketcap"")/10000000"),1982.434838)</f>
        <v>1982.434838</v>
      </c>
      <c r="D909" s="13">
        <f>IFERROR(__xludf.DUMMYFUNCTION("GOOGLEFINANCE(B909,""price"")"),458.85)</f>
        <v>458.85</v>
      </c>
      <c r="E909" s="14">
        <f>IFERROR(__xludf.DUMMYFUNCTION("GOOGLEFINANCE(B909,""Volume"")"),166965.0)</f>
        <v>166965</v>
      </c>
      <c r="F909" s="14">
        <f t="array" ref="F909">F908</f>
        <v>14</v>
      </c>
      <c r="G909" s="15" t="str">
        <f>IFERROR(__xludf.DUMMYFUNCTION("IF(E909&gt;AVERAGE(INDEX(GOOGLEFINANCE(B909,""volume"",WORKDAY(TODAY(),-$F$1),TODAY()),,2)),""Breakout"","""")"),"")</f>
        <v/>
      </c>
      <c r="H909" s="16">
        <f>IFERROR(__xludf.DUMMYFUNCTION("GOOGLEFINANCE(B909,""price"")"),458.85)</f>
        <v>458.85</v>
      </c>
      <c r="I909" s="17">
        <f>IFERROR(__xludf.DUMMYFUNCTION("AVERAGE(QUERY(SORT(GOOGLEFINANCE(B909,""price"",TODAY()-365,TODAY()),1,0),""select Col2 limit 10""))"),533.4)</f>
        <v>533.4</v>
      </c>
      <c r="J909" s="17">
        <f>IFERROR(__xludf.DUMMYFUNCTION("AVERAGE(QUERY(SORT(GOOGLEFINANCE(B909,""price"",TODAY()-365,TODAY()),1,0),""select Col2 limit 30""))"),569.7933333333333)</f>
        <v>569.7933333</v>
      </c>
      <c r="K909" s="18">
        <f>IFERROR(__xludf.DUMMYFUNCTION("AVERAGE(QUERY(SORT(GOOGLEFINANCE(B909,""price"",TODAY()-365,TODAY()),1,0),""select Col2 limit 60""))"),547.2024999999998)</f>
        <v>547.2025</v>
      </c>
      <c r="L909" s="17">
        <f>IFERROR(__xludf.DUMMYFUNCTION("AVERAGE(QUERY(SORT(GOOGLEFINANCE(B909,""price"",TODAY()-365,TODAY()),1,0),""select Col2 limit 90""))"),485.84944444444443)</f>
        <v>485.8494444</v>
      </c>
      <c r="M909" s="17">
        <f>IFERROR(__xludf.DUMMYFUNCTION("AVERAGE(QUERY(SORT(GOOGLEFINANCE(B909,""price"",TODAY()-365,TODAY()),1,0),""select Col2 limit 120""))"),464.06833333333327)</f>
        <v>464.0683333</v>
      </c>
      <c r="N909" s="19">
        <f>IFERROR(__xludf.DUMMYFUNCTION("AVERAGE(QUERY(SORT(GOOGLEFINANCE(B909,""price"",TODAY()-365,TODAY()),1,0),""select Col2 limit 200""))"),520.1594999999999)</f>
        <v>520.1595</v>
      </c>
      <c r="O909" s="20" t="str">
        <f t="shared" si="2"/>
        <v>Avoid</v>
      </c>
      <c r="P909" s="21" t="str">
        <f t="shared" si="3"/>
        <v/>
      </c>
      <c r="Q909" s="21" t="str">
        <f t="shared" si="4"/>
        <v/>
      </c>
      <c r="R909" s="22" t="str">
        <f>IFERROR(__xludf.DUMMYFUNCTION("GOOGLEFINANCE(B909, ""pe"")
"),"#N/A")</f>
        <v>#N/A</v>
      </c>
    </row>
    <row r="910">
      <c r="A910" s="9" t="s">
        <v>920</v>
      </c>
      <c r="B910" s="11" t="str">
        <f t="shared" si="1"/>
        <v>NSE:AVALON</v>
      </c>
      <c r="C910" s="12">
        <f>IFERROR(__xludf.DUMMYFUNCTION("GOOGLEFINANCE(B910,""marketcap"")/10000000"),5404.7663508)</f>
        <v>5404.766351</v>
      </c>
      <c r="D910" s="13">
        <f>IFERROR(__xludf.DUMMYFUNCTION("GOOGLEFINANCE(B910,""price"")"),813.4)</f>
        <v>813.4</v>
      </c>
      <c r="E910" s="14">
        <f>IFERROR(__xludf.DUMMYFUNCTION("GOOGLEFINANCE(B910,""Volume"")"),108517.0)</f>
        <v>108517</v>
      </c>
      <c r="F910" s="14">
        <f t="array" ref="F910">F909</f>
        <v>14</v>
      </c>
      <c r="G910" s="15" t="str">
        <f>IFERROR(__xludf.DUMMYFUNCTION("IF(E910&gt;AVERAGE(INDEX(GOOGLEFINANCE(B910,""volume"",WORKDAY(TODAY(),-$F$1),TODAY()),,2)),""Breakout"","""")"),"")</f>
        <v/>
      </c>
      <c r="H910" s="16">
        <f>IFERROR(__xludf.DUMMYFUNCTION("GOOGLEFINANCE(B910,""price"")"),813.4)</f>
        <v>813.4</v>
      </c>
      <c r="I910" s="17">
        <f>IFERROR(__xludf.DUMMYFUNCTION("AVERAGE(QUERY(SORT(GOOGLEFINANCE(B910,""price"",TODAY()-365,TODAY()),1,0),""select Col2 limit 10""))"),863.95)</f>
        <v>863.95</v>
      </c>
      <c r="J910" s="17">
        <f>IFERROR(__xludf.DUMMYFUNCTION("AVERAGE(QUERY(SORT(GOOGLEFINANCE(B910,""price"",TODAY()-365,TODAY()),1,0),""select Col2 limit 30""))"),845.8433333333334)</f>
        <v>845.8433333</v>
      </c>
      <c r="K910" s="18">
        <f>IFERROR(__xludf.DUMMYFUNCTION("AVERAGE(QUERY(SORT(GOOGLEFINANCE(B910,""price"",TODAY()-365,TODAY()),1,0),""select Col2 limit 60""))"),850.9925)</f>
        <v>850.9925</v>
      </c>
      <c r="L910" s="17">
        <f>IFERROR(__xludf.DUMMYFUNCTION("AVERAGE(QUERY(SORT(GOOGLEFINANCE(B910,""price"",TODAY()-365,TODAY()),1,0),""select Col2 limit 90""))"),833.9300000000002)</f>
        <v>833.93</v>
      </c>
      <c r="M910" s="17">
        <f>IFERROR(__xludf.DUMMYFUNCTION("AVERAGE(QUERY(SORT(GOOGLEFINANCE(B910,""price"",TODAY()-365,TODAY()),1,0),""select Col2 limit 120""))"),794.9158333333332)</f>
        <v>794.9158333</v>
      </c>
      <c r="N910" s="19">
        <f>IFERROR(__xludf.DUMMYFUNCTION("AVERAGE(QUERY(SORT(GOOGLEFINANCE(B910,""price"",TODAY()-365,TODAY()),1,0),""select Col2 limit 200""))"),790.62675)</f>
        <v>790.62675</v>
      </c>
      <c r="O910" s="20" t="str">
        <f t="shared" si="2"/>
        <v>Avoid</v>
      </c>
      <c r="P910" s="21" t="str">
        <f t="shared" si="3"/>
        <v/>
      </c>
      <c r="Q910" s="21" t="str">
        <f t="shared" si="4"/>
        <v/>
      </c>
      <c r="R910" s="22">
        <f>IFERROR(__xludf.DUMMYFUNCTION("GOOGLEFINANCE(B910, ""pe"")
"),85.81)</f>
        <v>85.81</v>
      </c>
    </row>
    <row r="911">
      <c r="A911" s="9" t="s">
        <v>921</v>
      </c>
      <c r="B911" s="11" t="str">
        <f t="shared" si="1"/>
        <v>NSE:TVSSRICHAK</v>
      </c>
      <c r="C911" s="12">
        <f>IFERROR(__xludf.DUMMYFUNCTION("GOOGLEFINANCE(B911,""marketcap"")/10000000"),2284.7106163)</f>
        <v>2284.710616</v>
      </c>
      <c r="D911" s="13">
        <f>IFERROR(__xludf.DUMMYFUNCTION("GOOGLEFINANCE(B911,""price"")"),2983.8)</f>
        <v>2983.8</v>
      </c>
      <c r="E911" s="14">
        <f>IFERROR(__xludf.DUMMYFUNCTION("GOOGLEFINANCE(B911,""Volume"")"),1293.0)</f>
        <v>1293</v>
      </c>
      <c r="F911" s="14">
        <f t="array" ref="F911">F910</f>
        <v>14</v>
      </c>
      <c r="G911" s="15" t="str">
        <f>IFERROR(__xludf.DUMMYFUNCTION("IF(E911&gt;AVERAGE(INDEX(GOOGLEFINANCE(B911,""volume"",WORKDAY(TODAY(),-$F$1),TODAY()),,2)),""Breakout"","""")"),"")</f>
        <v/>
      </c>
      <c r="H911" s="16">
        <f>IFERROR(__xludf.DUMMYFUNCTION("GOOGLEFINANCE(B911,""price"")"),2983.8)</f>
        <v>2983.8</v>
      </c>
      <c r="I911" s="17">
        <f>IFERROR(__xludf.DUMMYFUNCTION("AVERAGE(QUERY(SORT(GOOGLEFINANCE(B911,""price"",TODAY()-365,TODAY()),1,0),""select Col2 limit 10""))"),3147.9999999999995)</f>
        <v>3148</v>
      </c>
      <c r="J911" s="17">
        <f>IFERROR(__xludf.DUMMYFUNCTION("AVERAGE(QUERY(SORT(GOOGLEFINANCE(B911,""price"",TODAY()-365,TODAY()),1,0),""select Col2 limit 30""))"),3117.6500000000005)</f>
        <v>3117.65</v>
      </c>
      <c r="K911" s="18">
        <f>IFERROR(__xludf.DUMMYFUNCTION("AVERAGE(QUERY(SORT(GOOGLEFINANCE(B911,""price"",TODAY()-365,TODAY()),1,0),""select Col2 limit 60""))"),3040.101666666667)</f>
        <v>3040.101667</v>
      </c>
      <c r="L911" s="17">
        <f>IFERROR(__xludf.DUMMYFUNCTION("AVERAGE(QUERY(SORT(GOOGLEFINANCE(B911,""price"",TODAY()-365,TODAY()),1,0),""select Col2 limit 90""))"),2932.341666666667)</f>
        <v>2932.341667</v>
      </c>
      <c r="M911" s="17">
        <f>IFERROR(__xludf.DUMMYFUNCTION("AVERAGE(QUERY(SORT(GOOGLEFINANCE(B911,""price"",TODAY()-365,TODAY()),1,0),""select Col2 limit 120""))"),2911.9641666666676)</f>
        <v>2911.964167</v>
      </c>
      <c r="N911" s="19">
        <f>IFERROR(__xludf.DUMMYFUNCTION("AVERAGE(QUERY(SORT(GOOGLEFINANCE(B911,""price"",TODAY()-365,TODAY()),1,0),""select Col2 limit 200""))"),3200.74325)</f>
        <v>3200.74325</v>
      </c>
      <c r="O911" s="20" t="str">
        <f t="shared" si="2"/>
        <v>Avoid</v>
      </c>
      <c r="P911" s="21" t="str">
        <f t="shared" si="3"/>
        <v/>
      </c>
      <c r="Q911" s="21" t="str">
        <f t="shared" si="4"/>
        <v/>
      </c>
      <c r="R911" s="22">
        <f>IFERROR(__xludf.DUMMYFUNCTION("GOOGLEFINANCE(B911, ""pe"")
"),110.84)</f>
        <v>110.84</v>
      </c>
    </row>
    <row r="912">
      <c r="A912" s="9" t="s">
        <v>922</v>
      </c>
      <c r="B912" s="11" t="str">
        <f t="shared" si="1"/>
        <v>NSE:BHAGCHEM</v>
      </c>
      <c r="C912" s="12">
        <f>IFERROR(__xludf.DUMMYFUNCTION("GOOGLEFINANCE(B912,""marketcap"")/10000000"),3896.55345)</f>
        <v>3896.55345</v>
      </c>
      <c r="D912" s="13">
        <f>IFERROR(__xludf.DUMMYFUNCTION("GOOGLEFINANCE(B912,""price"")"),302.45)</f>
        <v>302.45</v>
      </c>
      <c r="E912" s="14">
        <f>IFERROR(__xludf.DUMMYFUNCTION("GOOGLEFINANCE(B912,""Volume"")"),75552.0)</f>
        <v>75552</v>
      </c>
      <c r="F912" s="14">
        <f t="array" ref="F912">F911</f>
        <v>14</v>
      </c>
      <c r="G912" s="15" t="str">
        <f>IFERROR(__xludf.DUMMYFUNCTION("IF(E912&gt;AVERAGE(INDEX(GOOGLEFINANCE(B912,""volume"",WORKDAY(TODAY(),-$F$1),TODAY()),,2)),""Breakout"","""")"),"")</f>
        <v/>
      </c>
      <c r="H912" s="16">
        <f>IFERROR(__xludf.DUMMYFUNCTION("GOOGLEFINANCE(B912,""price"")"),302.45)</f>
        <v>302.45</v>
      </c>
      <c r="I912" s="17">
        <f>IFERROR(__xludf.DUMMYFUNCTION("AVERAGE(QUERY(SORT(GOOGLEFINANCE(B912,""price"",TODAY()-365,TODAY()),1,0),""select Col2 limit 10""))"),301.665)</f>
        <v>301.665</v>
      </c>
      <c r="J912" s="17">
        <f>IFERROR(__xludf.DUMMYFUNCTION("AVERAGE(QUERY(SORT(GOOGLEFINANCE(B912,""price"",TODAY()-365,TODAY()),1,0),""select Col2 limit 30""))"),300.12333333333333)</f>
        <v>300.1233333</v>
      </c>
      <c r="K912" s="18">
        <f>IFERROR(__xludf.DUMMYFUNCTION("AVERAGE(QUERY(SORT(GOOGLEFINANCE(B912,""price"",TODAY()-365,TODAY()),1,0),""select Col2 limit 60""))"),299.6408333333333)</f>
        <v>299.6408333</v>
      </c>
      <c r="L912" s="17">
        <f>IFERROR(__xludf.DUMMYFUNCTION("AVERAGE(QUERY(SORT(GOOGLEFINANCE(B912,""price"",TODAY()-365,TODAY()),1,0),""select Col2 limit 90""))"),295.86166666666674)</f>
        <v>295.8616667</v>
      </c>
      <c r="M912" s="17">
        <f>IFERROR(__xludf.DUMMYFUNCTION("AVERAGE(QUERY(SORT(GOOGLEFINANCE(B912,""price"",TODAY()-365,TODAY()),1,0),""select Col2 limit 120""))"),295.3483333333334)</f>
        <v>295.3483333</v>
      </c>
      <c r="N912" s="19">
        <f>IFERROR(__xludf.DUMMYFUNCTION("AVERAGE(QUERY(SORT(GOOGLEFINANCE(B912,""price"",TODAY()-365,TODAY()),1,0),""select Col2 limit 200""))"),307.5370000000001)</f>
        <v>307.537</v>
      </c>
      <c r="O912" s="20" t="str">
        <f t="shared" si="2"/>
        <v>Buy Above 200 DMA</v>
      </c>
      <c r="P912" s="21" t="str">
        <f t="shared" si="3"/>
        <v/>
      </c>
      <c r="Q912" s="21" t="str">
        <f t="shared" si="4"/>
        <v/>
      </c>
      <c r="R912" s="22">
        <f>IFERROR(__xludf.DUMMYFUNCTION("GOOGLEFINANCE(B912, ""pe"")
"),265.66)</f>
        <v>265.66</v>
      </c>
    </row>
    <row r="913">
      <c r="A913" s="9" t="s">
        <v>923</v>
      </c>
      <c r="B913" s="11" t="str">
        <f t="shared" si="1"/>
        <v>NSE:OPTIEMUS</v>
      </c>
      <c r="C913" s="12">
        <f>IFERROR(__xludf.DUMMYFUNCTION("GOOGLEFINANCE(B913,""marketcap"")/10000000"),4960.8872314)</f>
        <v>4960.887231</v>
      </c>
      <c r="D913" s="13">
        <f>IFERROR(__xludf.DUMMYFUNCTION("GOOGLEFINANCE(B913,""price"")"),563.3)</f>
        <v>563.3</v>
      </c>
      <c r="E913" s="14">
        <f>IFERROR(__xludf.DUMMYFUNCTION("GOOGLEFINANCE(B913,""Volume"")"),78585.0)</f>
        <v>78585</v>
      </c>
      <c r="F913" s="14">
        <f t="array" ref="F913">F912</f>
        <v>14</v>
      </c>
      <c r="G913" s="15" t="str">
        <f>IFERROR(__xludf.DUMMYFUNCTION("IF(E913&gt;AVERAGE(INDEX(GOOGLEFINANCE(B913,""volume"",WORKDAY(TODAY(),-$F$1),TODAY()),,2)),""Breakout"","""")"),"")</f>
        <v/>
      </c>
      <c r="H913" s="16">
        <f>IFERROR(__xludf.DUMMYFUNCTION("GOOGLEFINANCE(B913,""price"")"),563.3)</f>
        <v>563.3</v>
      </c>
      <c r="I913" s="17">
        <f>IFERROR(__xludf.DUMMYFUNCTION("AVERAGE(QUERY(SORT(GOOGLEFINANCE(B913,""price"",TODAY()-365,TODAY()),1,0),""select Col2 limit 10""))"),600.64)</f>
        <v>600.64</v>
      </c>
      <c r="J913" s="17">
        <f>IFERROR(__xludf.DUMMYFUNCTION("AVERAGE(QUERY(SORT(GOOGLEFINANCE(B913,""price"",TODAY()-365,TODAY()),1,0),""select Col2 limit 30""))"),622.5933333333334)</f>
        <v>622.5933333</v>
      </c>
      <c r="K913" s="18">
        <f>IFERROR(__xludf.DUMMYFUNCTION("AVERAGE(QUERY(SORT(GOOGLEFINANCE(B913,""price"",TODAY()-365,TODAY()),1,0),""select Col2 limit 60""))"),599.6466666666668)</f>
        <v>599.6466667</v>
      </c>
      <c r="L913" s="17">
        <f>IFERROR(__xludf.DUMMYFUNCTION("AVERAGE(QUERY(SORT(GOOGLEFINANCE(B913,""price"",TODAY()-365,TODAY()),1,0),""select Col2 limit 90""))"),551.258888888889)</f>
        <v>551.2588889</v>
      </c>
      <c r="M913" s="17">
        <f>IFERROR(__xludf.DUMMYFUNCTION("AVERAGE(QUERY(SORT(GOOGLEFINANCE(B913,""price"",TODAY()-365,TODAY()),1,0),""select Col2 limit 120""))"),545.5533333333334)</f>
        <v>545.5533333</v>
      </c>
      <c r="N913" s="19">
        <f>IFERROR(__xludf.DUMMYFUNCTION("AVERAGE(QUERY(SORT(GOOGLEFINANCE(B913,""price"",TODAY()-365,TODAY()),1,0),""select Col2 limit 200""))"),604.75775)</f>
        <v>604.75775</v>
      </c>
      <c r="O913" s="20" t="str">
        <f t="shared" si="2"/>
        <v>Avoid</v>
      </c>
      <c r="P913" s="21" t="str">
        <f t="shared" si="3"/>
        <v/>
      </c>
      <c r="Q913" s="21" t="str">
        <f t="shared" si="4"/>
        <v/>
      </c>
      <c r="R913" s="22">
        <f>IFERROR(__xludf.DUMMYFUNCTION("GOOGLEFINANCE(B913, ""pe"")
"),76.85)</f>
        <v>76.85</v>
      </c>
    </row>
    <row r="914">
      <c r="A914" s="9" t="s">
        <v>924</v>
      </c>
      <c r="B914" s="11" t="str">
        <f t="shared" si="1"/>
        <v>NSE:THEJO</v>
      </c>
      <c r="C914" s="12">
        <f>IFERROR(__xludf.DUMMYFUNCTION("GOOGLEFINANCE(B914,""marketcap"")/10000000"),2540.648918)</f>
        <v>2540.648918</v>
      </c>
      <c r="D914" s="13">
        <f>IFERROR(__xludf.DUMMYFUNCTION("GOOGLEFINANCE(B914,""price"")"),2342.4)</f>
        <v>2342.4</v>
      </c>
      <c r="E914" s="14">
        <f>IFERROR(__xludf.DUMMYFUNCTION("GOOGLEFINANCE(B914,""Volume"")"),8531.0)</f>
        <v>8531</v>
      </c>
      <c r="F914" s="14">
        <f t="array" ref="F914">F913</f>
        <v>14</v>
      </c>
      <c r="G914" s="15" t="str">
        <f>IFERROR(__xludf.DUMMYFUNCTION("IF(E914&gt;AVERAGE(INDEX(GOOGLEFINANCE(B914,""volume"",WORKDAY(TODAY(),-$F$1),TODAY()),,2)),""Breakout"","""")"),"")</f>
        <v/>
      </c>
      <c r="H914" s="16">
        <f>IFERROR(__xludf.DUMMYFUNCTION("GOOGLEFINANCE(B914,""price"")"),2342.4)</f>
        <v>2342.4</v>
      </c>
      <c r="I914" s="17">
        <f>IFERROR(__xludf.DUMMYFUNCTION("AVERAGE(QUERY(SORT(GOOGLEFINANCE(B914,""price"",TODAY()-365,TODAY()),1,0),""select Col2 limit 10""))"),2284.2400000000002)</f>
        <v>2284.24</v>
      </c>
      <c r="J914" s="17">
        <f>IFERROR(__xludf.DUMMYFUNCTION("AVERAGE(QUERY(SORT(GOOGLEFINANCE(B914,""price"",TODAY()-365,TODAY()),1,0),""select Col2 limit 30""))"),2026.4433333333334)</f>
        <v>2026.443333</v>
      </c>
      <c r="K914" s="18">
        <f>IFERROR(__xludf.DUMMYFUNCTION("AVERAGE(QUERY(SORT(GOOGLEFINANCE(B914,""price"",TODAY()-365,TODAY()),1,0),""select Col2 limit 60""))"),1960.9633333333331)</f>
        <v>1960.963333</v>
      </c>
      <c r="L914" s="17">
        <f>IFERROR(__xludf.DUMMYFUNCTION("AVERAGE(QUERY(SORT(GOOGLEFINANCE(B914,""price"",TODAY()-365,TODAY()),1,0),""select Col2 limit 90""))"),1908.7055555555555)</f>
        <v>1908.705556</v>
      </c>
      <c r="M914" s="17">
        <f>IFERROR(__xludf.DUMMYFUNCTION("AVERAGE(QUERY(SORT(GOOGLEFINANCE(B914,""price"",TODAY()-365,TODAY()),1,0),""select Col2 limit 120""))"),1853.5487499999992)</f>
        <v>1853.54875</v>
      </c>
      <c r="N914" s="19">
        <f>IFERROR(__xludf.DUMMYFUNCTION("AVERAGE(QUERY(SORT(GOOGLEFINANCE(B914,""price"",TODAY()-365,TODAY()),1,0),""select Col2 limit 200""))"),1971.3907499999998)</f>
        <v>1971.39075</v>
      </c>
      <c r="O914" s="20" t="str">
        <f t="shared" si="2"/>
        <v>Avoid</v>
      </c>
      <c r="P914" s="21" t="str">
        <f t="shared" si="3"/>
        <v/>
      </c>
      <c r="Q914" s="21" t="str">
        <f t="shared" si="4"/>
        <v/>
      </c>
      <c r="R914" s="22">
        <f>IFERROR(__xludf.DUMMYFUNCTION("GOOGLEFINANCE(B914, ""pe"")
"),50.86)</f>
        <v>50.86</v>
      </c>
    </row>
    <row r="915">
      <c r="A915" s="9" t="s">
        <v>925</v>
      </c>
      <c r="B915" s="11" t="str">
        <f t="shared" si="1"/>
        <v>NSE:GTLINFRA</v>
      </c>
      <c r="C915" s="12">
        <f>IFERROR(__xludf.DUMMYFUNCTION("GOOGLEFINANCE(B915,""marketcap"")/10000000"),2011.0303371)</f>
        <v>2011.030337</v>
      </c>
      <c r="D915" s="13">
        <f>IFERROR(__xludf.DUMMYFUNCTION("GOOGLEFINANCE(B915,""price"")"),1.56)</f>
        <v>1.56</v>
      </c>
      <c r="E915" s="14">
        <f>IFERROR(__xludf.DUMMYFUNCTION("GOOGLEFINANCE(B915,""Volume"")"),3.0859164E7)</f>
        <v>30859164</v>
      </c>
      <c r="F915" s="14">
        <f t="array" ref="F915">F914</f>
        <v>14</v>
      </c>
      <c r="G915" s="15" t="str">
        <f>IFERROR(__xludf.DUMMYFUNCTION("IF(E915&gt;AVERAGE(INDEX(GOOGLEFINANCE(B915,""volume"",WORKDAY(TODAY(),-$F$1),TODAY()),,2)),""Breakout"","""")"),"")</f>
        <v/>
      </c>
      <c r="H915" s="16">
        <f>IFERROR(__xludf.DUMMYFUNCTION("GOOGLEFINANCE(B915,""price"")"),1.56)</f>
        <v>1.56</v>
      </c>
      <c r="I915" s="17">
        <f>IFERROR(__xludf.DUMMYFUNCTION("AVERAGE(QUERY(SORT(GOOGLEFINANCE(B915,""price"",TODAY()-365,TODAY()),1,0),""select Col2 limit 10""))"),1.673)</f>
        <v>1.673</v>
      </c>
      <c r="J915" s="17">
        <f>IFERROR(__xludf.DUMMYFUNCTION("AVERAGE(QUERY(SORT(GOOGLEFINANCE(B915,""price"",TODAY()-365,TODAY()),1,0),""select Col2 limit 30""))"),1.744)</f>
        <v>1.744</v>
      </c>
      <c r="K915" s="18">
        <f>IFERROR(__xludf.DUMMYFUNCTION("AVERAGE(QUERY(SORT(GOOGLEFINANCE(B915,""price"",TODAY()-365,TODAY()),1,0),""select Col2 limit 60""))"),1.6286666666666665)</f>
        <v>1.628666667</v>
      </c>
      <c r="L915" s="17">
        <f>IFERROR(__xludf.DUMMYFUNCTION("AVERAGE(QUERY(SORT(GOOGLEFINANCE(B915,""price"",TODAY()-365,TODAY()),1,0),""select Col2 limit 90""))"),1.5812222222222216)</f>
        <v>1.581222222</v>
      </c>
      <c r="M915" s="17">
        <f>IFERROR(__xludf.DUMMYFUNCTION("AVERAGE(QUERY(SORT(GOOGLEFINANCE(B915,""price"",TODAY()-365,TODAY()),1,0),""select Col2 limit 120""))"),1.5981666666666665)</f>
        <v>1.598166667</v>
      </c>
      <c r="N915" s="19">
        <f>IFERROR(__xludf.DUMMYFUNCTION("AVERAGE(QUERY(SORT(GOOGLEFINANCE(B915,""price"",TODAY()-365,TODAY()),1,0),""select Col2 limit 200""))"),1.7878999999999998)</f>
        <v>1.7879</v>
      </c>
      <c r="O915" s="20" t="str">
        <f t="shared" si="2"/>
        <v>Avoid</v>
      </c>
      <c r="P915" s="21" t="str">
        <f t="shared" si="3"/>
        <v/>
      </c>
      <c r="Q915" s="21" t="str">
        <f t="shared" si="4"/>
        <v/>
      </c>
      <c r="R915" s="22" t="str">
        <f>IFERROR(__xludf.DUMMYFUNCTION("GOOGLEFINANCE(B915, ""pe"")
"),"#N/A")</f>
        <v>#N/A</v>
      </c>
    </row>
    <row r="916">
      <c r="A916" s="9" t="s">
        <v>926</v>
      </c>
      <c r="B916" s="11" t="str">
        <f t="shared" si="1"/>
        <v>NSE:STANLEY</v>
      </c>
      <c r="C916" s="12">
        <f>IFERROR(__xludf.DUMMYFUNCTION("GOOGLEFINANCE(B916,""marketcap"")/10000000"),1896.291704)</f>
        <v>1896.291704</v>
      </c>
      <c r="D916" s="13">
        <f>IFERROR(__xludf.DUMMYFUNCTION("GOOGLEFINANCE(B916,""price"")"),332.05)</f>
        <v>332.05</v>
      </c>
      <c r="E916" s="14">
        <f>IFERROR(__xludf.DUMMYFUNCTION("GOOGLEFINANCE(B916,""Volume"")"),25621.0)</f>
        <v>25621</v>
      </c>
      <c r="F916" s="14">
        <f t="array" ref="F916">F915</f>
        <v>14</v>
      </c>
      <c r="G916" s="15" t="str">
        <f>IFERROR(__xludf.DUMMYFUNCTION("IF(E916&gt;AVERAGE(INDEX(GOOGLEFINANCE(B916,""volume"",WORKDAY(TODAY(),-$F$1),TODAY()),,2)),""Breakout"","""")"),"")</f>
        <v/>
      </c>
      <c r="H916" s="16">
        <f>IFERROR(__xludf.DUMMYFUNCTION("GOOGLEFINANCE(B916,""price"")"),332.05)</f>
        <v>332.05</v>
      </c>
      <c r="I916" s="17">
        <f>IFERROR(__xludf.DUMMYFUNCTION("AVERAGE(QUERY(SORT(GOOGLEFINANCE(B916,""price"",TODAY()-365,TODAY()),1,0),""select Col2 limit 10""))"),339.525)</f>
        <v>339.525</v>
      </c>
      <c r="J916" s="17">
        <f>IFERROR(__xludf.DUMMYFUNCTION("AVERAGE(QUERY(SORT(GOOGLEFINANCE(B916,""price"",TODAY()-365,TODAY()),1,0),""select Col2 limit 30""))"),339.8366666666667)</f>
        <v>339.8366667</v>
      </c>
      <c r="K916" s="18">
        <f>IFERROR(__xludf.DUMMYFUNCTION("AVERAGE(QUERY(SORT(GOOGLEFINANCE(B916,""price"",TODAY()-365,TODAY()),1,0),""select Col2 limit 60""))"),342.5283333333333)</f>
        <v>342.5283333</v>
      </c>
      <c r="L916" s="17">
        <f>IFERROR(__xludf.DUMMYFUNCTION("AVERAGE(QUERY(SORT(GOOGLEFINANCE(B916,""price"",TODAY()-365,TODAY()),1,0),""select Col2 limit 90""))"),335.45388888888886)</f>
        <v>335.4538889</v>
      </c>
      <c r="M916" s="17">
        <f>IFERROR(__xludf.DUMMYFUNCTION("AVERAGE(QUERY(SORT(GOOGLEFINANCE(B916,""price"",TODAY()-365,TODAY()),1,0),""select Col2 limit 120""))"),327.47124999999994)</f>
        <v>327.47125</v>
      </c>
      <c r="N916" s="19">
        <f>IFERROR(__xludf.DUMMYFUNCTION("AVERAGE(QUERY(SORT(GOOGLEFINANCE(B916,""price"",TODAY()-365,TODAY()),1,0),""select Col2 limit 200""))"),369.1922499999999)</f>
        <v>369.19225</v>
      </c>
      <c r="O916" s="20" t="str">
        <f t="shared" si="2"/>
        <v>Avoid</v>
      </c>
      <c r="P916" s="21" t="str">
        <f t="shared" si="3"/>
        <v/>
      </c>
      <c r="Q916" s="21" t="str">
        <f t="shared" si="4"/>
        <v/>
      </c>
      <c r="R916" s="22">
        <f>IFERROR(__xludf.DUMMYFUNCTION("GOOGLEFINANCE(B916, ""pe"")
"),63.91)</f>
        <v>63.91</v>
      </c>
    </row>
    <row r="917">
      <c r="A917" s="9" t="s">
        <v>927</v>
      </c>
      <c r="B917" s="11" t="str">
        <f t="shared" si="1"/>
        <v>NSE:DALMIASUG</v>
      </c>
      <c r="C917" s="12">
        <f>IFERROR(__xludf.DUMMYFUNCTION("GOOGLEFINANCE(B917,""marketcap"")/10000000"),3046.9887662)</f>
        <v>3046.988766</v>
      </c>
      <c r="D917" s="13">
        <f>IFERROR(__xludf.DUMMYFUNCTION("GOOGLEFINANCE(B917,""price"")"),377.25)</f>
        <v>377.25</v>
      </c>
      <c r="E917" s="14">
        <f>IFERROR(__xludf.DUMMYFUNCTION("GOOGLEFINANCE(B917,""Volume"")"),30912.0)</f>
        <v>30912</v>
      </c>
      <c r="F917" s="14">
        <f t="array" ref="F917">F916</f>
        <v>14</v>
      </c>
      <c r="G917" s="15" t="str">
        <f>IFERROR(__xludf.DUMMYFUNCTION("IF(E917&gt;AVERAGE(INDEX(GOOGLEFINANCE(B917,""volume"",WORKDAY(TODAY(),-$F$1),TODAY()),,2)),""Breakout"","""")"),"")</f>
        <v/>
      </c>
      <c r="H917" s="16">
        <f>IFERROR(__xludf.DUMMYFUNCTION("GOOGLEFINANCE(B917,""price"")"),377.25)</f>
        <v>377.25</v>
      </c>
      <c r="I917" s="17" t="str">
        <f>IFERROR(__xludf.DUMMYFUNCTION("AVERAGE(QUERY(SORT(GOOGLEFINANCE(B917,""price"",TODAY()-365,TODAY()),1,0),""select Col2 limit 10""))"),"#N/A")</f>
        <v>#N/A</v>
      </c>
      <c r="J917" s="17" t="str">
        <f>IFERROR(__xludf.DUMMYFUNCTION("AVERAGE(QUERY(SORT(GOOGLEFINANCE(B917,""price"",TODAY()-365,TODAY()),1,0),""select Col2 limit 30""))"),"#N/A")</f>
        <v>#N/A</v>
      </c>
      <c r="K917" s="18" t="str">
        <f>IFERROR(__xludf.DUMMYFUNCTION("AVERAGE(QUERY(SORT(GOOGLEFINANCE(B917,""price"",TODAY()-365,TODAY()),1,0),""select Col2 limit 60""))"),"#N/A")</f>
        <v>#N/A</v>
      </c>
      <c r="L917" s="17" t="str">
        <f>IFERROR(__xludf.DUMMYFUNCTION("AVERAGE(QUERY(SORT(GOOGLEFINANCE(B917,""price"",TODAY()-365,TODAY()),1,0),""select Col2 limit 90""))"),"#N/A")</f>
        <v>#N/A</v>
      </c>
      <c r="M917" s="17" t="str">
        <f>IFERROR(__xludf.DUMMYFUNCTION("AVERAGE(QUERY(SORT(GOOGLEFINANCE(B917,""price"",TODAY()-365,TODAY()),1,0),""select Col2 limit 120""))"),"#N/A")</f>
        <v>#N/A</v>
      </c>
      <c r="N917" s="19" t="str">
        <f>IFERROR(__xludf.DUMMYFUNCTION("AVERAGE(QUERY(SORT(GOOGLEFINANCE(B917,""price"",TODAY()-365,TODAY()),1,0),""select Col2 limit 200""))"),"#N/A")</f>
        <v>#N/A</v>
      </c>
      <c r="O917" s="20" t="str">
        <f t="shared" si="2"/>
        <v>#N/A</v>
      </c>
      <c r="P917" s="21" t="str">
        <f t="shared" si="3"/>
        <v>#N/A</v>
      </c>
      <c r="Q917" s="21" t="str">
        <f t="shared" si="4"/>
        <v>#N/A</v>
      </c>
      <c r="R917" s="22">
        <f>IFERROR(__xludf.DUMMYFUNCTION("GOOGLEFINANCE(B917, ""pe"")
"),7.9)</f>
        <v>7.9</v>
      </c>
    </row>
    <row r="918">
      <c r="A918" s="9" t="s">
        <v>928</v>
      </c>
      <c r="B918" s="11" t="str">
        <f t="shared" si="1"/>
        <v>NSE:PFS</v>
      </c>
      <c r="C918" s="12">
        <f>IFERROR(__xludf.DUMMYFUNCTION("GOOGLEFINANCE(B918,""marketcap"")/10000000"),2623.7275909)</f>
        <v>2623.727591</v>
      </c>
      <c r="D918" s="13">
        <f>IFERROR(__xludf.DUMMYFUNCTION("GOOGLEFINANCE(B918,""price"")"),40.81)</f>
        <v>40.81</v>
      </c>
      <c r="E918" s="14">
        <f>IFERROR(__xludf.DUMMYFUNCTION("GOOGLEFINANCE(B918,""Volume"")"),232049.0)</f>
        <v>232049</v>
      </c>
      <c r="F918" s="14">
        <f t="array" ref="F918">F917</f>
        <v>14</v>
      </c>
      <c r="G918" s="15" t="str">
        <f>IFERROR(__xludf.DUMMYFUNCTION("IF(E918&gt;AVERAGE(INDEX(GOOGLEFINANCE(B918,""volume"",WORKDAY(TODAY(),-$F$1),TODAY()),,2)),""Breakout"","""")"),"")</f>
        <v/>
      </c>
      <c r="H918" s="16">
        <f>IFERROR(__xludf.DUMMYFUNCTION("GOOGLEFINANCE(B918,""price"")"),40.81)</f>
        <v>40.81</v>
      </c>
      <c r="I918" s="17">
        <f>IFERROR(__xludf.DUMMYFUNCTION("AVERAGE(QUERY(SORT(GOOGLEFINANCE(B918,""price"",TODAY()-365,TODAY()),1,0),""select Col2 limit 10""))"),41.739)</f>
        <v>41.739</v>
      </c>
      <c r="J918" s="17">
        <f>IFERROR(__xludf.DUMMYFUNCTION("AVERAGE(QUERY(SORT(GOOGLEFINANCE(B918,""price"",TODAY()-365,TODAY()),1,0),""select Col2 limit 30""))"),41.562666666666665)</f>
        <v>41.56266667</v>
      </c>
      <c r="K918" s="18">
        <f>IFERROR(__xludf.DUMMYFUNCTION("AVERAGE(QUERY(SORT(GOOGLEFINANCE(B918,""price"",TODAY()-365,TODAY()),1,0),""select Col2 limit 60""))"),39.06600000000001)</f>
        <v>39.066</v>
      </c>
      <c r="L918" s="17">
        <f>IFERROR(__xludf.DUMMYFUNCTION("AVERAGE(QUERY(SORT(GOOGLEFINANCE(B918,""price"",TODAY()-365,TODAY()),1,0),""select Col2 limit 90""))"),36.769222222222226)</f>
        <v>36.76922222</v>
      </c>
      <c r="M918" s="17">
        <f>IFERROR(__xludf.DUMMYFUNCTION("AVERAGE(QUERY(SORT(GOOGLEFINANCE(B918,""price"",TODAY()-365,TODAY()),1,0),""select Col2 limit 120""))"),36.16708333333333)</f>
        <v>36.16708333</v>
      </c>
      <c r="N918" s="19">
        <f>IFERROR(__xludf.DUMMYFUNCTION("AVERAGE(QUERY(SORT(GOOGLEFINANCE(B918,""price"",TODAY()-365,TODAY()),1,0),""select Col2 limit 200""))"),38.64234999999999)</f>
        <v>38.64235</v>
      </c>
      <c r="O918" s="20" t="str">
        <f t="shared" si="2"/>
        <v>Avoid</v>
      </c>
      <c r="P918" s="21" t="str">
        <f t="shared" si="3"/>
        <v/>
      </c>
      <c r="Q918" s="21" t="str">
        <f t="shared" si="4"/>
        <v/>
      </c>
      <c r="R918" s="22">
        <f>IFERROR(__xludf.DUMMYFUNCTION("GOOGLEFINANCE(B918, ""pe"")
"),12.08)</f>
        <v>12.08</v>
      </c>
    </row>
    <row r="919">
      <c r="A919" s="9" t="s">
        <v>929</v>
      </c>
      <c r="B919" s="11" t="str">
        <f t="shared" si="1"/>
        <v>NSE:FLAIR</v>
      </c>
      <c r="C919" s="12">
        <f>IFERROR(__xludf.DUMMYFUNCTION("GOOGLEFINANCE(B919,""marketcap"")/10000000"),3339.9769926)</f>
        <v>3339.976993</v>
      </c>
      <c r="D919" s="13">
        <f>IFERROR(__xludf.DUMMYFUNCTION("GOOGLEFINANCE(B919,""price"")"),317.05)</f>
        <v>317.05</v>
      </c>
      <c r="E919" s="14">
        <f>IFERROR(__xludf.DUMMYFUNCTION("GOOGLEFINANCE(B919,""Volume"")"),40613.0)</f>
        <v>40613</v>
      </c>
      <c r="F919" s="14">
        <f t="array" ref="F919">F918</f>
        <v>14</v>
      </c>
      <c r="G919" s="15" t="str">
        <f>IFERROR(__xludf.DUMMYFUNCTION("IF(E919&gt;AVERAGE(INDEX(GOOGLEFINANCE(B919,""volume"",WORKDAY(TODAY(),-$F$1),TODAY()),,2)),""Breakout"","""")"),"")</f>
        <v/>
      </c>
      <c r="H919" s="16">
        <f>IFERROR(__xludf.DUMMYFUNCTION("GOOGLEFINANCE(B919,""price"")"),317.05)</f>
        <v>317.05</v>
      </c>
      <c r="I919" s="17">
        <f>IFERROR(__xludf.DUMMYFUNCTION("AVERAGE(QUERY(SORT(GOOGLEFINANCE(B919,""price"",TODAY()-365,TODAY()),1,0),""select Col2 limit 10""))"),321.05499999999995)</f>
        <v>321.055</v>
      </c>
      <c r="J919" s="17">
        <f>IFERROR(__xludf.DUMMYFUNCTION("AVERAGE(QUERY(SORT(GOOGLEFINANCE(B919,""price"",TODAY()-365,TODAY()),1,0),""select Col2 limit 30""))"),285.5633333333333)</f>
        <v>285.5633333</v>
      </c>
      <c r="K919" s="18">
        <f>IFERROR(__xludf.DUMMYFUNCTION("AVERAGE(QUERY(SORT(GOOGLEFINANCE(B919,""price"",TODAY()-365,TODAY()),1,0),""select Col2 limit 60""))"),279.85033333333337)</f>
        <v>279.8503333</v>
      </c>
      <c r="L919" s="17">
        <f>IFERROR(__xludf.DUMMYFUNCTION("AVERAGE(QUERY(SORT(GOOGLEFINANCE(B919,""price"",TODAY()-365,TODAY()),1,0),""select Col2 limit 90""))"),266.08877777777786)</f>
        <v>266.0887778</v>
      </c>
      <c r="M919" s="17">
        <f>IFERROR(__xludf.DUMMYFUNCTION("AVERAGE(QUERY(SORT(GOOGLEFINANCE(B919,""price"",TODAY()-365,TODAY()),1,0),""select Col2 limit 120""))"),255.84216666666666)</f>
        <v>255.8421667</v>
      </c>
      <c r="N919" s="19">
        <f>IFERROR(__xludf.DUMMYFUNCTION("AVERAGE(QUERY(SORT(GOOGLEFINANCE(B919,""price"",TODAY()-365,TODAY()),1,0),""select Col2 limit 200""))"),266.32854999999995)</f>
        <v>266.32855</v>
      </c>
      <c r="O919" s="20" t="str">
        <f t="shared" si="2"/>
        <v>Avoid</v>
      </c>
      <c r="P919" s="21" t="str">
        <f t="shared" si="3"/>
        <v/>
      </c>
      <c r="Q919" s="21" t="str">
        <f t="shared" si="4"/>
        <v/>
      </c>
      <c r="R919" s="22">
        <f>IFERROR(__xludf.DUMMYFUNCTION("GOOGLEFINANCE(B919, ""pe"")
"),27.95)</f>
        <v>27.95</v>
      </c>
    </row>
    <row r="920">
      <c r="A920" s="9" t="s">
        <v>930</v>
      </c>
      <c r="B920" s="11" t="str">
        <f t="shared" si="1"/>
        <v>NSE:PRAKASH</v>
      </c>
      <c r="C920" s="12">
        <f>IFERROR(__xludf.DUMMYFUNCTION("GOOGLEFINANCE(B920,""marketcap"")/10000000"),3162.4054406)</f>
        <v>3162.405441</v>
      </c>
      <c r="D920" s="13">
        <f>IFERROR(__xludf.DUMMYFUNCTION("GOOGLEFINANCE(B920,""price"")"),176.54)</f>
        <v>176.54</v>
      </c>
      <c r="E920" s="14">
        <f>IFERROR(__xludf.DUMMYFUNCTION("GOOGLEFINANCE(B920,""Volume"")"),909446.0)</f>
        <v>909446</v>
      </c>
      <c r="F920" s="14">
        <f t="array" ref="F920">F919</f>
        <v>14</v>
      </c>
      <c r="G920" s="15" t="str">
        <f>IFERROR(__xludf.DUMMYFUNCTION("IF(E920&gt;AVERAGE(INDEX(GOOGLEFINANCE(B920,""volume"",WORKDAY(TODAY(),-$F$1),TODAY()),,2)),""Breakout"","""")"),"")</f>
        <v/>
      </c>
      <c r="H920" s="16">
        <f>IFERROR(__xludf.DUMMYFUNCTION("GOOGLEFINANCE(B920,""price"")"),176.54)</f>
        <v>176.54</v>
      </c>
      <c r="I920" s="17">
        <f>IFERROR(__xludf.DUMMYFUNCTION("AVERAGE(QUERY(SORT(GOOGLEFINANCE(B920,""price"",TODAY()-365,TODAY()),1,0),""select Col2 limit 10""))"),174.09300000000002)</f>
        <v>174.093</v>
      </c>
      <c r="J920" s="17">
        <f>IFERROR(__xludf.DUMMYFUNCTION("AVERAGE(QUERY(SORT(GOOGLEFINANCE(B920,""price"",TODAY()-365,TODAY()),1,0),""select Col2 limit 30""))"),164.82533333333336)</f>
        <v>164.8253333</v>
      </c>
      <c r="K920" s="18">
        <f>IFERROR(__xludf.DUMMYFUNCTION("AVERAGE(QUERY(SORT(GOOGLEFINANCE(B920,""price"",TODAY()-365,TODAY()),1,0),""select Col2 limit 60""))"),167.7055)</f>
        <v>167.7055</v>
      </c>
      <c r="L920" s="17">
        <f>IFERROR(__xludf.DUMMYFUNCTION("AVERAGE(QUERY(SORT(GOOGLEFINANCE(B920,""price"",TODAY()-365,TODAY()),1,0),""select Col2 limit 90""))"),166.9886666666667)</f>
        <v>166.9886667</v>
      </c>
      <c r="M920" s="17">
        <f>IFERROR(__xludf.DUMMYFUNCTION("AVERAGE(QUERY(SORT(GOOGLEFINANCE(B920,""price"",TODAY()-365,TODAY()),1,0),""select Col2 limit 120""))"),162.5032500000001)</f>
        <v>162.50325</v>
      </c>
      <c r="N920" s="19">
        <f>IFERROR(__xludf.DUMMYFUNCTION("AVERAGE(QUERY(SORT(GOOGLEFINANCE(B920,""price"",TODAY()-365,TODAY()),1,0),""select Col2 limit 200""))"),163.5434000000001)</f>
        <v>163.5434</v>
      </c>
      <c r="O920" s="20" t="str">
        <f t="shared" si="2"/>
        <v>Avoid</v>
      </c>
      <c r="P920" s="21" t="str">
        <f t="shared" si="3"/>
        <v/>
      </c>
      <c r="Q920" s="21" t="str">
        <f t="shared" si="4"/>
        <v/>
      </c>
      <c r="R920" s="22">
        <f>IFERROR(__xludf.DUMMYFUNCTION("GOOGLEFINANCE(B920, ""pe"")
"),8.9)</f>
        <v>8.9</v>
      </c>
    </row>
    <row r="921">
      <c r="A921" s="9" t="s">
        <v>931</v>
      </c>
      <c r="B921" s="11" t="str">
        <f t="shared" si="1"/>
        <v>NSE:QUICKHEAL</v>
      </c>
      <c r="C921" s="12">
        <f>IFERROR(__xludf.DUMMYFUNCTION("GOOGLEFINANCE(B921,""marketcap"")/10000000"),1709.8471991)</f>
        <v>1709.847199</v>
      </c>
      <c r="D921" s="13">
        <f>IFERROR(__xludf.DUMMYFUNCTION("GOOGLEFINANCE(B921,""price"")"),316.6)</f>
        <v>316.6</v>
      </c>
      <c r="E921" s="14">
        <f>IFERROR(__xludf.DUMMYFUNCTION("GOOGLEFINANCE(B921,""Volume"")"),97269.0)</f>
        <v>97269</v>
      </c>
      <c r="F921" s="14">
        <f t="array" ref="F921">F920</f>
        <v>14</v>
      </c>
      <c r="G921" s="15" t="str">
        <f>IFERROR(__xludf.DUMMYFUNCTION("IF(E921&gt;AVERAGE(INDEX(GOOGLEFINANCE(B921,""volume"",WORKDAY(TODAY(),-$F$1),TODAY()),,2)),""Breakout"","""")"),"")</f>
        <v/>
      </c>
      <c r="H921" s="16">
        <f>IFERROR(__xludf.DUMMYFUNCTION("GOOGLEFINANCE(B921,""price"")"),316.6)</f>
        <v>316.6</v>
      </c>
      <c r="I921" s="17">
        <f>IFERROR(__xludf.DUMMYFUNCTION("AVERAGE(QUERY(SORT(GOOGLEFINANCE(B921,""price"",TODAY()-365,TODAY()),1,0),""select Col2 limit 10""))"),360.525)</f>
        <v>360.525</v>
      </c>
      <c r="J921" s="17">
        <f>IFERROR(__xludf.DUMMYFUNCTION("AVERAGE(QUERY(SORT(GOOGLEFINANCE(B921,""price"",TODAY()-365,TODAY()),1,0),""select Col2 limit 30""))"),369.0650000000001)</f>
        <v>369.065</v>
      </c>
      <c r="K921" s="18">
        <f>IFERROR(__xludf.DUMMYFUNCTION("AVERAGE(QUERY(SORT(GOOGLEFINANCE(B921,""price"",TODAY()-365,TODAY()),1,0),""select Col2 limit 60""))"),336.8525000000001)</f>
        <v>336.8525</v>
      </c>
      <c r="L921" s="17">
        <f>IFERROR(__xludf.DUMMYFUNCTION("AVERAGE(QUERY(SORT(GOOGLEFINANCE(B921,""price"",TODAY()-365,TODAY()),1,0),""select Col2 limit 90""))"),321.01222222222225)</f>
        <v>321.0122222</v>
      </c>
      <c r="M921" s="17">
        <f>IFERROR(__xludf.DUMMYFUNCTION("AVERAGE(QUERY(SORT(GOOGLEFINANCE(B921,""price"",TODAY()-365,TODAY()),1,0),""select Col2 limit 120""))"),332.41375000000005)</f>
        <v>332.41375</v>
      </c>
      <c r="N921" s="19">
        <f>IFERROR(__xludf.DUMMYFUNCTION("AVERAGE(QUERY(SORT(GOOGLEFINANCE(B921,""price"",TODAY()-365,TODAY()),1,0),""select Col2 limit 200""))"),448.9445000000001)</f>
        <v>448.9445</v>
      </c>
      <c r="O921" s="20" t="str">
        <f t="shared" si="2"/>
        <v>Avoid</v>
      </c>
      <c r="P921" s="21" t="str">
        <f t="shared" si="3"/>
        <v/>
      </c>
      <c r="Q921" s="21" t="str">
        <f t="shared" si="4"/>
        <v/>
      </c>
      <c r="R921" s="22">
        <f>IFERROR(__xludf.DUMMYFUNCTION("GOOGLEFINANCE(B921, ""pe"")
"),347.91)</f>
        <v>347.91</v>
      </c>
    </row>
    <row r="922">
      <c r="A922" s="9" t="s">
        <v>932</v>
      </c>
      <c r="B922" s="11" t="str">
        <f t="shared" si="1"/>
        <v>NSE:INNOVACAP</v>
      </c>
      <c r="C922" s="12">
        <f>IFERROR(__xludf.DUMMYFUNCTION("GOOGLEFINANCE(B922,""marketcap"")/10000000"),5210.6159312)</f>
        <v>5210.615931</v>
      </c>
      <c r="D922" s="13">
        <f>IFERROR(__xludf.DUMMYFUNCTION("GOOGLEFINANCE(B922,""price"")"),912.9)</f>
        <v>912.9</v>
      </c>
      <c r="E922" s="14">
        <f>IFERROR(__xludf.DUMMYFUNCTION("GOOGLEFINANCE(B922,""Volume"")"),45118.0)</f>
        <v>45118</v>
      </c>
      <c r="F922" s="14">
        <f t="array" ref="F922">F921</f>
        <v>14</v>
      </c>
      <c r="G922" s="15" t="str">
        <f>IFERROR(__xludf.DUMMYFUNCTION("IF(E922&gt;AVERAGE(INDEX(GOOGLEFINANCE(B922,""volume"",WORKDAY(TODAY(),-$F$1),TODAY()),,2)),""Breakout"","""")"),"Breakout")</f>
        <v>Breakout</v>
      </c>
      <c r="H922" s="16">
        <f>IFERROR(__xludf.DUMMYFUNCTION("GOOGLEFINANCE(B922,""price"")"),912.9)</f>
        <v>912.9</v>
      </c>
      <c r="I922" s="17">
        <f>IFERROR(__xludf.DUMMYFUNCTION("AVERAGE(QUERY(SORT(GOOGLEFINANCE(B922,""price"",TODAY()-365,TODAY()),1,0),""select Col2 limit 10""))"),893.695)</f>
        <v>893.695</v>
      </c>
      <c r="J922" s="17">
        <f>IFERROR(__xludf.DUMMYFUNCTION("AVERAGE(QUERY(SORT(GOOGLEFINANCE(B922,""price"",TODAY()-365,TODAY()),1,0),""select Col2 limit 30""))"),880.5166666666668)</f>
        <v>880.5166667</v>
      </c>
      <c r="K922" s="18">
        <f>IFERROR(__xludf.DUMMYFUNCTION("AVERAGE(QUERY(SORT(GOOGLEFINANCE(B922,""price"",TODAY()-365,TODAY()),1,0),""select Col2 limit 60""))"),887.9550000000002)</f>
        <v>887.955</v>
      </c>
      <c r="L922" s="17">
        <f>IFERROR(__xludf.DUMMYFUNCTION("AVERAGE(QUERY(SORT(GOOGLEFINANCE(B922,""price"",TODAY()-365,TODAY()),1,0),""select Col2 limit 90""))"),867.1100000000001)</f>
        <v>867.11</v>
      </c>
      <c r="M922" s="17">
        <f>IFERROR(__xludf.DUMMYFUNCTION("AVERAGE(QUERY(SORT(GOOGLEFINANCE(B922,""price"",TODAY()-365,TODAY()),1,0),""select Col2 limit 120""))"),882.9141666666668)</f>
        <v>882.9141667</v>
      </c>
      <c r="N922" s="19">
        <f>IFERROR(__xludf.DUMMYFUNCTION("AVERAGE(QUERY(SORT(GOOGLEFINANCE(B922,""price"",TODAY()-365,TODAY()),1,0),""select Col2 limit 200""))"),897.3322499999998)</f>
        <v>897.33225</v>
      </c>
      <c r="O922" s="20" t="str">
        <f t="shared" si="2"/>
        <v>Avoid</v>
      </c>
      <c r="P922" s="21" t="str">
        <f t="shared" si="3"/>
        <v/>
      </c>
      <c r="Q922" s="21" t="str">
        <f t="shared" si="4"/>
        <v/>
      </c>
      <c r="R922" s="22">
        <f>IFERROR(__xludf.DUMMYFUNCTION("GOOGLEFINANCE(B922, ""pe"")
"),40.65)</f>
        <v>40.65</v>
      </c>
    </row>
    <row r="923">
      <c r="A923" s="9" t="s">
        <v>933</v>
      </c>
      <c r="B923" s="11" t="str">
        <f t="shared" si="1"/>
        <v>NSE:HINDOILEXP</v>
      </c>
      <c r="C923" s="12">
        <f>IFERROR(__xludf.DUMMYFUNCTION("GOOGLEFINANCE(B923,""marketcap"")/10000000"),2211.1062636)</f>
        <v>2211.106264</v>
      </c>
      <c r="D923" s="13">
        <f>IFERROR(__xludf.DUMMYFUNCTION("GOOGLEFINANCE(B923,""price"")"),167.11)</f>
        <v>167.11</v>
      </c>
      <c r="E923" s="14">
        <f>IFERROR(__xludf.DUMMYFUNCTION("GOOGLEFINANCE(B923,""Volume"")"),357935.0)</f>
        <v>357935</v>
      </c>
      <c r="F923" s="14">
        <f t="array" ref="F923">F922</f>
        <v>14</v>
      </c>
      <c r="G923" s="15" t="str">
        <f>IFERROR(__xludf.DUMMYFUNCTION("IF(E923&gt;AVERAGE(INDEX(GOOGLEFINANCE(B923,""volume"",WORKDAY(TODAY(),-$F$1),TODAY()),,2)),""Breakout"","""")"),"")</f>
        <v/>
      </c>
      <c r="H923" s="16">
        <f>IFERROR(__xludf.DUMMYFUNCTION("GOOGLEFINANCE(B923,""price"")"),167.11)</f>
        <v>167.11</v>
      </c>
      <c r="I923" s="17">
        <f>IFERROR(__xludf.DUMMYFUNCTION("AVERAGE(QUERY(SORT(GOOGLEFINANCE(B923,""price"",TODAY()-365,TODAY()),1,0),""select Col2 limit 10""))"),168.826)</f>
        <v>168.826</v>
      </c>
      <c r="J923" s="17">
        <f>IFERROR(__xludf.DUMMYFUNCTION("AVERAGE(QUERY(SORT(GOOGLEFINANCE(B923,""price"",TODAY()-365,TODAY()),1,0),""select Col2 limit 30""))"),169.65733333333338)</f>
        <v>169.6573333</v>
      </c>
      <c r="K923" s="18">
        <f>IFERROR(__xludf.DUMMYFUNCTION("AVERAGE(QUERY(SORT(GOOGLEFINANCE(B923,""price"",TODAY()-365,TODAY()),1,0),""select Col2 limit 60""))"),173.9561666666667)</f>
        <v>173.9561667</v>
      </c>
      <c r="L923" s="17">
        <f>IFERROR(__xludf.DUMMYFUNCTION("AVERAGE(QUERY(SORT(GOOGLEFINANCE(B923,""price"",TODAY()-365,TODAY()),1,0),""select Col2 limit 90""))"),174.7905555555555)</f>
        <v>174.7905556</v>
      </c>
      <c r="M923" s="17">
        <f>IFERROR(__xludf.DUMMYFUNCTION("AVERAGE(QUERY(SORT(GOOGLEFINANCE(B923,""price"",TODAY()-365,TODAY()),1,0),""select Col2 limit 120""))"),179.35025)</f>
        <v>179.35025</v>
      </c>
      <c r="N923" s="19">
        <f>IFERROR(__xludf.DUMMYFUNCTION("AVERAGE(QUERY(SORT(GOOGLEFINANCE(B923,""price"",TODAY()-365,TODAY()),1,0),""select Col2 limit 200""))"),186.97045000000008)</f>
        <v>186.97045</v>
      </c>
      <c r="O923" s="20" t="str">
        <f t="shared" si="2"/>
        <v>Avoid</v>
      </c>
      <c r="P923" s="21" t="str">
        <f t="shared" si="3"/>
        <v/>
      </c>
      <c r="Q923" s="21" t="str">
        <f t="shared" si="4"/>
        <v/>
      </c>
      <c r="R923" s="22">
        <f>IFERROR(__xludf.DUMMYFUNCTION("GOOGLEFINANCE(B923, ""pe"")
"),15.0)</f>
        <v>15</v>
      </c>
    </row>
    <row r="924">
      <c r="A924" s="9" t="s">
        <v>934</v>
      </c>
      <c r="B924" s="11" t="str">
        <f t="shared" si="1"/>
        <v>NSE:ASHAPURMIN</v>
      </c>
      <c r="C924" s="12">
        <f>IFERROR(__xludf.DUMMYFUNCTION("GOOGLEFINANCE(B924,""marketcap"")/10000000"),5131.1841575)</f>
        <v>5131.184158</v>
      </c>
      <c r="D924" s="13">
        <f>IFERROR(__xludf.DUMMYFUNCTION("GOOGLEFINANCE(B924,""price"")"),537.1)</f>
        <v>537.1</v>
      </c>
      <c r="E924" s="14">
        <f>IFERROR(__xludf.DUMMYFUNCTION("GOOGLEFINANCE(B924,""Volume"")"),174099.0)</f>
        <v>174099</v>
      </c>
      <c r="F924" s="14">
        <f t="array" ref="F924">F923</f>
        <v>14</v>
      </c>
      <c r="G924" s="15" t="str">
        <f>IFERROR(__xludf.DUMMYFUNCTION("IF(E924&gt;AVERAGE(INDEX(GOOGLEFINANCE(B924,""volume"",WORKDAY(TODAY(),-$F$1),TODAY()),,2)),""Breakout"","""")"),"")</f>
        <v/>
      </c>
      <c r="H924" s="16">
        <f>IFERROR(__xludf.DUMMYFUNCTION("GOOGLEFINANCE(B924,""price"")"),537.1)</f>
        <v>537.1</v>
      </c>
      <c r="I924" s="17">
        <f>IFERROR(__xludf.DUMMYFUNCTION("AVERAGE(QUERY(SORT(GOOGLEFINANCE(B924,""price"",TODAY()-365,TODAY()),1,0),""select Col2 limit 10""))"),544.7099999999999)</f>
        <v>544.71</v>
      </c>
      <c r="J924" s="17">
        <f>IFERROR(__xludf.DUMMYFUNCTION("AVERAGE(QUERY(SORT(GOOGLEFINANCE(B924,""price"",TODAY()-365,TODAY()),1,0),""select Col2 limit 30""))"),466.50833333333327)</f>
        <v>466.5083333</v>
      </c>
      <c r="K924" s="18">
        <f>IFERROR(__xludf.DUMMYFUNCTION("AVERAGE(QUERY(SORT(GOOGLEFINANCE(B924,""price"",TODAY()-365,TODAY()),1,0),""select Col2 limit 60""))"),424.67083333333323)</f>
        <v>424.6708333</v>
      </c>
      <c r="L924" s="17">
        <f>IFERROR(__xludf.DUMMYFUNCTION("AVERAGE(QUERY(SORT(GOOGLEFINANCE(B924,""price"",TODAY()-365,TODAY()),1,0),""select Col2 limit 90""))"),403.1388888888888)</f>
        <v>403.1388889</v>
      </c>
      <c r="M924" s="17">
        <f>IFERROR(__xludf.DUMMYFUNCTION("AVERAGE(QUERY(SORT(GOOGLEFINANCE(B924,""price"",TODAY()-365,TODAY()),1,0),""select Col2 limit 120""))"),404.2070833333333)</f>
        <v>404.2070833</v>
      </c>
      <c r="N924" s="19">
        <f>IFERROR(__xludf.DUMMYFUNCTION("AVERAGE(QUERY(SORT(GOOGLEFINANCE(B924,""price"",TODAY()-365,TODAY()),1,0),""select Col2 limit 200""))"),387.2570999999999)</f>
        <v>387.2571</v>
      </c>
      <c r="O924" s="20" t="str">
        <f t="shared" si="2"/>
        <v>Avoid</v>
      </c>
      <c r="P924" s="21" t="str">
        <f t="shared" si="3"/>
        <v/>
      </c>
      <c r="Q924" s="21" t="str">
        <f t="shared" si="4"/>
        <v/>
      </c>
      <c r="R924" s="22">
        <f>IFERROR(__xludf.DUMMYFUNCTION("GOOGLEFINANCE(B924, ""pe"")
"),17.07)</f>
        <v>17.07</v>
      </c>
    </row>
    <row r="925">
      <c r="A925" s="9" t="s">
        <v>935</v>
      </c>
      <c r="B925" s="11" t="str">
        <f t="shared" si="1"/>
        <v>NSE:INDOSTAR</v>
      </c>
      <c r="C925" s="12">
        <f>IFERROR(__xludf.DUMMYFUNCTION("GOOGLEFINANCE(B925,""marketcap"")/10000000"),3973.0842768)</f>
        <v>3973.084277</v>
      </c>
      <c r="D925" s="13">
        <f>IFERROR(__xludf.DUMMYFUNCTION("GOOGLEFINANCE(B925,""price"")"),290.3)</f>
        <v>290.3</v>
      </c>
      <c r="E925" s="14">
        <f>IFERROR(__xludf.DUMMYFUNCTION("GOOGLEFINANCE(B925,""Volume"")"),66889.0)</f>
        <v>66889</v>
      </c>
      <c r="F925" s="14">
        <f t="array" ref="F925">F924</f>
        <v>14</v>
      </c>
      <c r="G925" s="15" t="str">
        <f>IFERROR(__xludf.DUMMYFUNCTION("IF(E925&gt;AVERAGE(INDEX(GOOGLEFINANCE(B925,""volume"",WORKDAY(TODAY(),-$F$1),TODAY()),,2)),""Breakout"","""")"),"")</f>
        <v/>
      </c>
      <c r="H925" s="16">
        <f>IFERROR(__xludf.DUMMYFUNCTION("GOOGLEFINANCE(B925,""price"")"),290.3)</f>
        <v>290.3</v>
      </c>
      <c r="I925" s="17">
        <f>IFERROR(__xludf.DUMMYFUNCTION("AVERAGE(QUERY(SORT(GOOGLEFINANCE(B925,""price"",TODAY()-365,TODAY()),1,0),""select Col2 limit 10""))"),309.12)</f>
        <v>309.12</v>
      </c>
      <c r="J925" s="17">
        <f>IFERROR(__xludf.DUMMYFUNCTION("AVERAGE(QUERY(SORT(GOOGLEFINANCE(B925,""price"",TODAY()-365,TODAY()),1,0),""select Col2 limit 30""))"),329.2316666666667)</f>
        <v>329.2316667</v>
      </c>
      <c r="K925" s="18">
        <f>IFERROR(__xludf.DUMMYFUNCTION("AVERAGE(QUERY(SORT(GOOGLEFINANCE(B925,""price"",TODAY()-365,TODAY()),1,0),""select Col2 limit 60""))"),325.34833333333324)</f>
        <v>325.3483333</v>
      </c>
      <c r="L925" s="17">
        <f>IFERROR(__xludf.DUMMYFUNCTION("AVERAGE(QUERY(SORT(GOOGLEFINANCE(B925,""price"",TODAY()-365,TODAY()),1,0),""select Col2 limit 90""))"),315.94733333333323)</f>
        <v>315.9473333</v>
      </c>
      <c r="M925" s="17">
        <f>IFERROR(__xludf.DUMMYFUNCTION("AVERAGE(QUERY(SORT(GOOGLEFINANCE(B925,""price"",TODAY()-365,TODAY()),1,0),""select Col2 limit 120""))"),298.18891666666667)</f>
        <v>298.1889167</v>
      </c>
      <c r="N925" s="19">
        <f>IFERROR(__xludf.DUMMYFUNCTION("AVERAGE(QUERY(SORT(GOOGLEFINANCE(B925,""price"",TODAY()-365,TODAY()),1,0),""select Col2 limit 200""))"),289.20134999999993)</f>
        <v>289.20135</v>
      </c>
      <c r="O925" s="20" t="str">
        <f t="shared" si="2"/>
        <v>Sell Below 200 DMA</v>
      </c>
      <c r="P925" s="21" t="str">
        <f t="shared" si="3"/>
        <v/>
      </c>
      <c r="Q925" s="21" t="str">
        <f t="shared" si="4"/>
        <v/>
      </c>
      <c r="R925" s="22">
        <f>IFERROR(__xludf.DUMMYFUNCTION("GOOGLEFINANCE(B925, ""pe"")
"),77.78)</f>
        <v>77.78</v>
      </c>
    </row>
    <row r="926">
      <c r="A926" s="9" t="s">
        <v>936</v>
      </c>
      <c r="B926" s="11" t="str">
        <f t="shared" si="1"/>
        <v>NSE:STYLAMIND</v>
      </c>
      <c r="C926" s="12">
        <f>IFERROR(__xludf.DUMMYFUNCTION("GOOGLEFINANCE(B926,""marketcap"")/10000000"),3169.28535)</f>
        <v>3169.28535</v>
      </c>
      <c r="D926" s="13">
        <f>IFERROR(__xludf.DUMMYFUNCTION("GOOGLEFINANCE(B926,""price"")"),1870.0)</f>
        <v>1870</v>
      </c>
      <c r="E926" s="14">
        <f>IFERROR(__xludf.DUMMYFUNCTION("GOOGLEFINANCE(B926,""Volume"")"),58232.0)</f>
        <v>58232</v>
      </c>
      <c r="F926" s="14">
        <f t="array" ref="F926">F925</f>
        <v>14</v>
      </c>
      <c r="G926" s="15" t="str">
        <f>IFERROR(__xludf.DUMMYFUNCTION("IF(E926&gt;AVERAGE(INDEX(GOOGLEFINANCE(B926,""volume"",WORKDAY(TODAY(),-$F$1),TODAY()),,2)),""Breakout"","""")"),"Breakout")</f>
        <v>Breakout</v>
      </c>
      <c r="H926" s="16">
        <f>IFERROR(__xludf.DUMMYFUNCTION("GOOGLEFINANCE(B926,""price"")"),1870.0)</f>
        <v>1870</v>
      </c>
      <c r="I926" s="17" t="str">
        <f>IFERROR(__xludf.DUMMYFUNCTION("AVERAGE(QUERY(SORT(GOOGLEFINANCE(B926,""price"",TODAY()-365,TODAY()),1,0),""select Col2 limit 10""))"),"#N/A")</f>
        <v>#N/A</v>
      </c>
      <c r="J926" s="17" t="str">
        <f>IFERROR(__xludf.DUMMYFUNCTION("AVERAGE(QUERY(SORT(GOOGLEFINANCE(B926,""price"",TODAY()-365,TODAY()),1,0),""select Col2 limit 30""))"),"#N/A")</f>
        <v>#N/A</v>
      </c>
      <c r="K926" s="18" t="str">
        <f>IFERROR(__xludf.DUMMYFUNCTION("AVERAGE(QUERY(SORT(GOOGLEFINANCE(B926,""price"",TODAY()-365,TODAY()),1,0),""select Col2 limit 60""))"),"#N/A")</f>
        <v>#N/A</v>
      </c>
      <c r="L926" s="17" t="str">
        <f>IFERROR(__xludf.DUMMYFUNCTION("AVERAGE(QUERY(SORT(GOOGLEFINANCE(B926,""price"",TODAY()-365,TODAY()),1,0),""select Col2 limit 90""))"),"#N/A")</f>
        <v>#N/A</v>
      </c>
      <c r="M926" s="17" t="str">
        <f>IFERROR(__xludf.DUMMYFUNCTION("AVERAGE(QUERY(SORT(GOOGLEFINANCE(B926,""price"",TODAY()-365,TODAY()),1,0),""select Col2 limit 120""))"),"#N/A")</f>
        <v>#N/A</v>
      </c>
      <c r="N926" s="19" t="str">
        <f>IFERROR(__xludf.DUMMYFUNCTION("AVERAGE(QUERY(SORT(GOOGLEFINANCE(B926,""price"",TODAY()-365,TODAY()),1,0),""select Col2 limit 200""))"),"#N/A")</f>
        <v>#N/A</v>
      </c>
      <c r="O926" s="20" t="str">
        <f t="shared" si="2"/>
        <v>#N/A</v>
      </c>
      <c r="P926" s="21" t="str">
        <f t="shared" si="3"/>
        <v>#N/A</v>
      </c>
      <c r="Q926" s="21" t="str">
        <f t="shared" si="4"/>
        <v>#N/A</v>
      </c>
      <c r="R926" s="22">
        <f>IFERROR(__xludf.DUMMYFUNCTION("GOOGLEFINANCE(B926, ""pe"")
"),26.17)</f>
        <v>26.17</v>
      </c>
    </row>
    <row r="927">
      <c r="A927" s="9" t="s">
        <v>937</v>
      </c>
      <c r="B927" s="11" t="str">
        <f t="shared" si="1"/>
        <v>NSE:ARVSMART</v>
      </c>
      <c r="C927" s="12">
        <f>IFERROR(__xludf.DUMMYFUNCTION("GOOGLEFINANCE(B927,""marketcap"")/10000000"),2852.9832707)</f>
        <v>2852.983271</v>
      </c>
      <c r="D927" s="13">
        <f>IFERROR(__xludf.DUMMYFUNCTION("GOOGLEFINANCE(B927,""price"")"),626.6)</f>
        <v>626.6</v>
      </c>
      <c r="E927" s="14">
        <f>IFERROR(__xludf.DUMMYFUNCTION("GOOGLEFINANCE(B927,""Volume"")"),52740.0)</f>
        <v>52740</v>
      </c>
      <c r="F927" s="14">
        <f t="array" ref="F927">F926</f>
        <v>14</v>
      </c>
      <c r="G927" s="15" t="str">
        <f>IFERROR(__xludf.DUMMYFUNCTION("IF(E927&gt;AVERAGE(INDEX(GOOGLEFINANCE(B927,""volume"",WORKDAY(TODAY(),-$F$1),TODAY()),,2)),""Breakout"","""")"),"")</f>
        <v/>
      </c>
      <c r="H927" s="16">
        <f>IFERROR(__xludf.DUMMYFUNCTION("GOOGLEFINANCE(B927,""price"")"),626.6)</f>
        <v>626.6</v>
      </c>
      <c r="I927" s="17">
        <f>IFERROR(__xludf.DUMMYFUNCTION("AVERAGE(QUERY(SORT(GOOGLEFINANCE(B927,""price"",TODAY()-365,TODAY()),1,0),""select Col2 limit 10""))"),650.5699999999999)</f>
        <v>650.57</v>
      </c>
      <c r="J927" s="17">
        <f>IFERROR(__xludf.DUMMYFUNCTION("AVERAGE(QUERY(SORT(GOOGLEFINANCE(B927,""price"",TODAY()-365,TODAY()),1,0),""select Col2 limit 30""))"),664.9949999999995)</f>
        <v>664.995</v>
      </c>
      <c r="K927" s="18">
        <f>IFERROR(__xludf.DUMMYFUNCTION("AVERAGE(QUERY(SORT(GOOGLEFINANCE(B927,""price"",TODAY()-365,TODAY()),1,0),""select Col2 limit 60""))"),674.6616666666664)</f>
        <v>674.6616667</v>
      </c>
      <c r="L927" s="17">
        <f>IFERROR(__xludf.DUMMYFUNCTION("AVERAGE(QUERY(SORT(GOOGLEFINANCE(B927,""price"",TODAY()-365,TODAY()),1,0),""select Col2 limit 90""))"),678.7855555555553)</f>
        <v>678.7855556</v>
      </c>
      <c r="M927" s="17">
        <f>IFERROR(__xludf.DUMMYFUNCTION("AVERAGE(QUERY(SORT(GOOGLEFINANCE(B927,""price"",TODAY()-365,TODAY()),1,0),""select Col2 limit 120""))"),686.8224999999998)</f>
        <v>686.8225</v>
      </c>
      <c r="N927" s="19">
        <f>IFERROR(__xludf.DUMMYFUNCTION("AVERAGE(QUERY(SORT(GOOGLEFINANCE(B927,""price"",TODAY()-365,TODAY()),1,0),""select Col2 limit 200""))"),762.5012499999998)</f>
        <v>762.50125</v>
      </c>
      <c r="O927" s="20" t="str">
        <f t="shared" si="2"/>
        <v>Avoid</v>
      </c>
      <c r="P927" s="21" t="str">
        <f t="shared" si="3"/>
        <v/>
      </c>
      <c r="Q927" s="21" t="str">
        <f t="shared" si="4"/>
        <v/>
      </c>
      <c r="R927" s="22">
        <f>IFERROR(__xludf.DUMMYFUNCTION("GOOGLEFINANCE(B927, ""pe"")
"),25.94)</f>
        <v>25.94</v>
      </c>
    </row>
    <row r="928">
      <c r="A928" s="9" t="s">
        <v>938</v>
      </c>
      <c r="B928" s="11" t="str">
        <f t="shared" si="1"/>
        <v>NSE:VINDHYATEL</v>
      </c>
      <c r="C928" s="12">
        <f>IFERROR(__xludf.DUMMYFUNCTION("GOOGLEFINANCE(B928,""marketcap"")/10000000"),1874.806052)</f>
        <v>1874.806052</v>
      </c>
      <c r="D928" s="13">
        <f>IFERROR(__xludf.DUMMYFUNCTION("GOOGLEFINANCE(B928,""price"")"),1578.6)</f>
        <v>1578.6</v>
      </c>
      <c r="E928" s="14">
        <f>IFERROR(__xludf.DUMMYFUNCTION("GOOGLEFINANCE(B928,""Volume"")"),4290.0)</f>
        <v>4290</v>
      </c>
      <c r="F928" s="14">
        <f t="array" ref="F928">F927</f>
        <v>14</v>
      </c>
      <c r="G928" s="15" t="str">
        <f>IFERROR(__xludf.DUMMYFUNCTION("IF(E928&gt;AVERAGE(INDEX(GOOGLEFINANCE(B928,""volume"",WORKDAY(TODAY(),-$F$1),TODAY()),,2)),""Breakout"","""")"),"")</f>
        <v/>
      </c>
      <c r="H928" s="16">
        <f>IFERROR(__xludf.DUMMYFUNCTION("GOOGLEFINANCE(B928,""price"")"),1578.6)</f>
        <v>1578.6</v>
      </c>
      <c r="I928" s="17">
        <f>IFERROR(__xludf.DUMMYFUNCTION("AVERAGE(QUERY(SORT(GOOGLEFINANCE(B928,""price"",TODAY()-365,TODAY()),1,0),""select Col2 limit 10""))"),1694.06)</f>
        <v>1694.06</v>
      </c>
      <c r="J928" s="17">
        <f>IFERROR(__xludf.DUMMYFUNCTION("AVERAGE(QUERY(SORT(GOOGLEFINANCE(B928,""price"",TODAY()-365,TODAY()),1,0),""select Col2 limit 30""))"),1705.143333333333)</f>
        <v>1705.143333</v>
      </c>
      <c r="K928" s="18">
        <f>IFERROR(__xludf.DUMMYFUNCTION("AVERAGE(QUERY(SORT(GOOGLEFINANCE(B928,""price"",TODAY()-365,TODAY()),1,0),""select Col2 limit 60""))"),1636.1516666666662)</f>
        <v>1636.151667</v>
      </c>
      <c r="L928" s="17">
        <f>IFERROR(__xludf.DUMMYFUNCTION("AVERAGE(QUERY(SORT(GOOGLEFINANCE(B928,""price"",TODAY()-365,TODAY()),1,0),""select Col2 limit 90""))"),1530.495555555555)</f>
        <v>1530.495556</v>
      </c>
      <c r="M928" s="17">
        <f>IFERROR(__xludf.DUMMYFUNCTION("AVERAGE(QUERY(SORT(GOOGLEFINANCE(B928,""price"",TODAY()-365,TODAY()),1,0),""select Col2 limit 120""))"),1521.261666666666)</f>
        <v>1521.261667</v>
      </c>
      <c r="N928" s="19">
        <f>IFERROR(__xludf.DUMMYFUNCTION("AVERAGE(QUERY(SORT(GOOGLEFINANCE(B928,""price"",TODAY()-365,TODAY()),1,0),""select Col2 limit 200""))"),1705.0409999999993)</f>
        <v>1705.041</v>
      </c>
      <c r="O928" s="20" t="str">
        <f t="shared" si="2"/>
        <v>Avoid</v>
      </c>
      <c r="P928" s="21" t="str">
        <f t="shared" si="3"/>
        <v/>
      </c>
      <c r="Q928" s="21" t="str">
        <f t="shared" si="4"/>
        <v/>
      </c>
      <c r="R928" s="22">
        <f>IFERROR(__xludf.DUMMYFUNCTION("GOOGLEFINANCE(B928, ""pe"")
"),9.24)</f>
        <v>9.24</v>
      </c>
    </row>
    <row r="929">
      <c r="A929" s="9" t="s">
        <v>939</v>
      </c>
      <c r="B929" s="11" t="str">
        <f t="shared" si="1"/>
        <v>NSE:WIPRO</v>
      </c>
      <c r="C929" s="12">
        <f>IFERROR(__xludf.DUMMYFUNCTION("GOOGLEFINANCE(B929,""marketcap"")/10000000"),262669.115)</f>
        <v>262669.115</v>
      </c>
      <c r="D929" s="13">
        <f>IFERROR(__xludf.DUMMYFUNCTION("GOOGLEFINANCE(B929,""price"")"),251.25)</f>
        <v>251.25</v>
      </c>
      <c r="E929" s="14">
        <f>IFERROR(__xludf.DUMMYFUNCTION("GOOGLEFINANCE(B929,""Volume"")"),4699223.0)</f>
        <v>4699223</v>
      </c>
      <c r="F929" s="14">
        <f t="array" ref="F929">F928</f>
        <v>14</v>
      </c>
      <c r="G929" s="15" t="str">
        <f>IFERROR(__xludf.DUMMYFUNCTION("IF(E929&gt;AVERAGE(INDEX(GOOGLEFINANCE(B929,""volume"",WORKDAY(TODAY(),-$F$1),TODAY()),,2)),""Breakout"","""")"),"")</f>
        <v/>
      </c>
      <c r="H929" s="16">
        <f>IFERROR(__xludf.DUMMYFUNCTION("GOOGLEFINANCE(B929,""price"")"),251.25)</f>
        <v>251.25</v>
      </c>
      <c r="I929" s="17">
        <f>IFERROR(__xludf.DUMMYFUNCTION("AVERAGE(QUERY(SORT(GOOGLEFINANCE(B929,""price"",TODAY()-365,TODAY()),1,0),""select Col2 limit 10""))"),260.45000000000005)</f>
        <v>260.45</v>
      </c>
      <c r="J929" s="17">
        <f>IFERROR(__xludf.DUMMYFUNCTION("AVERAGE(QUERY(SORT(GOOGLEFINANCE(B929,""price"",TODAY()-365,TODAY()),1,0),""select Col2 limit 30""))"),263.9460000000001)</f>
        <v>263.946</v>
      </c>
      <c r="K929" s="18">
        <f>IFERROR(__xludf.DUMMYFUNCTION("AVERAGE(QUERY(SORT(GOOGLEFINANCE(B929,""price"",TODAY()-365,TODAY()),1,0),""select Col2 limit 60""))"),256.9505000000001)</f>
        <v>256.9505</v>
      </c>
      <c r="L929" s="17">
        <f>IFERROR(__xludf.DUMMYFUNCTION("AVERAGE(QUERY(SORT(GOOGLEFINANCE(B929,""price"",TODAY()-365,TODAY()),1,0),""select Col2 limit 90""))"),255.20500000000013)</f>
        <v>255.205</v>
      </c>
      <c r="M929" s="17">
        <f>IFERROR(__xludf.DUMMYFUNCTION("AVERAGE(QUERY(SORT(GOOGLEFINANCE(B929,""price"",TODAY()-365,TODAY()),1,0),""select Col2 limit 120""))"),266.26250000000005)</f>
        <v>266.2625</v>
      </c>
      <c r="N929" s="19">
        <f>IFERROR(__xludf.DUMMYFUNCTION("AVERAGE(QUERY(SORT(GOOGLEFINANCE(B929,""price"",TODAY()-365,TODAY()),1,0),""select Col2 limit 200""))"),275.82370000000003)</f>
        <v>275.8237</v>
      </c>
      <c r="O929" s="20" t="str">
        <f t="shared" si="2"/>
        <v>Avoid</v>
      </c>
      <c r="P929" s="21" t="str">
        <f t="shared" si="3"/>
        <v/>
      </c>
      <c r="Q929" s="21" t="str">
        <f t="shared" si="4"/>
        <v/>
      </c>
      <c r="R929" s="22">
        <f>IFERROR(__xludf.DUMMYFUNCTION("GOOGLEFINANCE(B929, ""pe"")
"),19.59)</f>
        <v>19.59</v>
      </c>
    </row>
    <row r="930">
      <c r="A930" s="9" t="s">
        <v>940</v>
      </c>
      <c r="B930" s="11" t="str">
        <f t="shared" si="1"/>
        <v>NSE:POLYPLEX</v>
      </c>
      <c r="C930" s="12">
        <f>IFERROR(__xludf.DUMMYFUNCTION("GOOGLEFINANCE(B930,""marketcap"")/10000000"),3547.34798)</f>
        <v>3547.34798</v>
      </c>
      <c r="D930" s="13">
        <f>IFERROR(__xludf.DUMMYFUNCTION("GOOGLEFINANCE(B930,""price"")"),1130.0)</f>
        <v>1130</v>
      </c>
      <c r="E930" s="14">
        <f>IFERROR(__xludf.DUMMYFUNCTION("GOOGLEFINANCE(B930,""Volume"")"),23949.0)</f>
        <v>23949</v>
      </c>
      <c r="F930" s="14">
        <f t="array" ref="F930">F929</f>
        <v>14</v>
      </c>
      <c r="G930" s="15" t="str">
        <f>IFERROR(__xludf.DUMMYFUNCTION("IF(E930&gt;AVERAGE(INDEX(GOOGLEFINANCE(B930,""volume"",WORKDAY(TODAY(),-$F$1),TODAY()),,2)),""Breakout"","""")"),"")</f>
        <v/>
      </c>
      <c r="H930" s="16">
        <f>IFERROR(__xludf.DUMMYFUNCTION("GOOGLEFINANCE(B930,""price"")"),1130.0)</f>
        <v>1130</v>
      </c>
      <c r="I930" s="17">
        <f>IFERROR(__xludf.DUMMYFUNCTION("AVERAGE(QUERY(SORT(GOOGLEFINANCE(B930,""price"",TODAY()-365,TODAY()),1,0),""select Col2 limit 10""))"),1134.49)</f>
        <v>1134.49</v>
      </c>
      <c r="J930" s="17">
        <f>IFERROR(__xludf.DUMMYFUNCTION("AVERAGE(QUERY(SORT(GOOGLEFINANCE(B930,""price"",TODAY()-365,TODAY()),1,0),""select Col2 limit 30""))"),1184.1366666666663)</f>
        <v>1184.136667</v>
      </c>
      <c r="K930" s="18">
        <f>IFERROR(__xludf.DUMMYFUNCTION("AVERAGE(QUERY(SORT(GOOGLEFINANCE(B930,""price"",TODAY()-365,TODAY()),1,0),""select Col2 limit 60""))"),1238.5683333333332)</f>
        <v>1238.568333</v>
      </c>
      <c r="L930" s="17">
        <f>IFERROR(__xludf.DUMMYFUNCTION("AVERAGE(QUERY(SORT(GOOGLEFINANCE(B930,""price"",TODAY()-365,TODAY()),1,0),""select Col2 limit 90""))"),1230.1249999999998)</f>
        <v>1230.125</v>
      </c>
      <c r="M930" s="17">
        <f>IFERROR(__xludf.DUMMYFUNCTION("AVERAGE(QUERY(SORT(GOOGLEFINANCE(B930,""price"",TODAY()-365,TODAY()),1,0),""select Col2 limit 120""))"),1209.1029166666667)</f>
        <v>1209.102917</v>
      </c>
      <c r="N930" s="19">
        <f>IFERROR(__xludf.DUMMYFUNCTION("AVERAGE(QUERY(SORT(GOOGLEFINANCE(B930,""price"",TODAY()-365,TODAY()),1,0),""select Col2 limit 200""))"),1222.0229999999997)</f>
        <v>1222.023</v>
      </c>
      <c r="O930" s="20" t="str">
        <f t="shared" si="2"/>
        <v>Avoid</v>
      </c>
      <c r="P930" s="21" t="str">
        <f t="shared" si="3"/>
        <v>10 DMA</v>
      </c>
      <c r="Q930" s="21" t="str">
        <f t="shared" si="4"/>
        <v>10 DMA cross best</v>
      </c>
      <c r="R930" s="22">
        <f>IFERROR(__xludf.DUMMYFUNCTION("GOOGLEFINANCE(B930, ""pe"")
"),16.96)</f>
        <v>16.96</v>
      </c>
    </row>
    <row r="931">
      <c r="A931" s="9" t="s">
        <v>941</v>
      </c>
      <c r="B931" s="11" t="str">
        <f t="shared" si="1"/>
        <v>NSE:DHANI</v>
      </c>
      <c r="C931" s="12">
        <f>IFERROR(__xludf.DUMMYFUNCTION("GOOGLEFINANCE(B931,""marketcap"")/10000000"),3496.8800031)</f>
        <v>3496.880003</v>
      </c>
      <c r="D931" s="13">
        <f>IFERROR(__xludf.DUMMYFUNCTION("GOOGLEFINANCE(B931,""price"")"),60.77)</f>
        <v>60.77</v>
      </c>
      <c r="E931" s="14">
        <f>IFERROR(__xludf.DUMMYFUNCTION("GOOGLEFINANCE(B931,""Volume"")"),974680.0)</f>
        <v>974680</v>
      </c>
      <c r="F931" s="14">
        <f t="array" ref="F931">F930</f>
        <v>14</v>
      </c>
      <c r="G931" s="15" t="str">
        <f>IFERROR(__xludf.DUMMYFUNCTION("IF(E931&gt;AVERAGE(INDEX(GOOGLEFINANCE(B931,""volume"",WORKDAY(TODAY(),-$F$1),TODAY()),,2)),""Breakout"","""")"),"")</f>
        <v/>
      </c>
      <c r="H931" s="16">
        <f>IFERROR(__xludf.DUMMYFUNCTION("GOOGLEFINANCE(B931,""price"")"),60.77)</f>
        <v>60.77</v>
      </c>
      <c r="I931" s="17">
        <f>IFERROR(__xludf.DUMMYFUNCTION("AVERAGE(QUERY(SORT(GOOGLEFINANCE(B931,""price"",TODAY()-365,TODAY()),1,0),""select Col2 limit 10""))"),64.53200000000001)</f>
        <v>64.532</v>
      </c>
      <c r="J931" s="17">
        <f>IFERROR(__xludf.DUMMYFUNCTION("AVERAGE(QUERY(SORT(GOOGLEFINANCE(B931,""price"",TODAY()-365,TODAY()),1,0),""select Col2 limit 30""))"),66.68666666666667)</f>
        <v>66.68666667</v>
      </c>
      <c r="K931" s="18">
        <f>IFERROR(__xludf.DUMMYFUNCTION("AVERAGE(QUERY(SORT(GOOGLEFINANCE(B931,""price"",TODAY()-365,TODAY()),1,0),""select Col2 limit 60""))"),63.36583333333333)</f>
        <v>63.36583333</v>
      </c>
      <c r="L931" s="17">
        <f>IFERROR(__xludf.DUMMYFUNCTION("AVERAGE(QUERY(SORT(GOOGLEFINANCE(B931,""price"",TODAY()-365,TODAY()),1,0),""select Col2 limit 90""))"),62.00466666666666)</f>
        <v>62.00466667</v>
      </c>
      <c r="M931" s="17">
        <f>IFERROR(__xludf.DUMMYFUNCTION("AVERAGE(QUERY(SORT(GOOGLEFINANCE(B931,""price"",TODAY()-365,TODAY()),1,0),""select Col2 limit 120""))"),63.26799999999999)</f>
        <v>63.268</v>
      </c>
      <c r="N931" s="19">
        <f>IFERROR(__xludf.DUMMYFUNCTION("AVERAGE(QUERY(SORT(GOOGLEFINANCE(B931,""price"",TODAY()-365,TODAY()),1,0),""select Col2 limit 200""))"),69.18850000000002)</f>
        <v>69.1885</v>
      </c>
      <c r="O931" s="20" t="str">
        <f t="shared" si="2"/>
        <v>Avoid</v>
      </c>
      <c r="P931" s="21" t="str">
        <f t="shared" si="3"/>
        <v/>
      </c>
      <c r="Q931" s="21" t="str">
        <f t="shared" si="4"/>
        <v/>
      </c>
      <c r="R931" s="22" t="str">
        <f>IFERROR(__xludf.DUMMYFUNCTION("GOOGLEFINANCE(B931, ""pe"")
"),"#N/A")</f>
        <v>#N/A</v>
      </c>
    </row>
    <row r="932">
      <c r="A932" s="9" t="s">
        <v>942</v>
      </c>
      <c r="B932" s="11" t="str">
        <f t="shared" si="1"/>
        <v>NSE:SOMANYCERA</v>
      </c>
      <c r="C932" s="12">
        <f>IFERROR(__xludf.DUMMYFUNCTION("GOOGLEFINANCE(B932,""marketcap"")/10000000"),2178.0192247)</f>
        <v>2178.019225</v>
      </c>
      <c r="D932" s="13">
        <f>IFERROR(__xludf.DUMMYFUNCTION("GOOGLEFINANCE(B932,""price"")"),527.05)</f>
        <v>527.05</v>
      </c>
      <c r="E932" s="14">
        <f>IFERROR(__xludf.DUMMYFUNCTION("GOOGLEFINANCE(B932,""Volume"")"),5774.0)</f>
        <v>5774</v>
      </c>
      <c r="F932" s="14">
        <f t="array" ref="F932">F931</f>
        <v>14</v>
      </c>
      <c r="G932" s="15" t="str">
        <f>IFERROR(__xludf.DUMMYFUNCTION("IF(E932&gt;AVERAGE(INDEX(GOOGLEFINANCE(B932,""volume"",WORKDAY(TODAY(),-$F$1),TODAY()),,2)),""Breakout"","""")"),"")</f>
        <v/>
      </c>
      <c r="H932" s="16">
        <f>IFERROR(__xludf.DUMMYFUNCTION("GOOGLEFINANCE(B932,""price"")"),527.05)</f>
        <v>527.05</v>
      </c>
      <c r="I932" s="17">
        <f>IFERROR(__xludf.DUMMYFUNCTION("AVERAGE(QUERY(SORT(GOOGLEFINANCE(B932,""price"",TODAY()-365,TODAY()),1,0),""select Col2 limit 10""))"),557.655)</f>
        <v>557.655</v>
      </c>
      <c r="J932" s="17">
        <f>IFERROR(__xludf.DUMMYFUNCTION("AVERAGE(QUERY(SORT(GOOGLEFINANCE(B932,""price"",TODAY()-365,TODAY()),1,0),""select Col2 limit 30""))"),564.7616666666667)</f>
        <v>564.7616667</v>
      </c>
      <c r="K932" s="18">
        <f>IFERROR(__xludf.DUMMYFUNCTION("AVERAGE(QUERY(SORT(GOOGLEFINANCE(B932,""price"",TODAY()-365,TODAY()),1,0),""select Col2 limit 60""))"),522.0291666666666)</f>
        <v>522.0291667</v>
      </c>
      <c r="L932" s="17">
        <f>IFERROR(__xludf.DUMMYFUNCTION("AVERAGE(QUERY(SORT(GOOGLEFINANCE(B932,""price"",TODAY()-365,TODAY()),1,0),""select Col2 limit 90""))"),490.59277777777766)</f>
        <v>490.5927778</v>
      </c>
      <c r="M932" s="17">
        <f>IFERROR(__xludf.DUMMYFUNCTION("AVERAGE(QUERY(SORT(GOOGLEFINANCE(B932,""price"",TODAY()-365,TODAY()),1,0),""select Col2 limit 120""))"),483.9741666666665)</f>
        <v>483.9741667</v>
      </c>
      <c r="N932" s="19">
        <f>IFERROR(__xludf.DUMMYFUNCTION("AVERAGE(QUERY(SORT(GOOGLEFINANCE(B932,""price"",TODAY()-365,TODAY()),1,0),""select Col2 limit 200""))"),552.8207500000001)</f>
        <v>552.82075</v>
      </c>
      <c r="O932" s="20" t="str">
        <f t="shared" si="2"/>
        <v>Avoid</v>
      </c>
      <c r="P932" s="21" t="str">
        <f t="shared" si="3"/>
        <v/>
      </c>
      <c r="Q932" s="21" t="str">
        <f t="shared" si="4"/>
        <v/>
      </c>
      <c r="R932" s="22">
        <f>IFERROR(__xludf.DUMMYFUNCTION("GOOGLEFINANCE(B932, ""pe"")
"),35.98)</f>
        <v>35.98</v>
      </c>
    </row>
    <row r="933">
      <c r="A933" s="9" t="s">
        <v>943</v>
      </c>
      <c r="B933" s="11" t="str">
        <f t="shared" si="1"/>
        <v>NSE:VERTOZ</v>
      </c>
      <c r="C933" s="12">
        <f>IFERROR(__xludf.DUMMYFUNCTION("GOOGLEFINANCE(B933,""marketcap"")/10000000"),767.07)</f>
        <v>767.07</v>
      </c>
      <c r="D933" s="13">
        <f>IFERROR(__xludf.DUMMYFUNCTION("GOOGLEFINANCE(B933,""price"")"),90.08)</f>
        <v>90.08</v>
      </c>
      <c r="E933" s="14">
        <f>IFERROR(__xludf.DUMMYFUNCTION("GOOGLEFINANCE(B933,""Volume"")"),69169.0)</f>
        <v>69169</v>
      </c>
      <c r="F933" s="14">
        <f t="array" ref="F933">F932</f>
        <v>14</v>
      </c>
      <c r="G933" s="15" t="str">
        <f>IFERROR(__xludf.DUMMYFUNCTION("IF(E933&gt;AVERAGE(INDEX(GOOGLEFINANCE(B933,""volume"",WORKDAY(TODAY(),-$F$1),TODAY()),,2)),""Breakout"","""")"),"")</f>
        <v/>
      </c>
      <c r="H933" s="16">
        <f>IFERROR(__xludf.DUMMYFUNCTION("GOOGLEFINANCE(B933,""price"")"),90.08)</f>
        <v>90.08</v>
      </c>
      <c r="I933" s="17">
        <f>IFERROR(__xludf.DUMMYFUNCTION("AVERAGE(QUERY(SORT(GOOGLEFINANCE(B933,""price"",TODAY()-365,TODAY()),1,0),""select Col2 limit 10""))"),91.25200000000001)</f>
        <v>91.252</v>
      </c>
      <c r="J933" s="17">
        <f>IFERROR(__xludf.DUMMYFUNCTION("AVERAGE(QUERY(SORT(GOOGLEFINANCE(B933,""price"",TODAY()-365,TODAY()),1,0),""select Col2 limit 30""))"),97.25766666666667)</f>
        <v>97.25766667</v>
      </c>
      <c r="K933" s="18">
        <f>IFERROR(__xludf.DUMMYFUNCTION("AVERAGE(QUERY(SORT(GOOGLEFINANCE(B933,""price"",TODAY()-365,TODAY()),1,0),""select Col2 limit 60""))"),93.61550000000004)</f>
        <v>93.6155</v>
      </c>
      <c r="L933" s="17">
        <f>IFERROR(__xludf.DUMMYFUNCTION("AVERAGE(QUERY(SORT(GOOGLEFINANCE(B933,""price"",TODAY()-365,TODAY()),1,0),""select Col2 limit 90""))"),92.26922222222225)</f>
        <v>92.26922222</v>
      </c>
      <c r="M933" s="17">
        <f>IFERROR(__xludf.DUMMYFUNCTION("AVERAGE(QUERY(SORT(GOOGLEFINANCE(B933,""price"",TODAY()-365,TODAY()),1,0),""select Col2 limit 120""))"),97.6644166666667)</f>
        <v>97.66441667</v>
      </c>
      <c r="N933" s="19">
        <f>IFERROR(__xludf.DUMMYFUNCTION("AVERAGE(QUERY(SORT(GOOGLEFINANCE(B933,""price"",TODAY()-365,TODAY()),1,0),""select Col2 limit 200""))"),136.62465)</f>
        <v>136.62465</v>
      </c>
      <c r="O933" s="20" t="str">
        <f t="shared" si="2"/>
        <v>Avoid</v>
      </c>
      <c r="P933" s="21" t="str">
        <f t="shared" si="3"/>
        <v/>
      </c>
      <c r="Q933" s="21" t="str">
        <f t="shared" si="4"/>
        <v/>
      </c>
      <c r="R933" s="22">
        <f>IFERROR(__xludf.DUMMYFUNCTION("GOOGLEFINANCE(B933, ""pe"")
"),30.0)</f>
        <v>30</v>
      </c>
    </row>
    <row r="934">
      <c r="A934" s="9" t="s">
        <v>944</v>
      </c>
      <c r="B934" s="11" t="str">
        <f t="shared" si="1"/>
        <v>NSE:INDIAGLYCO</v>
      </c>
      <c r="C934" s="12">
        <f>IFERROR(__xludf.DUMMYFUNCTION("GOOGLEFINANCE(B934,""marketcap"")/10000000"),5234.9705711)</f>
        <v>5234.970571</v>
      </c>
      <c r="D934" s="13">
        <f>IFERROR(__xludf.DUMMYFUNCTION("GOOGLEFINANCE(B934,""price"")"),1688.4)</f>
        <v>1688.4</v>
      </c>
      <c r="E934" s="14">
        <f>IFERROR(__xludf.DUMMYFUNCTION("GOOGLEFINANCE(B934,""Volume"")"),81323.0)</f>
        <v>81323</v>
      </c>
      <c r="F934" s="14">
        <f t="array" ref="F934">F933</f>
        <v>14</v>
      </c>
      <c r="G934" s="15" t="str">
        <f>IFERROR(__xludf.DUMMYFUNCTION("IF(E934&gt;AVERAGE(INDEX(GOOGLEFINANCE(B934,""volume"",WORKDAY(TODAY(),-$F$1),TODAY()),,2)),""Breakout"","""")"),"")</f>
        <v/>
      </c>
      <c r="H934" s="16">
        <f>IFERROR(__xludf.DUMMYFUNCTION("GOOGLEFINANCE(B934,""price"")"),1688.4)</f>
        <v>1688.4</v>
      </c>
      <c r="I934" s="17">
        <f>IFERROR(__xludf.DUMMYFUNCTION("AVERAGE(QUERY(SORT(GOOGLEFINANCE(B934,""price"",TODAY()-365,TODAY()),1,0),""select Col2 limit 10""))"),1879.8400000000001)</f>
        <v>1879.84</v>
      </c>
      <c r="J934" s="17">
        <f>IFERROR(__xludf.DUMMYFUNCTION("AVERAGE(QUERY(SORT(GOOGLEFINANCE(B934,""price"",TODAY()-365,TODAY()),1,0),""select Col2 limit 30""))"),1957.65)</f>
        <v>1957.65</v>
      </c>
      <c r="K934" s="18">
        <f>IFERROR(__xludf.DUMMYFUNCTION("AVERAGE(QUERY(SORT(GOOGLEFINANCE(B934,""price"",TODAY()-365,TODAY()),1,0),""select Col2 limit 60""))"),1853.3216666666663)</f>
        <v>1853.321667</v>
      </c>
      <c r="L934" s="17">
        <f>IFERROR(__xludf.DUMMYFUNCTION("AVERAGE(QUERY(SORT(GOOGLEFINANCE(B934,""price"",TODAY()-365,TODAY()),1,0),""select Col2 limit 90""))"),1651.4872222222216)</f>
        <v>1651.487222</v>
      </c>
      <c r="M934" s="17">
        <f>IFERROR(__xludf.DUMMYFUNCTION("AVERAGE(QUERY(SORT(GOOGLEFINANCE(B934,""price"",TODAY()-365,TODAY()),1,0),""select Col2 limit 120""))"),1533.9304166666666)</f>
        <v>1533.930417</v>
      </c>
      <c r="N934" s="19">
        <f>IFERROR(__xludf.DUMMYFUNCTION("AVERAGE(QUERY(SORT(GOOGLEFINANCE(B934,""price"",TODAY()-365,TODAY()),1,0),""select Col2 limit 200""))"),1439.7175)</f>
        <v>1439.7175</v>
      </c>
      <c r="O934" s="20" t="str">
        <f t="shared" si="2"/>
        <v>Avoid</v>
      </c>
      <c r="P934" s="21" t="str">
        <f t="shared" si="3"/>
        <v/>
      </c>
      <c r="Q934" s="21" t="str">
        <f t="shared" si="4"/>
        <v/>
      </c>
      <c r="R934" s="22">
        <f>IFERROR(__xludf.DUMMYFUNCTION("GOOGLEFINANCE(B934, ""pe"")
"),22.64)</f>
        <v>22.64</v>
      </c>
    </row>
    <row r="935">
      <c r="A935" s="9" t="s">
        <v>945</v>
      </c>
      <c r="B935" s="11" t="str">
        <f t="shared" si="1"/>
        <v>NSE:PCJEWELLER</v>
      </c>
      <c r="C935" s="12">
        <f>IFERROR(__xludf.DUMMYFUNCTION("GOOGLEFINANCE(B935,""marketcap"")/10000000"),9731.5566054)</f>
        <v>9731.556605</v>
      </c>
      <c r="D935" s="13">
        <f>IFERROR(__xludf.DUMMYFUNCTION("GOOGLEFINANCE(B935,""price"")"),14.82)</f>
        <v>14.82</v>
      </c>
      <c r="E935" s="14">
        <f>IFERROR(__xludf.DUMMYFUNCTION("GOOGLEFINANCE(B935,""Volume"")"),7.1880984E7)</f>
        <v>71880984</v>
      </c>
      <c r="F935" s="14">
        <f t="array" ref="F935">F934</f>
        <v>14</v>
      </c>
      <c r="G935" s="15" t="str">
        <f>IFERROR(__xludf.DUMMYFUNCTION("IF(E935&gt;AVERAGE(INDEX(GOOGLEFINANCE(B935,""volume"",WORKDAY(TODAY(),-$F$1),TODAY()),,2)),""Breakout"","""")"),"")</f>
        <v/>
      </c>
      <c r="H935" s="16">
        <f>IFERROR(__xludf.DUMMYFUNCTION("GOOGLEFINANCE(B935,""price"")"),14.82)</f>
        <v>14.82</v>
      </c>
      <c r="I935" s="17" t="str">
        <f>IFERROR(__xludf.DUMMYFUNCTION("AVERAGE(QUERY(SORT(GOOGLEFINANCE(B935,""price"",TODAY()-365,TODAY()),1,0),""select Col2 limit 10""))"),"#N/A")</f>
        <v>#N/A</v>
      </c>
      <c r="J935" s="17" t="str">
        <f>IFERROR(__xludf.DUMMYFUNCTION("AVERAGE(QUERY(SORT(GOOGLEFINANCE(B935,""price"",TODAY()-365,TODAY()),1,0),""select Col2 limit 30""))"),"#N/A")</f>
        <v>#N/A</v>
      </c>
      <c r="K935" s="18" t="str">
        <f>IFERROR(__xludf.DUMMYFUNCTION("AVERAGE(QUERY(SORT(GOOGLEFINANCE(B935,""price"",TODAY()-365,TODAY()),1,0),""select Col2 limit 60""))"),"#N/A")</f>
        <v>#N/A</v>
      </c>
      <c r="L935" s="17" t="str">
        <f>IFERROR(__xludf.DUMMYFUNCTION("AVERAGE(QUERY(SORT(GOOGLEFINANCE(B935,""price"",TODAY()-365,TODAY()),1,0),""select Col2 limit 90""))"),"#N/A")</f>
        <v>#N/A</v>
      </c>
      <c r="M935" s="17" t="str">
        <f>IFERROR(__xludf.DUMMYFUNCTION("AVERAGE(QUERY(SORT(GOOGLEFINANCE(B935,""price"",TODAY()-365,TODAY()),1,0),""select Col2 limit 120""))"),"#N/A")</f>
        <v>#N/A</v>
      </c>
      <c r="N935" s="19" t="str">
        <f>IFERROR(__xludf.DUMMYFUNCTION("AVERAGE(QUERY(SORT(GOOGLEFINANCE(B935,""price"",TODAY()-365,TODAY()),1,0),""select Col2 limit 200""))"),"#N/A")</f>
        <v>#N/A</v>
      </c>
      <c r="O935" s="20" t="str">
        <f t="shared" si="2"/>
        <v>#N/A</v>
      </c>
      <c r="P935" s="21" t="str">
        <f t="shared" si="3"/>
        <v>#N/A</v>
      </c>
      <c r="Q935" s="21" t="str">
        <f t="shared" si="4"/>
        <v>#N/A</v>
      </c>
      <c r="R935" s="22">
        <f>IFERROR(__xludf.DUMMYFUNCTION("GOOGLEFINANCE(B935, ""pe"")
"),22.42)</f>
        <v>22.42</v>
      </c>
    </row>
    <row r="936">
      <c r="A936" s="9" t="s">
        <v>946</v>
      </c>
      <c r="B936" s="11" t="str">
        <f t="shared" si="1"/>
        <v>NSE:VADILALIND</v>
      </c>
      <c r="C936" s="12">
        <f>IFERROR(__xludf.DUMMYFUNCTION("GOOGLEFINANCE(B936,""marketcap"")/10000000"),3799.486938)</f>
        <v>3799.486938</v>
      </c>
      <c r="D936" s="13">
        <f>IFERROR(__xludf.DUMMYFUNCTION("GOOGLEFINANCE(B936,""price"")"),5260.5)</f>
        <v>5260.5</v>
      </c>
      <c r="E936" s="14">
        <f>IFERROR(__xludf.DUMMYFUNCTION("GOOGLEFINANCE(B936,""Volume"")"),20932.0)</f>
        <v>20932</v>
      </c>
      <c r="F936" s="14">
        <f t="array" ref="F936">F935</f>
        <v>14</v>
      </c>
      <c r="G936" s="15" t="str">
        <f>IFERROR(__xludf.DUMMYFUNCTION("IF(E936&gt;AVERAGE(INDEX(GOOGLEFINANCE(B936,""volume"",WORKDAY(TODAY(),-$F$1),TODAY()),,2)),""Breakout"","""")"),"Breakout")</f>
        <v>Breakout</v>
      </c>
      <c r="H936" s="16">
        <f>IFERROR(__xludf.DUMMYFUNCTION("GOOGLEFINANCE(B936,""price"")"),5260.5)</f>
        <v>5260.5</v>
      </c>
      <c r="I936" s="17">
        <f>IFERROR(__xludf.DUMMYFUNCTION("AVERAGE(QUERY(SORT(GOOGLEFINANCE(B936,""price"",TODAY()-365,TODAY()),1,0),""select Col2 limit 10""))"),5422.05)</f>
        <v>5422.05</v>
      </c>
      <c r="J936" s="17">
        <f>IFERROR(__xludf.DUMMYFUNCTION("AVERAGE(QUERY(SORT(GOOGLEFINANCE(B936,""price"",TODAY()-365,TODAY()),1,0),""select Col2 limit 30""))"),5424.05)</f>
        <v>5424.05</v>
      </c>
      <c r="K936" s="18">
        <f>IFERROR(__xludf.DUMMYFUNCTION("AVERAGE(QUERY(SORT(GOOGLEFINANCE(B936,""price"",TODAY()-365,TODAY()),1,0),""select Col2 limit 60""))"),5722.375)</f>
        <v>5722.375</v>
      </c>
      <c r="L936" s="17">
        <f>IFERROR(__xludf.DUMMYFUNCTION("AVERAGE(QUERY(SORT(GOOGLEFINANCE(B936,""price"",TODAY()-365,TODAY()),1,0),""select Col2 limit 90""))"),5724.991111111111)</f>
        <v>5724.991111</v>
      </c>
      <c r="M936" s="17">
        <f>IFERROR(__xludf.DUMMYFUNCTION("AVERAGE(QUERY(SORT(GOOGLEFINANCE(B936,""price"",TODAY()-365,TODAY()),1,0),""select Col2 limit 120""))"),5280.729166666669)</f>
        <v>5280.729167</v>
      </c>
      <c r="N936" s="19">
        <f>IFERROR(__xludf.DUMMYFUNCTION("AVERAGE(QUERY(SORT(GOOGLEFINANCE(B936,""price"",TODAY()-365,TODAY()),1,0),""select Col2 limit 200""))"),4698.191749999999)</f>
        <v>4698.19175</v>
      </c>
      <c r="O936" s="20" t="str">
        <f t="shared" si="2"/>
        <v>Sell Below 200 DMA</v>
      </c>
      <c r="P936" s="21" t="str">
        <f t="shared" si="3"/>
        <v>120 DMA</v>
      </c>
      <c r="Q936" s="21" t="str">
        <f t="shared" si="4"/>
        <v/>
      </c>
      <c r="R936" s="22">
        <f>IFERROR(__xludf.DUMMYFUNCTION("GOOGLEFINANCE(B936, ""pe"")
"),25.27)</f>
        <v>25.27</v>
      </c>
    </row>
    <row r="937">
      <c r="A937" s="9" t="s">
        <v>947</v>
      </c>
      <c r="B937" s="11" t="str">
        <f t="shared" si="1"/>
        <v>NSE:KOLTEPATIL</v>
      </c>
      <c r="C937" s="12">
        <f>IFERROR(__xludf.DUMMYFUNCTION("GOOGLEFINANCE(B937,""marketcap"")/10000000"),3934.7357015)</f>
        <v>3934.735702</v>
      </c>
      <c r="D937" s="13">
        <f>IFERROR(__xludf.DUMMYFUNCTION("GOOGLEFINANCE(B937,""price"")"),443.95)</f>
        <v>443.95</v>
      </c>
      <c r="E937" s="14">
        <f>IFERROR(__xludf.DUMMYFUNCTION("GOOGLEFINANCE(B937,""Volume"")"),114578.0)</f>
        <v>114578</v>
      </c>
      <c r="F937" s="14">
        <f t="array" ref="F937">F936</f>
        <v>14</v>
      </c>
      <c r="G937" s="15" t="str">
        <f>IFERROR(__xludf.DUMMYFUNCTION("IF(E937&gt;AVERAGE(INDEX(GOOGLEFINANCE(B937,""volume"",WORKDAY(TODAY(),-$F$1),TODAY()),,2)),""Breakout"","""")"),"")</f>
        <v/>
      </c>
      <c r="H937" s="16">
        <f>IFERROR(__xludf.DUMMYFUNCTION("GOOGLEFINANCE(B937,""price"")"),443.95)</f>
        <v>443.95</v>
      </c>
      <c r="I937" s="17">
        <f>IFERROR(__xludf.DUMMYFUNCTION("AVERAGE(QUERY(SORT(GOOGLEFINANCE(B937,""price"",TODAY()-365,TODAY()),1,0),""select Col2 limit 10""))"),451.985)</f>
        <v>451.985</v>
      </c>
      <c r="J937" s="17">
        <f>IFERROR(__xludf.DUMMYFUNCTION("AVERAGE(QUERY(SORT(GOOGLEFINANCE(B937,""price"",TODAY()-365,TODAY()),1,0),""select Col2 limit 30""))"),460.79666666666674)</f>
        <v>460.7966667</v>
      </c>
      <c r="K937" s="18">
        <f>IFERROR(__xludf.DUMMYFUNCTION("AVERAGE(QUERY(SORT(GOOGLEFINANCE(B937,""price"",TODAY()-365,TODAY()),1,0),""select Col2 limit 60""))"),429.1400000000001)</f>
        <v>429.14</v>
      </c>
      <c r="L937" s="17">
        <f>IFERROR(__xludf.DUMMYFUNCTION("AVERAGE(QUERY(SORT(GOOGLEFINANCE(B937,""price"",TODAY()-365,TODAY()),1,0),""select Col2 limit 90""))"),397.7561111111111)</f>
        <v>397.7561111</v>
      </c>
      <c r="M937" s="17">
        <f>IFERROR(__xludf.DUMMYFUNCTION("AVERAGE(QUERY(SORT(GOOGLEFINANCE(B937,""price"",TODAY()-365,TODAY()),1,0),""select Col2 limit 120""))"),368.28833333333347)</f>
        <v>368.2883333</v>
      </c>
      <c r="N937" s="19">
        <f>IFERROR(__xludf.DUMMYFUNCTION("AVERAGE(QUERY(SORT(GOOGLEFINANCE(B937,""price"",TODAY()-365,TODAY()),1,0),""select Col2 limit 200""))"),364.9957499999999)</f>
        <v>364.99575</v>
      </c>
      <c r="O937" s="20" t="str">
        <f t="shared" si="2"/>
        <v>Avoid</v>
      </c>
      <c r="P937" s="21" t="str">
        <f t="shared" si="3"/>
        <v/>
      </c>
      <c r="Q937" s="21" t="str">
        <f t="shared" si="4"/>
        <v/>
      </c>
      <c r="R937" s="22">
        <f>IFERROR(__xludf.DUMMYFUNCTION("GOOGLEFINANCE(B937, ""pe"")
"),31.73)</f>
        <v>31.73</v>
      </c>
    </row>
    <row r="938">
      <c r="A938" s="9" t="s">
        <v>948</v>
      </c>
      <c r="B938" s="11" t="str">
        <f t="shared" si="1"/>
        <v>NSE:SHALBY</v>
      </c>
      <c r="C938" s="12">
        <f>IFERROR(__xludf.DUMMYFUNCTION("GOOGLEFINANCE(B938,""marketcap"")/10000000"),2306.1268422)</f>
        <v>2306.126842</v>
      </c>
      <c r="D938" s="13">
        <f>IFERROR(__xludf.DUMMYFUNCTION("GOOGLEFINANCE(B938,""price"")"),214.04)</f>
        <v>214.04</v>
      </c>
      <c r="E938" s="14">
        <f>IFERROR(__xludf.DUMMYFUNCTION("GOOGLEFINANCE(B938,""Volume"")"),832827.0)</f>
        <v>832827</v>
      </c>
      <c r="F938" s="14">
        <f t="array" ref="F938">F937</f>
        <v>14</v>
      </c>
      <c r="G938" s="15" t="str">
        <f>IFERROR(__xludf.DUMMYFUNCTION("IF(E938&gt;AVERAGE(INDEX(GOOGLEFINANCE(B938,""volume"",WORKDAY(TODAY(),-$F$1),TODAY()),,2)),""Breakout"","""")"),"Breakout")</f>
        <v>Breakout</v>
      </c>
      <c r="H938" s="16">
        <f>IFERROR(__xludf.DUMMYFUNCTION("GOOGLEFINANCE(B938,""price"")"),214.04)</f>
        <v>214.04</v>
      </c>
      <c r="I938" s="17">
        <f>IFERROR(__xludf.DUMMYFUNCTION("AVERAGE(QUERY(SORT(GOOGLEFINANCE(B938,""price"",TODAY()-365,TODAY()),1,0),""select Col2 limit 10""))"),197.555)</f>
        <v>197.555</v>
      </c>
      <c r="J938" s="17">
        <f>IFERROR(__xludf.DUMMYFUNCTION("AVERAGE(QUERY(SORT(GOOGLEFINANCE(B938,""price"",TODAY()-365,TODAY()),1,0),""select Col2 limit 30""))"),188.344)</f>
        <v>188.344</v>
      </c>
      <c r="K938" s="18">
        <f>IFERROR(__xludf.DUMMYFUNCTION("AVERAGE(QUERY(SORT(GOOGLEFINANCE(B938,""price"",TODAY()-365,TODAY()),1,0),""select Col2 limit 60""))"),188.9426666666667)</f>
        <v>188.9426667</v>
      </c>
      <c r="L938" s="17">
        <f>IFERROR(__xludf.DUMMYFUNCTION("AVERAGE(QUERY(SORT(GOOGLEFINANCE(B938,""price"",TODAY()-365,TODAY()),1,0),""select Col2 limit 90""))"),191.4223333333333)</f>
        <v>191.4223333</v>
      </c>
      <c r="M938" s="17">
        <f>IFERROR(__xludf.DUMMYFUNCTION("AVERAGE(QUERY(SORT(GOOGLEFINANCE(B938,""price"",TODAY()-365,TODAY()),1,0),""select Col2 limit 120""))"),194.88508333333337)</f>
        <v>194.8850833</v>
      </c>
      <c r="N938" s="19">
        <f>IFERROR(__xludf.DUMMYFUNCTION("AVERAGE(QUERY(SORT(GOOGLEFINANCE(B938,""price"",TODAY()-365,TODAY()),1,0),""select Col2 limit 200""))"),210.75979999999996)</f>
        <v>210.7598</v>
      </c>
      <c r="O938" s="20" t="str">
        <f t="shared" si="2"/>
        <v>Avoid</v>
      </c>
      <c r="P938" s="21" t="str">
        <f t="shared" si="3"/>
        <v/>
      </c>
      <c r="Q938" s="21" t="str">
        <f t="shared" si="4"/>
        <v/>
      </c>
      <c r="R938" s="22">
        <f>IFERROR(__xludf.DUMMYFUNCTION("GOOGLEFINANCE(B938, ""pe"")
"),369.76)</f>
        <v>369.76</v>
      </c>
    </row>
    <row r="939">
      <c r="A939" s="9" t="s">
        <v>949</v>
      </c>
      <c r="B939" s="11" t="str">
        <f t="shared" si="1"/>
        <v>NSE:MANINDS</v>
      </c>
      <c r="C939" s="12">
        <f>IFERROR(__xludf.DUMMYFUNCTION("GOOGLEFINANCE(B939,""marketcap"")/10000000"),2920.0237853)</f>
        <v>2920.023785</v>
      </c>
      <c r="D939" s="13">
        <f>IFERROR(__xludf.DUMMYFUNCTION("GOOGLEFINANCE(B939,""price"")"),434.5)</f>
        <v>434.5</v>
      </c>
      <c r="E939" s="14">
        <f>IFERROR(__xludf.DUMMYFUNCTION("GOOGLEFINANCE(B939,""Volume"")"),231049.0)</f>
        <v>231049</v>
      </c>
      <c r="F939" s="14">
        <f t="array" ref="F939">F938</f>
        <v>14</v>
      </c>
      <c r="G939" s="15" t="str">
        <f>IFERROR(__xludf.DUMMYFUNCTION("IF(E939&gt;AVERAGE(INDEX(GOOGLEFINANCE(B939,""volume"",WORKDAY(TODAY(),-$F$1),TODAY()),,2)),""Breakout"","""")"),"#N/A")</f>
        <v>#N/A</v>
      </c>
      <c r="H939" s="16">
        <f>IFERROR(__xludf.DUMMYFUNCTION("GOOGLEFINANCE(B939,""price"")"),434.5)</f>
        <v>434.5</v>
      </c>
      <c r="I939" s="17">
        <f>IFERROR(__xludf.DUMMYFUNCTION("AVERAGE(QUERY(SORT(GOOGLEFINANCE(B939,""price"",TODAY()-365,TODAY()),1,0),""select Col2 limit 10""))"),427.895)</f>
        <v>427.895</v>
      </c>
      <c r="J939" s="17">
        <f>IFERROR(__xludf.DUMMYFUNCTION("AVERAGE(QUERY(SORT(GOOGLEFINANCE(B939,""price"",TODAY()-365,TODAY()),1,0),""select Col2 limit 30""))"),413.2783333333333)</f>
        <v>413.2783333</v>
      </c>
      <c r="K939" s="18">
        <f>IFERROR(__xludf.DUMMYFUNCTION("AVERAGE(QUERY(SORT(GOOGLEFINANCE(B939,""price"",TODAY()-365,TODAY()),1,0),""select Col2 limit 60""))"),379.1633333333333)</f>
        <v>379.1633333</v>
      </c>
      <c r="L939" s="17">
        <f>IFERROR(__xludf.DUMMYFUNCTION("AVERAGE(QUERY(SORT(GOOGLEFINANCE(B939,""price"",TODAY()-365,TODAY()),1,0),""select Col2 limit 90""))"),344.2543333333334)</f>
        <v>344.2543333</v>
      </c>
      <c r="M939" s="17">
        <f>IFERROR(__xludf.DUMMYFUNCTION("AVERAGE(QUERY(SORT(GOOGLEFINANCE(B939,""price"",TODAY()-365,TODAY()),1,0),""select Col2 limit 120""))"),322.3579166666667)</f>
        <v>322.3579167</v>
      </c>
      <c r="N939" s="19">
        <f>IFERROR(__xludf.DUMMYFUNCTION("AVERAGE(QUERY(SORT(GOOGLEFINANCE(B939,""price"",TODAY()-365,TODAY()),1,0),""select Col2 limit 200""))"),322.3045000000001)</f>
        <v>322.3045</v>
      </c>
      <c r="O939" s="20" t="str">
        <f t="shared" si="2"/>
        <v>Avoid</v>
      </c>
      <c r="P939" s="21" t="str">
        <f t="shared" si="3"/>
        <v/>
      </c>
      <c r="Q939" s="21" t="str">
        <f t="shared" si="4"/>
        <v/>
      </c>
      <c r="R939" s="22">
        <f>IFERROR(__xludf.DUMMYFUNCTION("GOOGLEFINANCE(B939, ""pe"")
"),19.06)</f>
        <v>19.06</v>
      </c>
    </row>
    <row r="940">
      <c r="A940" s="9" t="s">
        <v>950</v>
      </c>
      <c r="B940" s="11" t="str">
        <f t="shared" si="1"/>
        <v>NSE:GEPIL</v>
      </c>
      <c r="C940" s="12">
        <f>IFERROR(__xludf.DUMMYFUNCTION("GOOGLEFINANCE(B940,""marketcap"")/10000000"),1904.8904034)</f>
        <v>1904.890403</v>
      </c>
      <c r="D940" s="13">
        <f>IFERROR(__xludf.DUMMYFUNCTION("GOOGLEFINANCE(B940,""price"")"),283.8)</f>
        <v>283.8</v>
      </c>
      <c r="E940" s="14">
        <f>IFERROR(__xludf.DUMMYFUNCTION("GOOGLEFINANCE(B940,""Volume"")"),132671.0)</f>
        <v>132671</v>
      </c>
      <c r="F940" s="14">
        <f t="array" ref="F940">F939</f>
        <v>14</v>
      </c>
      <c r="G940" s="15" t="str">
        <f>IFERROR(__xludf.DUMMYFUNCTION("IF(E940&gt;AVERAGE(INDEX(GOOGLEFINANCE(B940,""volume"",WORKDAY(TODAY(),-$F$1),TODAY()),,2)),""Breakout"","""")"),"")</f>
        <v/>
      </c>
      <c r="H940" s="16">
        <f>IFERROR(__xludf.DUMMYFUNCTION("GOOGLEFINANCE(B940,""price"")"),283.8)</f>
        <v>283.8</v>
      </c>
      <c r="I940" s="17">
        <f>IFERROR(__xludf.DUMMYFUNCTION("AVERAGE(QUERY(SORT(GOOGLEFINANCE(B940,""price"",TODAY()-365,TODAY()),1,0),""select Col2 limit 10""))"),300.91999999999996)</f>
        <v>300.92</v>
      </c>
      <c r="J940" s="17">
        <f>IFERROR(__xludf.DUMMYFUNCTION("AVERAGE(QUERY(SORT(GOOGLEFINANCE(B940,""price"",TODAY()-365,TODAY()),1,0),""select Col2 limit 30""))"),310.50166666666667)</f>
        <v>310.5016667</v>
      </c>
      <c r="K940" s="18">
        <f>IFERROR(__xludf.DUMMYFUNCTION("AVERAGE(QUERY(SORT(GOOGLEFINANCE(B940,""price"",TODAY()-365,TODAY()),1,0),""select Col2 limit 60""))"),285.3868333333334)</f>
        <v>285.3868333</v>
      </c>
      <c r="L940" s="17">
        <f>IFERROR(__xludf.DUMMYFUNCTION("AVERAGE(QUERY(SORT(GOOGLEFINANCE(B940,""price"",TODAY()-365,TODAY()),1,0),""select Col2 limit 90""))"),273.09977777777783)</f>
        <v>273.0997778</v>
      </c>
      <c r="M940" s="17">
        <f>IFERROR(__xludf.DUMMYFUNCTION("AVERAGE(QUERY(SORT(GOOGLEFINANCE(B940,""price"",TODAY()-365,TODAY()),1,0),""select Col2 limit 120""))"),268.28208333333333)</f>
        <v>268.2820833</v>
      </c>
      <c r="N940" s="19">
        <f>IFERROR(__xludf.DUMMYFUNCTION("AVERAGE(QUERY(SORT(GOOGLEFINANCE(B940,""price"",TODAY()-365,TODAY()),1,0),""select Col2 limit 200""))"),311.72624999999994)</f>
        <v>311.72625</v>
      </c>
      <c r="O940" s="20" t="str">
        <f t="shared" si="2"/>
        <v>Avoid</v>
      </c>
      <c r="P940" s="21" t="str">
        <f t="shared" si="3"/>
        <v>60 DMA</v>
      </c>
      <c r="Q940" s="21" t="str">
        <f t="shared" si="4"/>
        <v/>
      </c>
      <c r="R940" s="22" t="str">
        <f>IFERROR(__xludf.DUMMYFUNCTION("GOOGLEFINANCE(B940, ""pe"")
"),"#N/A")</f>
        <v>#N/A</v>
      </c>
    </row>
    <row r="941">
      <c r="A941" s="9" t="s">
        <v>951</v>
      </c>
      <c r="B941" s="11" t="str">
        <f t="shared" si="1"/>
        <v>NSE:BAJEL</v>
      </c>
      <c r="C941" s="12">
        <f>IFERROR(__xludf.DUMMYFUNCTION("GOOGLEFINANCE(B941,""marketcap"")/10000000"),2670.83355)</f>
        <v>2670.83355</v>
      </c>
      <c r="D941" s="13">
        <f>IFERROR(__xludf.DUMMYFUNCTION("GOOGLEFINANCE(B941,""price"")"),231.5)</f>
        <v>231.5</v>
      </c>
      <c r="E941" s="14">
        <f>IFERROR(__xludf.DUMMYFUNCTION("GOOGLEFINANCE(B941,""Volume"")"),34134.0)</f>
        <v>34134</v>
      </c>
      <c r="F941" s="14">
        <f t="array" ref="F941">F940</f>
        <v>14</v>
      </c>
      <c r="G941" s="15" t="str">
        <f>IFERROR(__xludf.DUMMYFUNCTION("IF(E941&gt;AVERAGE(INDEX(GOOGLEFINANCE(B941,""volume"",WORKDAY(TODAY(),-$F$1),TODAY()),,2)),""Breakout"","""")"),"")</f>
        <v/>
      </c>
      <c r="H941" s="16">
        <f>IFERROR(__xludf.DUMMYFUNCTION("GOOGLEFINANCE(B941,""price"")"),231.5)</f>
        <v>231.5</v>
      </c>
      <c r="I941" s="17">
        <f>IFERROR(__xludf.DUMMYFUNCTION("AVERAGE(QUERY(SORT(GOOGLEFINANCE(B941,""price"",TODAY()-365,TODAY()),1,0),""select Col2 limit 10""))"),248.72100000000006)</f>
        <v>248.721</v>
      </c>
      <c r="J941" s="17">
        <f>IFERROR(__xludf.DUMMYFUNCTION("AVERAGE(QUERY(SORT(GOOGLEFINANCE(B941,""price"",TODAY()-365,TODAY()),1,0),""select Col2 limit 30""))"),236.624)</f>
        <v>236.624</v>
      </c>
      <c r="K941" s="18">
        <f>IFERROR(__xludf.DUMMYFUNCTION("AVERAGE(QUERY(SORT(GOOGLEFINANCE(B941,""price"",TODAY()-365,TODAY()),1,0),""select Col2 limit 60""))"),219.8521666666667)</f>
        <v>219.8521667</v>
      </c>
      <c r="L941" s="17">
        <f>IFERROR(__xludf.DUMMYFUNCTION("AVERAGE(QUERY(SORT(GOOGLEFINANCE(B941,""price"",TODAY()-365,TODAY()),1,0),""select Col2 limit 90""))"),202.87633333333332)</f>
        <v>202.8763333</v>
      </c>
      <c r="M941" s="17">
        <f>IFERROR(__xludf.DUMMYFUNCTION("AVERAGE(QUERY(SORT(GOOGLEFINANCE(B941,""price"",TODAY()-365,TODAY()),1,0),""select Col2 limit 120""))"),199.19466666666662)</f>
        <v>199.1946667</v>
      </c>
      <c r="N941" s="19">
        <f>IFERROR(__xludf.DUMMYFUNCTION("AVERAGE(QUERY(SORT(GOOGLEFINANCE(B941,""price"",TODAY()-365,TODAY()),1,0),""select Col2 limit 200""))"),221.71729999999988)</f>
        <v>221.7173</v>
      </c>
      <c r="O941" s="20" t="str">
        <f t="shared" si="2"/>
        <v>Avoid</v>
      </c>
      <c r="P941" s="21" t="str">
        <f t="shared" si="3"/>
        <v/>
      </c>
      <c r="Q941" s="21" t="str">
        <f t="shared" si="4"/>
        <v/>
      </c>
      <c r="R941" s="22">
        <f>IFERROR(__xludf.DUMMYFUNCTION("GOOGLEFINANCE(B941, ""pe"")
"),173.36)</f>
        <v>173.36</v>
      </c>
    </row>
    <row r="942">
      <c r="A942" s="9" t="s">
        <v>952</v>
      </c>
      <c r="B942" s="11" t="str">
        <f t="shared" si="1"/>
        <v>NSE:SUPRIYA</v>
      </c>
      <c r="C942" s="12">
        <f>IFERROR(__xludf.DUMMYFUNCTION("GOOGLEFINANCE(B942,""marketcap"")/10000000"),5447.8802515)</f>
        <v>5447.880252</v>
      </c>
      <c r="D942" s="13">
        <f>IFERROR(__xludf.DUMMYFUNCTION("GOOGLEFINANCE(B942,""price"")"),677.7)</f>
        <v>677.7</v>
      </c>
      <c r="E942" s="14">
        <f>IFERROR(__xludf.DUMMYFUNCTION("GOOGLEFINANCE(B942,""Volume"")"),74949.0)</f>
        <v>74949</v>
      </c>
      <c r="F942" s="14">
        <f t="array" ref="F942">F941</f>
        <v>14</v>
      </c>
      <c r="G942" s="15" t="str">
        <f>IFERROR(__xludf.DUMMYFUNCTION("IF(E942&gt;AVERAGE(INDEX(GOOGLEFINANCE(B942,""volume"",WORKDAY(TODAY(),-$F$1),TODAY()),,2)),""Breakout"","""")"),"")</f>
        <v/>
      </c>
      <c r="H942" s="16">
        <f>IFERROR(__xludf.DUMMYFUNCTION("GOOGLEFINANCE(B942,""price"")"),677.7)</f>
        <v>677.7</v>
      </c>
      <c r="I942" s="17">
        <f>IFERROR(__xludf.DUMMYFUNCTION("AVERAGE(QUERY(SORT(GOOGLEFINANCE(B942,""price"",TODAY()-365,TODAY()),1,0),""select Col2 limit 10""))"),705.6450000000001)</f>
        <v>705.645</v>
      </c>
      <c r="J942" s="17">
        <f>IFERROR(__xludf.DUMMYFUNCTION("AVERAGE(QUERY(SORT(GOOGLEFINANCE(B942,""price"",TODAY()-365,TODAY()),1,0),""select Col2 limit 30""))"),698.6833333333332)</f>
        <v>698.6833333</v>
      </c>
      <c r="K942" s="18">
        <f>IFERROR(__xludf.DUMMYFUNCTION("AVERAGE(QUERY(SORT(GOOGLEFINANCE(B942,""price"",TODAY()-365,TODAY()),1,0),""select Col2 limit 60""))"),696.1875)</f>
        <v>696.1875</v>
      </c>
      <c r="L942" s="17">
        <f>IFERROR(__xludf.DUMMYFUNCTION("AVERAGE(QUERY(SORT(GOOGLEFINANCE(B942,""price"",TODAY()-365,TODAY()),1,0),""select Col2 limit 90""))"),699.6777777777778)</f>
        <v>699.6777778</v>
      </c>
      <c r="M942" s="17">
        <f>IFERROR(__xludf.DUMMYFUNCTION("AVERAGE(QUERY(SORT(GOOGLEFINANCE(B942,""price"",TODAY()-365,TODAY()),1,0),""select Col2 limit 120""))"),691.09875)</f>
        <v>691.09875</v>
      </c>
      <c r="N942" s="19">
        <f>IFERROR(__xludf.DUMMYFUNCTION("AVERAGE(QUERY(SORT(GOOGLEFINANCE(B942,""price"",TODAY()-365,TODAY()),1,0),""select Col2 limit 200""))"),686.3017500000002)</f>
        <v>686.30175</v>
      </c>
      <c r="O942" s="20" t="str">
        <f t="shared" si="2"/>
        <v>Avoid</v>
      </c>
      <c r="P942" s="21" t="str">
        <f t="shared" si="3"/>
        <v/>
      </c>
      <c r="Q942" s="21" t="str">
        <f t="shared" si="4"/>
        <v/>
      </c>
      <c r="R942" s="22">
        <f>IFERROR(__xludf.DUMMYFUNCTION("GOOGLEFINANCE(B942, ""pe"")
"),28.94)</f>
        <v>28.94</v>
      </c>
    </row>
    <row r="943">
      <c r="A943" s="9" t="s">
        <v>953</v>
      </c>
      <c r="B943" s="11" t="str">
        <f t="shared" si="1"/>
        <v>NSE:SAGCEM</v>
      </c>
      <c r="C943" s="12">
        <f>IFERROR(__xludf.DUMMYFUNCTION("GOOGLEFINANCE(B943,""marketcap"")/10000000"),3182.9890958)</f>
        <v>3182.989096</v>
      </c>
      <c r="D943" s="13">
        <f>IFERROR(__xludf.DUMMYFUNCTION("GOOGLEFINANCE(B943,""price"")"),243.4)</f>
        <v>243.4</v>
      </c>
      <c r="E943" s="14">
        <f>IFERROR(__xludf.DUMMYFUNCTION("GOOGLEFINANCE(B943,""Volume"")"),159652.0)</f>
        <v>159652</v>
      </c>
      <c r="F943" s="14">
        <f t="array" ref="F943">F942</f>
        <v>14</v>
      </c>
      <c r="G943" s="15" t="str">
        <f>IFERROR(__xludf.DUMMYFUNCTION("IF(E943&gt;AVERAGE(INDEX(GOOGLEFINANCE(B943,""volume"",WORKDAY(TODAY(),-$F$1),TODAY()),,2)),""Breakout"","""")"),"#N/A")</f>
        <v>#N/A</v>
      </c>
      <c r="H943" s="16">
        <f>IFERROR(__xludf.DUMMYFUNCTION("GOOGLEFINANCE(B943,""price"")"),243.4)</f>
        <v>243.4</v>
      </c>
      <c r="I943" s="17">
        <f>IFERROR(__xludf.DUMMYFUNCTION("AVERAGE(QUERY(SORT(GOOGLEFINANCE(B943,""price"",TODAY()-365,TODAY()),1,0),""select Col2 limit 10""))"),253.87599999999998)</f>
        <v>253.876</v>
      </c>
      <c r="J943" s="17">
        <f>IFERROR(__xludf.DUMMYFUNCTION("AVERAGE(QUERY(SORT(GOOGLEFINANCE(B943,""price"",TODAY()-365,TODAY()),1,0),""select Col2 limit 30""))"),243.05166666666665)</f>
        <v>243.0516667</v>
      </c>
      <c r="K943" s="18">
        <f>IFERROR(__xludf.DUMMYFUNCTION("AVERAGE(QUERY(SORT(GOOGLEFINANCE(B943,""price"",TODAY()-365,TODAY()),1,0),""select Col2 limit 60""))"),235.34816666666663)</f>
        <v>235.3481667</v>
      </c>
      <c r="L943" s="17">
        <f>IFERROR(__xludf.DUMMYFUNCTION("AVERAGE(QUERY(SORT(GOOGLEFINANCE(B943,""price"",TODAY()-365,TODAY()),1,0),""select Col2 limit 90""))"),222.72166666666675)</f>
        <v>222.7216667</v>
      </c>
      <c r="M943" s="17">
        <f>IFERROR(__xludf.DUMMYFUNCTION("AVERAGE(QUERY(SORT(GOOGLEFINANCE(B943,""price"",TODAY()-365,TODAY()),1,0),""select Col2 limit 120""))"),214.6338333333334)</f>
        <v>214.6338333</v>
      </c>
      <c r="N943" s="19">
        <f>IFERROR(__xludf.DUMMYFUNCTION("AVERAGE(QUERY(SORT(GOOGLEFINANCE(B943,""price"",TODAY()-365,TODAY()),1,0),""select Col2 limit 200""))"),216.96625000000003)</f>
        <v>216.96625</v>
      </c>
      <c r="O943" s="20" t="str">
        <f t="shared" si="2"/>
        <v>Avoid</v>
      </c>
      <c r="P943" s="21" t="str">
        <f t="shared" si="3"/>
        <v/>
      </c>
      <c r="Q943" s="21" t="str">
        <f t="shared" si="4"/>
        <v/>
      </c>
      <c r="R943" s="22" t="str">
        <f>IFERROR(__xludf.DUMMYFUNCTION("GOOGLEFINANCE(B943, ""pe"")
"),"#N/A")</f>
        <v>#N/A</v>
      </c>
    </row>
    <row r="944">
      <c r="A944" s="9" t="s">
        <v>954</v>
      </c>
      <c r="B944" s="11" t="str">
        <f t="shared" si="1"/>
        <v>NSE:KINGFA</v>
      </c>
      <c r="C944" s="12">
        <f>IFERROR(__xludf.DUMMYFUNCTION("GOOGLEFINANCE(B944,""marketcap"")/10000000"),4371.270537)</f>
        <v>4371.270537</v>
      </c>
      <c r="D944" s="13">
        <f>IFERROR(__xludf.DUMMYFUNCTION("GOOGLEFINANCE(B944,""price"")"),3609.5)</f>
        <v>3609.5</v>
      </c>
      <c r="E944" s="14">
        <f>IFERROR(__xludf.DUMMYFUNCTION("GOOGLEFINANCE(B944,""Volume"")"),8468.0)</f>
        <v>8468</v>
      </c>
      <c r="F944" s="14">
        <f t="array" ref="F944">F943</f>
        <v>14</v>
      </c>
      <c r="G944" s="15" t="str">
        <f>IFERROR(__xludf.DUMMYFUNCTION("IF(E944&gt;AVERAGE(INDEX(GOOGLEFINANCE(B944,""volume"",WORKDAY(TODAY(),-$F$1),TODAY()),,2)),""Breakout"","""")"),"#N/A")</f>
        <v>#N/A</v>
      </c>
      <c r="H944" s="16">
        <f>IFERROR(__xludf.DUMMYFUNCTION("GOOGLEFINANCE(B944,""price"")"),3609.5)</f>
        <v>3609.5</v>
      </c>
      <c r="I944" s="17">
        <f>IFERROR(__xludf.DUMMYFUNCTION("AVERAGE(QUERY(SORT(GOOGLEFINANCE(B944,""price"",TODAY()-365,TODAY()),1,0),""select Col2 limit 10""))"),3506.1699999999996)</f>
        <v>3506.17</v>
      </c>
      <c r="J944" s="17">
        <f>IFERROR(__xludf.DUMMYFUNCTION("AVERAGE(QUERY(SORT(GOOGLEFINANCE(B944,""price"",TODAY()-365,TODAY()),1,0),""select Col2 limit 30""))"),3377.1966666666663)</f>
        <v>3377.196667</v>
      </c>
      <c r="K944" s="18">
        <f>IFERROR(__xludf.DUMMYFUNCTION("AVERAGE(QUERY(SORT(GOOGLEFINANCE(B944,""price"",TODAY()-365,TODAY()),1,0),""select Col2 limit 60""))"),3299.903333333333)</f>
        <v>3299.903333</v>
      </c>
      <c r="L944" s="17">
        <f>IFERROR(__xludf.DUMMYFUNCTION("AVERAGE(QUERY(SORT(GOOGLEFINANCE(B944,""price"",TODAY()-365,TODAY()),1,0),""select Col2 limit 90""))"),3193.8611111111113)</f>
        <v>3193.861111</v>
      </c>
      <c r="M944" s="17">
        <f>IFERROR(__xludf.DUMMYFUNCTION("AVERAGE(QUERY(SORT(GOOGLEFINANCE(B944,""price"",TODAY()-365,TODAY()),1,0),""select Col2 limit 120""))"),3124.0762500000005)</f>
        <v>3124.07625</v>
      </c>
      <c r="N944" s="19">
        <f>IFERROR(__xludf.DUMMYFUNCTION("AVERAGE(QUERY(SORT(GOOGLEFINANCE(B944,""price"",TODAY()-365,TODAY()),1,0),""select Col2 limit 200""))"),3151.7674999999995)</f>
        <v>3151.7675</v>
      </c>
      <c r="O944" s="20" t="str">
        <f t="shared" si="2"/>
        <v>Avoid</v>
      </c>
      <c r="P944" s="21" t="str">
        <f t="shared" si="3"/>
        <v/>
      </c>
      <c r="Q944" s="21" t="str">
        <f t="shared" si="4"/>
        <v/>
      </c>
      <c r="R944" s="22">
        <f>IFERROR(__xludf.DUMMYFUNCTION("GOOGLEFINANCE(B944, ""pe"")
"),28.6)</f>
        <v>28.6</v>
      </c>
    </row>
    <row r="945">
      <c r="A945" s="9" t="s">
        <v>955</v>
      </c>
      <c r="B945" s="11" t="str">
        <f t="shared" si="1"/>
        <v>NSE:MMFL</v>
      </c>
      <c r="C945" s="12">
        <f>IFERROR(__xludf.DUMMYFUNCTION("GOOGLEFINANCE(B945,""marketcap"")/10000000"),1703.8572816)</f>
        <v>1703.857282</v>
      </c>
      <c r="D945" s="13">
        <f>IFERROR(__xludf.DUMMYFUNCTION("GOOGLEFINANCE(B945,""price"")"),352.85)</f>
        <v>352.85</v>
      </c>
      <c r="E945" s="14">
        <f>IFERROR(__xludf.DUMMYFUNCTION("GOOGLEFINANCE(B945,""Volume"")"),26016.0)</f>
        <v>26016</v>
      </c>
      <c r="F945" s="14">
        <f t="array" ref="F945">F944</f>
        <v>14</v>
      </c>
      <c r="G945" s="15" t="str">
        <f>IFERROR(__xludf.DUMMYFUNCTION("IF(E945&gt;AVERAGE(INDEX(GOOGLEFINANCE(B945,""volume"",WORKDAY(TODAY(),-$F$1),TODAY()),,2)),""Breakout"","""")"),"")</f>
        <v/>
      </c>
      <c r="H945" s="16">
        <f>IFERROR(__xludf.DUMMYFUNCTION("GOOGLEFINANCE(B945,""price"")"),352.85)</f>
        <v>352.85</v>
      </c>
      <c r="I945" s="17">
        <f>IFERROR(__xludf.DUMMYFUNCTION("AVERAGE(QUERY(SORT(GOOGLEFINANCE(B945,""price"",TODAY()-365,TODAY()),1,0),""select Col2 limit 10""))"),368.3299999999999)</f>
        <v>368.33</v>
      </c>
      <c r="J945" s="17">
        <f>IFERROR(__xludf.DUMMYFUNCTION("AVERAGE(QUERY(SORT(GOOGLEFINANCE(B945,""price"",TODAY()-365,TODAY()),1,0),""select Col2 limit 30""))"),369.73666666666674)</f>
        <v>369.7366667</v>
      </c>
      <c r="K945" s="18">
        <f>IFERROR(__xludf.DUMMYFUNCTION("AVERAGE(QUERY(SORT(GOOGLEFINANCE(B945,""price"",TODAY()-365,TODAY()),1,0),""select Col2 limit 60""))"),365.8666666666668)</f>
        <v>365.8666667</v>
      </c>
      <c r="L945" s="17">
        <f>IFERROR(__xludf.DUMMYFUNCTION("AVERAGE(QUERY(SORT(GOOGLEFINANCE(B945,""price"",TODAY()-365,TODAY()),1,0),""select Col2 limit 90""))"),358.7316666666666)</f>
        <v>358.7316667</v>
      </c>
      <c r="M945" s="17">
        <f>IFERROR(__xludf.DUMMYFUNCTION("AVERAGE(QUERY(SORT(GOOGLEFINANCE(B945,""price"",TODAY()-365,TODAY()),1,0),""select Col2 limit 120""))"),362.6158333333332)</f>
        <v>362.6158333</v>
      </c>
      <c r="N945" s="19">
        <f>IFERROR(__xludf.DUMMYFUNCTION("AVERAGE(QUERY(SORT(GOOGLEFINANCE(B945,""price"",TODAY()-365,TODAY()),1,0),""select Col2 limit 200""))"),414.2979999999999)</f>
        <v>414.298</v>
      </c>
      <c r="O945" s="20" t="str">
        <f t="shared" si="2"/>
        <v>Avoid</v>
      </c>
      <c r="P945" s="21" t="str">
        <f t="shared" si="3"/>
        <v/>
      </c>
      <c r="Q945" s="21" t="str">
        <f t="shared" si="4"/>
        <v/>
      </c>
      <c r="R945" s="22">
        <f>IFERROR(__xludf.DUMMYFUNCTION("GOOGLEFINANCE(B945, ""pe"")
"),13.98)</f>
        <v>13.98</v>
      </c>
    </row>
    <row r="946">
      <c r="A946" s="9" t="s">
        <v>956</v>
      </c>
      <c r="B946" s="11" t="str">
        <f t="shared" si="1"/>
        <v>NSE:WENDT</v>
      </c>
      <c r="C946" s="12">
        <f>IFERROR(__xludf.DUMMYFUNCTION("GOOGLEFINANCE(B946,""marketcap"")/10000000"),1898.0)</f>
        <v>1898</v>
      </c>
      <c r="D946" s="13">
        <f>IFERROR(__xludf.DUMMYFUNCTION("GOOGLEFINANCE(B946,""price"")"),9490.0)</f>
        <v>9490</v>
      </c>
      <c r="E946" s="14">
        <f>IFERROR(__xludf.DUMMYFUNCTION("GOOGLEFINANCE(B946,""Volume"")"),31679.0)</f>
        <v>31679</v>
      </c>
      <c r="F946" s="14">
        <f t="array" ref="F946">F945</f>
        <v>14</v>
      </c>
      <c r="G946" s="15" t="str">
        <f>IFERROR(__xludf.DUMMYFUNCTION("IF(E946&gt;AVERAGE(INDEX(GOOGLEFINANCE(B946,""volume"",WORKDAY(TODAY(),-$F$1),TODAY()),,2)),""Breakout"","""")"),"")</f>
        <v/>
      </c>
      <c r="H946" s="16">
        <f>IFERROR(__xludf.DUMMYFUNCTION("GOOGLEFINANCE(B946,""price"")"),9490.0)</f>
        <v>9490</v>
      </c>
      <c r="I946" s="17">
        <f>IFERROR(__xludf.DUMMYFUNCTION("AVERAGE(QUERY(SORT(GOOGLEFINANCE(B946,""price"",TODAY()-365,TODAY()),1,0),""select Col2 limit 10""))"),10752.8)</f>
        <v>10752.8</v>
      </c>
      <c r="J946" s="17">
        <f>IFERROR(__xludf.DUMMYFUNCTION("AVERAGE(QUERY(SORT(GOOGLEFINANCE(B946,""price"",TODAY()-365,TODAY()),1,0),""select Col2 limit 30""))"),9621.566666666668)</f>
        <v>9621.566667</v>
      </c>
      <c r="K946" s="18">
        <f>IFERROR(__xludf.DUMMYFUNCTION("AVERAGE(QUERY(SORT(GOOGLEFINANCE(B946,""price"",TODAY()-365,TODAY()),1,0),""select Col2 limit 60""))"),9262.116666666667)</f>
        <v>9262.116667</v>
      </c>
      <c r="L946" s="17">
        <f>IFERROR(__xludf.DUMMYFUNCTION("AVERAGE(QUERY(SORT(GOOGLEFINANCE(B946,""price"",TODAY()-365,TODAY()),1,0),""select Col2 limit 90""))"),9462.783333333331)</f>
        <v>9462.783333</v>
      </c>
      <c r="M946" s="17">
        <f>IFERROR(__xludf.DUMMYFUNCTION("AVERAGE(QUERY(SORT(GOOGLEFINANCE(B946,""price"",TODAY()-365,TODAY()),1,0),""select Col2 limit 120""))"),9720.976666666666)</f>
        <v>9720.976667</v>
      </c>
      <c r="N946" s="19">
        <f>IFERROR(__xludf.DUMMYFUNCTION("AVERAGE(QUERY(SORT(GOOGLEFINANCE(B946,""price"",TODAY()-365,TODAY()),1,0),""select Col2 limit 200""))"),12045.718250000004)</f>
        <v>12045.71825</v>
      </c>
      <c r="O946" s="20" t="str">
        <f t="shared" si="2"/>
        <v>Avoid</v>
      </c>
      <c r="P946" s="21" t="str">
        <f t="shared" si="3"/>
        <v/>
      </c>
      <c r="Q946" s="21" t="str">
        <f t="shared" si="4"/>
        <v/>
      </c>
      <c r="R946" s="22">
        <f>IFERROR(__xludf.DUMMYFUNCTION("GOOGLEFINANCE(B946, ""pe"")
"),53.35)</f>
        <v>53.35</v>
      </c>
    </row>
    <row r="947">
      <c r="A947" s="9" t="s">
        <v>957</v>
      </c>
      <c r="B947" s="11" t="str">
        <f t="shared" si="1"/>
        <v>NSE:HINDWAREAP</v>
      </c>
      <c r="C947" s="12">
        <f>IFERROR(__xludf.DUMMYFUNCTION("GOOGLEFINANCE(B947,""marketcap"")/10000000"),2100.3601506)</f>
        <v>2100.360151</v>
      </c>
      <c r="D947" s="13">
        <f>IFERROR(__xludf.DUMMYFUNCTION("GOOGLEFINANCE(B947,""price"")"),251.65)</f>
        <v>251.65</v>
      </c>
      <c r="E947" s="14">
        <f>IFERROR(__xludf.DUMMYFUNCTION("GOOGLEFINANCE(B947,""Volume"")"),27836.0)</f>
        <v>27836</v>
      </c>
      <c r="F947" s="14">
        <f t="array" ref="F947">F946</f>
        <v>14</v>
      </c>
      <c r="G947" s="15" t="str">
        <f>IFERROR(__xludf.DUMMYFUNCTION("IF(E947&gt;AVERAGE(INDEX(GOOGLEFINANCE(B947,""volume"",WORKDAY(TODAY(),-$F$1),TODAY()),,2)),""Breakout"","""")"),"")</f>
        <v/>
      </c>
      <c r="H947" s="16">
        <f>IFERROR(__xludf.DUMMYFUNCTION("GOOGLEFINANCE(B947,""price"")"),251.65)</f>
        <v>251.65</v>
      </c>
      <c r="I947" s="17">
        <f>IFERROR(__xludf.DUMMYFUNCTION("AVERAGE(QUERY(SORT(GOOGLEFINANCE(B947,""price"",TODAY()-365,TODAY()),1,0),""select Col2 limit 10""))"),266.115)</f>
        <v>266.115</v>
      </c>
      <c r="J947" s="17">
        <f>IFERROR(__xludf.DUMMYFUNCTION("AVERAGE(QUERY(SORT(GOOGLEFINANCE(B947,""price"",TODAY()-365,TODAY()),1,0),""select Col2 limit 30""))"),279.43500000000006)</f>
        <v>279.435</v>
      </c>
      <c r="K947" s="18">
        <f>IFERROR(__xludf.DUMMYFUNCTION("AVERAGE(QUERY(SORT(GOOGLEFINANCE(B947,""price"",TODAY()-365,TODAY()),1,0),""select Col2 limit 60""))"),259.2905)</f>
        <v>259.2905</v>
      </c>
      <c r="L947" s="17">
        <f>IFERROR(__xludf.DUMMYFUNCTION("AVERAGE(QUERY(SORT(GOOGLEFINANCE(B947,""price"",TODAY()-365,TODAY()),1,0),""select Col2 limit 90""))"),239.28788888888897)</f>
        <v>239.2878889</v>
      </c>
      <c r="M947" s="17">
        <f>IFERROR(__xludf.DUMMYFUNCTION("AVERAGE(QUERY(SORT(GOOGLEFINANCE(B947,""price"",TODAY()-365,TODAY()),1,0),""select Col2 limit 120""))"),231.84025000000003)</f>
        <v>231.84025</v>
      </c>
      <c r="N947" s="19">
        <f>IFERROR(__xludf.DUMMYFUNCTION("AVERAGE(QUERY(SORT(GOOGLEFINANCE(B947,""price"",TODAY()-365,TODAY()),1,0),""select Col2 limit 200""))"),251.81900000000013)</f>
        <v>251.819</v>
      </c>
      <c r="O947" s="20" t="str">
        <f t="shared" si="2"/>
        <v>Avoid</v>
      </c>
      <c r="P947" s="21" t="str">
        <f t="shared" si="3"/>
        <v>200 DMA</v>
      </c>
      <c r="Q947" s="21" t="str">
        <f t="shared" si="4"/>
        <v/>
      </c>
      <c r="R947" s="22" t="str">
        <f>IFERROR(__xludf.DUMMYFUNCTION("GOOGLEFINANCE(B947, ""pe"")
"),"#N/A")</f>
        <v>#N/A</v>
      </c>
    </row>
    <row r="948">
      <c r="A948" s="9" t="s">
        <v>958</v>
      </c>
      <c r="B948" s="11" t="str">
        <f t="shared" si="1"/>
        <v>NSE:DPABHUSHAN</v>
      </c>
      <c r="C948" s="12">
        <f>IFERROR(__xludf.DUMMYFUNCTION("GOOGLEFINANCE(B948,""marketcap"")/10000000"),3766.8350234)</f>
        <v>3766.835023</v>
      </c>
      <c r="D948" s="13">
        <f>IFERROR(__xludf.DUMMYFUNCTION("GOOGLEFINANCE(B948,""price"")"),1651.5)</f>
        <v>1651.5</v>
      </c>
      <c r="E948" s="14">
        <f>IFERROR(__xludf.DUMMYFUNCTION("GOOGLEFINANCE(B948,""Volume"")"),16444.0)</f>
        <v>16444</v>
      </c>
      <c r="F948" s="14">
        <f t="array" ref="F948">F947</f>
        <v>14</v>
      </c>
      <c r="G948" s="15" t="str">
        <f>IFERROR(__xludf.DUMMYFUNCTION("IF(E948&gt;AVERAGE(INDEX(GOOGLEFINANCE(B948,""volume"",WORKDAY(TODAY(),-$F$1),TODAY()),,2)),""Breakout"","""")"),"")</f>
        <v/>
      </c>
      <c r="H948" s="16">
        <f>IFERROR(__xludf.DUMMYFUNCTION("GOOGLEFINANCE(B948,""price"")"),1651.5)</f>
        <v>1651.5</v>
      </c>
      <c r="I948" s="17">
        <f>IFERROR(__xludf.DUMMYFUNCTION("AVERAGE(QUERY(SORT(GOOGLEFINANCE(B948,""price"",TODAY()-365,TODAY()),1,0),""select Col2 limit 10""))"),1618.1799999999998)</f>
        <v>1618.18</v>
      </c>
      <c r="J948" s="17">
        <f>IFERROR(__xludf.DUMMYFUNCTION("AVERAGE(QUERY(SORT(GOOGLEFINANCE(B948,""price"",TODAY()-365,TODAY()),1,0),""select Col2 limit 30""))"),1509.496666666667)</f>
        <v>1509.496667</v>
      </c>
      <c r="K948" s="18">
        <f>IFERROR(__xludf.DUMMYFUNCTION("AVERAGE(QUERY(SORT(GOOGLEFINANCE(B948,""price"",TODAY()-365,TODAY()),1,0),""select Col2 limit 60""))"),1490.2616666666665)</f>
        <v>1490.261667</v>
      </c>
      <c r="L948" s="17">
        <f>IFERROR(__xludf.DUMMYFUNCTION("AVERAGE(QUERY(SORT(GOOGLEFINANCE(B948,""price"",TODAY()-365,TODAY()),1,0),""select Col2 limit 90""))"),1471.1922222222222)</f>
        <v>1471.192222</v>
      </c>
      <c r="M948" s="17">
        <f>IFERROR(__xludf.DUMMYFUNCTION("AVERAGE(QUERY(SORT(GOOGLEFINANCE(B948,""price"",TODAY()-365,TODAY()),1,0),""select Col2 limit 120""))"),1494.2904166666667)</f>
        <v>1494.290417</v>
      </c>
      <c r="N948" s="19">
        <f>IFERROR(__xludf.DUMMYFUNCTION("AVERAGE(QUERY(SORT(GOOGLEFINANCE(B948,""price"",TODAY()-365,TODAY()),1,0),""select Col2 limit 200""))"),1542.1309999999994)</f>
        <v>1542.131</v>
      </c>
      <c r="O948" s="20" t="str">
        <f t="shared" si="2"/>
        <v>Avoid</v>
      </c>
      <c r="P948" s="21" t="str">
        <f t="shared" si="3"/>
        <v/>
      </c>
      <c r="Q948" s="21" t="str">
        <f t="shared" si="4"/>
        <v/>
      </c>
      <c r="R948" s="22">
        <f>IFERROR(__xludf.DUMMYFUNCTION("GOOGLEFINANCE(B948, ""pe"")
"),33.02)</f>
        <v>33.02</v>
      </c>
    </row>
    <row r="949">
      <c r="A949" s="9" t="s">
        <v>959</v>
      </c>
      <c r="B949" s="11" t="str">
        <f t="shared" si="1"/>
        <v>NSE:KCP</v>
      </c>
      <c r="C949" s="12">
        <f>IFERROR(__xludf.DUMMYFUNCTION("GOOGLEFINANCE(B949,""marketcap"")/10000000"),2692.6461024)</f>
        <v>2692.646102</v>
      </c>
      <c r="D949" s="13">
        <f>IFERROR(__xludf.DUMMYFUNCTION("GOOGLEFINANCE(B949,""price"")"),208.86)</f>
        <v>208.86</v>
      </c>
      <c r="E949" s="14">
        <f>IFERROR(__xludf.DUMMYFUNCTION("GOOGLEFINANCE(B949,""Volume"")"),119958.0)</f>
        <v>119958</v>
      </c>
      <c r="F949" s="14">
        <f t="array" ref="F949">F948</f>
        <v>14</v>
      </c>
      <c r="G949" s="15" t="str">
        <f>IFERROR(__xludf.DUMMYFUNCTION("IF(E949&gt;AVERAGE(INDEX(GOOGLEFINANCE(B949,""volume"",WORKDAY(TODAY(),-$F$1),TODAY()),,2)),""Breakout"","""")"),"")</f>
        <v/>
      </c>
      <c r="H949" s="16">
        <f>IFERROR(__xludf.DUMMYFUNCTION("GOOGLEFINANCE(B949,""price"")"),208.86)</f>
        <v>208.86</v>
      </c>
      <c r="I949" s="17">
        <f>IFERROR(__xludf.DUMMYFUNCTION("AVERAGE(QUERY(SORT(GOOGLEFINANCE(B949,""price"",TODAY()-365,TODAY()),1,0),""select Col2 limit 10""))"),211.189)</f>
        <v>211.189</v>
      </c>
      <c r="J949" s="17">
        <f>IFERROR(__xludf.DUMMYFUNCTION("AVERAGE(QUERY(SORT(GOOGLEFINANCE(B949,""price"",TODAY()-365,TODAY()),1,0),""select Col2 limit 30""))"),204.9993333333333)</f>
        <v>204.9993333</v>
      </c>
      <c r="K949" s="18">
        <f>IFERROR(__xludf.DUMMYFUNCTION("AVERAGE(QUERY(SORT(GOOGLEFINANCE(B949,""price"",TODAY()-365,TODAY()),1,0),""select Col2 limit 60""))"),208.1286666666667)</f>
        <v>208.1286667</v>
      </c>
      <c r="L949" s="17">
        <f>IFERROR(__xludf.DUMMYFUNCTION("AVERAGE(QUERY(SORT(GOOGLEFINANCE(B949,""price"",TODAY()-365,TODAY()),1,0),""select Col2 limit 90""))"),206.47888888888895)</f>
        <v>206.4788889</v>
      </c>
      <c r="M949" s="17">
        <f>IFERROR(__xludf.DUMMYFUNCTION("AVERAGE(QUERY(SORT(GOOGLEFINANCE(B949,""price"",TODAY()-365,TODAY()),1,0),""select Col2 limit 120""))"),203.43541666666673)</f>
        <v>203.4354167</v>
      </c>
      <c r="N949" s="19">
        <f>IFERROR(__xludf.DUMMYFUNCTION("AVERAGE(QUERY(SORT(GOOGLEFINANCE(B949,""price"",TODAY()-365,TODAY()),1,0),""select Col2 limit 200""))"),214.42460000000014)</f>
        <v>214.4246</v>
      </c>
      <c r="O949" s="20" t="str">
        <f t="shared" si="2"/>
        <v>Avoid</v>
      </c>
      <c r="P949" s="21" t="str">
        <f t="shared" si="3"/>
        <v/>
      </c>
      <c r="Q949" s="21" t="str">
        <f t="shared" si="4"/>
        <v/>
      </c>
      <c r="R949" s="22">
        <f>IFERROR(__xludf.DUMMYFUNCTION("GOOGLEFINANCE(B949, ""pe"")
"),18.31)</f>
        <v>18.31</v>
      </c>
    </row>
    <row r="950">
      <c r="A950" s="9" t="s">
        <v>960</v>
      </c>
      <c r="B950" s="11" t="str">
        <f t="shared" si="1"/>
        <v>NSE:INDOCO</v>
      </c>
      <c r="C950" s="12">
        <f>IFERROR(__xludf.DUMMYFUNCTION("GOOGLEFINANCE(B950,""marketcap"")/10000000"),2862.4249248)</f>
        <v>2862.424925</v>
      </c>
      <c r="D950" s="13">
        <f>IFERROR(__xludf.DUMMYFUNCTION("GOOGLEFINANCE(B950,""price"")"),312.9)</f>
        <v>312.9</v>
      </c>
      <c r="E950" s="14">
        <f>IFERROR(__xludf.DUMMYFUNCTION("GOOGLEFINANCE(B950,""Volume"")"),28337.0)</f>
        <v>28337</v>
      </c>
      <c r="F950" s="14">
        <f t="array" ref="F950">F949</f>
        <v>14</v>
      </c>
      <c r="G950" s="15" t="str">
        <f>IFERROR(__xludf.DUMMYFUNCTION("IF(E950&gt;AVERAGE(INDEX(GOOGLEFINANCE(B950,""volume"",WORKDAY(TODAY(),-$F$1),TODAY()),,2)),""Breakout"","""")"),"")</f>
        <v/>
      </c>
      <c r="H950" s="16">
        <f>IFERROR(__xludf.DUMMYFUNCTION("GOOGLEFINANCE(B950,""price"")"),312.9)</f>
        <v>312.9</v>
      </c>
      <c r="I950" s="17">
        <f>IFERROR(__xludf.DUMMYFUNCTION("AVERAGE(QUERY(SORT(GOOGLEFINANCE(B950,""price"",TODAY()-365,TODAY()),1,0),""select Col2 limit 10""))"),323.005)</f>
        <v>323.005</v>
      </c>
      <c r="J950" s="17">
        <f>IFERROR(__xludf.DUMMYFUNCTION("AVERAGE(QUERY(SORT(GOOGLEFINANCE(B950,""price"",TODAY()-365,TODAY()),1,0),""select Col2 limit 30""))"),312.57166666666654)</f>
        <v>312.5716667</v>
      </c>
      <c r="K950" s="18">
        <f>IFERROR(__xludf.DUMMYFUNCTION("AVERAGE(QUERY(SORT(GOOGLEFINANCE(B950,""price"",TODAY()-365,TODAY()),1,0),""select Col2 limit 60""))"),285.839)</f>
        <v>285.839</v>
      </c>
      <c r="L950" s="17">
        <f>IFERROR(__xludf.DUMMYFUNCTION("AVERAGE(QUERY(SORT(GOOGLEFINANCE(B950,""price"",TODAY()-365,TODAY()),1,0),""select Col2 limit 90""))"),269.4996666666666)</f>
        <v>269.4996667</v>
      </c>
      <c r="M950" s="17">
        <f>IFERROR(__xludf.DUMMYFUNCTION("AVERAGE(QUERY(SORT(GOOGLEFINANCE(B950,""price"",TODAY()-365,TODAY()),1,0),""select Col2 limit 120""))"),262.40883333333335)</f>
        <v>262.4088333</v>
      </c>
      <c r="N950" s="19">
        <f>IFERROR(__xludf.DUMMYFUNCTION("AVERAGE(QUERY(SORT(GOOGLEFINANCE(B950,""price"",TODAY()-365,TODAY()),1,0),""select Col2 limit 200""))"),286.4720500000002)</f>
        <v>286.47205</v>
      </c>
      <c r="O950" s="20" t="str">
        <f t="shared" si="2"/>
        <v>Avoid</v>
      </c>
      <c r="P950" s="21" t="str">
        <f t="shared" si="3"/>
        <v/>
      </c>
      <c r="Q950" s="21" t="str">
        <f t="shared" si="4"/>
        <v/>
      </c>
      <c r="R950" s="22" t="str">
        <f>IFERROR(__xludf.DUMMYFUNCTION("GOOGLEFINANCE(B950, ""pe"")
"),"#N/A")</f>
        <v>#N/A</v>
      </c>
    </row>
    <row r="951">
      <c r="A951" s="9" t="s">
        <v>961</v>
      </c>
      <c r="B951" s="11" t="str">
        <f t="shared" si="1"/>
        <v>NSE:CARERATING</v>
      </c>
      <c r="C951" s="12">
        <f>IFERROR(__xludf.DUMMYFUNCTION("GOOGLEFINANCE(B951,""marketcap"")/10000000"),5246.4386316)</f>
        <v>5246.438632</v>
      </c>
      <c r="D951" s="13">
        <f>IFERROR(__xludf.DUMMYFUNCTION("GOOGLEFINANCE(B951,""price"")"),1752.0)</f>
        <v>1752</v>
      </c>
      <c r="E951" s="14">
        <f>IFERROR(__xludf.DUMMYFUNCTION("GOOGLEFINANCE(B951,""Volume"")"),30214.0)</f>
        <v>30214</v>
      </c>
      <c r="F951" s="14">
        <f t="array" ref="F951">F950</f>
        <v>14</v>
      </c>
      <c r="G951" s="15" t="str">
        <f>IFERROR(__xludf.DUMMYFUNCTION("IF(E951&gt;AVERAGE(INDEX(GOOGLEFINANCE(B951,""volume"",WORKDAY(TODAY(),-$F$1),TODAY()),,2)),""Breakout"","""")"),"")</f>
        <v/>
      </c>
      <c r="H951" s="16">
        <f>IFERROR(__xludf.DUMMYFUNCTION("GOOGLEFINANCE(B951,""price"")"),1752.0)</f>
        <v>1752</v>
      </c>
      <c r="I951" s="17">
        <f>IFERROR(__xludf.DUMMYFUNCTION("AVERAGE(QUERY(SORT(GOOGLEFINANCE(B951,""price"",TODAY()-365,TODAY()),1,0),""select Col2 limit 10""))"),1807.02)</f>
        <v>1807.02</v>
      </c>
      <c r="J951" s="17">
        <f>IFERROR(__xludf.DUMMYFUNCTION("AVERAGE(QUERY(SORT(GOOGLEFINANCE(B951,""price"",TODAY()-365,TODAY()),1,0),""select Col2 limit 30""))"),1817.386666666667)</f>
        <v>1817.386667</v>
      </c>
      <c r="K951" s="18">
        <f>IFERROR(__xludf.DUMMYFUNCTION("AVERAGE(QUERY(SORT(GOOGLEFINANCE(B951,""price"",TODAY()-365,TODAY()),1,0),""select Col2 limit 60""))"),1722.0483333333336)</f>
        <v>1722.048333</v>
      </c>
      <c r="L951" s="17">
        <f>IFERROR(__xludf.DUMMYFUNCTION("AVERAGE(QUERY(SORT(GOOGLEFINANCE(B951,""price"",TODAY()-365,TODAY()),1,0),""select Col2 limit 90""))"),1532.9627777777778)</f>
        <v>1532.962778</v>
      </c>
      <c r="M951" s="17">
        <f>IFERROR(__xludf.DUMMYFUNCTION("AVERAGE(QUERY(SORT(GOOGLEFINANCE(B951,""price"",TODAY()-365,TODAY()),1,0),""select Col2 limit 120""))"),1449.361666666667)</f>
        <v>1449.361667</v>
      </c>
      <c r="N951" s="19">
        <f>IFERROR(__xludf.DUMMYFUNCTION("AVERAGE(QUERY(SORT(GOOGLEFINANCE(B951,""price"",TODAY()-365,TODAY()),1,0),""select Col2 limit 200""))"),1409.9955)</f>
        <v>1409.9955</v>
      </c>
      <c r="O951" s="20" t="str">
        <f t="shared" si="2"/>
        <v>Avoid</v>
      </c>
      <c r="P951" s="21" t="str">
        <f t="shared" si="3"/>
        <v/>
      </c>
      <c r="Q951" s="21" t="str">
        <f t="shared" si="4"/>
        <v/>
      </c>
      <c r="R951" s="22">
        <f>IFERROR(__xludf.DUMMYFUNCTION("GOOGLEFINANCE(B951, ""pe"")
"),38.35)</f>
        <v>38.35</v>
      </c>
    </row>
    <row r="952">
      <c r="A952" s="9" t="s">
        <v>962</v>
      </c>
      <c r="B952" s="11" t="str">
        <f t="shared" si="1"/>
        <v>NSE:AUTOAXLES</v>
      </c>
      <c r="C952" s="12">
        <f>IFERROR(__xludf.DUMMYFUNCTION("GOOGLEFINANCE(B952,""marketcap"")/10000000"),2904.6717168)</f>
        <v>2904.671717</v>
      </c>
      <c r="D952" s="13">
        <f>IFERROR(__xludf.DUMMYFUNCTION("GOOGLEFINANCE(B952,""price"")"),1920.9)</f>
        <v>1920.9</v>
      </c>
      <c r="E952" s="14">
        <f>IFERROR(__xludf.DUMMYFUNCTION("GOOGLEFINANCE(B952,""Volume"")"),25949.0)</f>
        <v>25949</v>
      </c>
      <c r="F952" s="14">
        <f t="array" ref="F952">F951</f>
        <v>14</v>
      </c>
      <c r="G952" s="15" t="str">
        <f>IFERROR(__xludf.DUMMYFUNCTION("IF(E952&gt;AVERAGE(INDEX(GOOGLEFINANCE(B952,""volume"",WORKDAY(TODAY(),-$F$1),TODAY()),,2)),""Breakout"","""")"),"Breakout")</f>
        <v>Breakout</v>
      </c>
      <c r="H952" s="16">
        <f>IFERROR(__xludf.DUMMYFUNCTION("GOOGLEFINANCE(B952,""price"")"),1920.9)</f>
        <v>1920.9</v>
      </c>
      <c r="I952" s="17">
        <f>IFERROR(__xludf.DUMMYFUNCTION("AVERAGE(QUERY(SORT(GOOGLEFINANCE(B952,""price"",TODAY()-365,TODAY()),1,0),""select Col2 limit 10""))"),1814.9199999999996)</f>
        <v>1814.92</v>
      </c>
      <c r="J952" s="17">
        <f>IFERROR(__xludf.DUMMYFUNCTION("AVERAGE(QUERY(SORT(GOOGLEFINANCE(B952,""price"",TODAY()-365,TODAY()),1,0),""select Col2 limit 30""))"),1804.8099999999997)</f>
        <v>1804.81</v>
      </c>
      <c r="K952" s="18">
        <f>IFERROR(__xludf.DUMMYFUNCTION("AVERAGE(QUERY(SORT(GOOGLEFINANCE(B952,""price"",TODAY()-365,TODAY()),1,0),""select Col2 limit 60""))"),1772.7966666666666)</f>
        <v>1772.796667</v>
      </c>
      <c r="L952" s="17">
        <f>IFERROR(__xludf.DUMMYFUNCTION("AVERAGE(QUERY(SORT(GOOGLEFINANCE(B952,""price"",TODAY()-365,TODAY()),1,0),""select Col2 limit 90""))"),1732.8144444444442)</f>
        <v>1732.814444</v>
      </c>
      <c r="M952" s="17">
        <f>IFERROR(__xludf.DUMMYFUNCTION("AVERAGE(QUERY(SORT(GOOGLEFINANCE(B952,""price"",TODAY()-365,TODAY()),1,0),""select Col2 limit 120""))"),1719.5333333333326)</f>
        <v>1719.533333</v>
      </c>
      <c r="N952" s="19">
        <f>IFERROR(__xludf.DUMMYFUNCTION("AVERAGE(QUERY(SORT(GOOGLEFINANCE(B952,""price"",TODAY()-365,TODAY()),1,0),""select Col2 limit 200""))"),1750.137249999999)</f>
        <v>1750.13725</v>
      </c>
      <c r="O952" s="20" t="str">
        <f t="shared" si="2"/>
        <v>Avoid</v>
      </c>
      <c r="P952" s="21" t="str">
        <f t="shared" si="3"/>
        <v/>
      </c>
      <c r="Q952" s="21" t="str">
        <f t="shared" si="4"/>
        <v/>
      </c>
      <c r="R952" s="22">
        <f>IFERROR(__xludf.DUMMYFUNCTION("GOOGLEFINANCE(B952, ""pe"")
"),18.66)</f>
        <v>18.66</v>
      </c>
    </row>
    <row r="953">
      <c r="A953" s="9" t="s">
        <v>963</v>
      </c>
      <c r="B953" s="11" t="str">
        <f t="shared" si="1"/>
        <v>NSE:TIRUMALCHM</v>
      </c>
      <c r="C953" s="12">
        <f>IFERROR(__xludf.DUMMYFUNCTION("GOOGLEFINANCE(B953,""marketcap"")/10000000"),2986.126877)</f>
        <v>2986.126877</v>
      </c>
      <c r="D953" s="13">
        <f>IFERROR(__xludf.DUMMYFUNCTION("GOOGLEFINANCE(B953,""price"")"),292.05)</f>
        <v>292.05</v>
      </c>
      <c r="E953" s="14">
        <f>IFERROR(__xludf.DUMMYFUNCTION("GOOGLEFINANCE(B953,""Volume"")"),159406.0)</f>
        <v>159406</v>
      </c>
      <c r="F953" s="14">
        <f t="array" ref="F953">F952</f>
        <v>14</v>
      </c>
      <c r="G953" s="15" t="str">
        <f>IFERROR(__xludf.DUMMYFUNCTION("IF(E953&gt;AVERAGE(INDEX(GOOGLEFINANCE(B953,""volume"",WORKDAY(TODAY(),-$F$1),TODAY()),,2)),""Breakout"","""")"),"")</f>
        <v/>
      </c>
      <c r="H953" s="16">
        <f>IFERROR(__xludf.DUMMYFUNCTION("GOOGLEFINANCE(B953,""price"")"),292.05)</f>
        <v>292.05</v>
      </c>
      <c r="I953" s="17">
        <f>IFERROR(__xludf.DUMMYFUNCTION("AVERAGE(QUERY(SORT(GOOGLEFINANCE(B953,""price"",TODAY()-365,TODAY()),1,0),""select Col2 limit 10""))"),300.425)</f>
        <v>300.425</v>
      </c>
      <c r="J953" s="17">
        <f>IFERROR(__xludf.DUMMYFUNCTION("AVERAGE(QUERY(SORT(GOOGLEFINANCE(B953,""price"",TODAY()-365,TODAY()),1,0),""select Col2 limit 30""))"),292.69966666666664)</f>
        <v>292.6996667</v>
      </c>
      <c r="K953" s="18">
        <f>IFERROR(__xludf.DUMMYFUNCTION("AVERAGE(QUERY(SORT(GOOGLEFINANCE(B953,""price"",TODAY()-365,TODAY()),1,0),""select Col2 limit 60""))"),276.05299999999994)</f>
        <v>276.053</v>
      </c>
      <c r="L953" s="17">
        <f>IFERROR(__xludf.DUMMYFUNCTION("AVERAGE(QUERY(SORT(GOOGLEFINANCE(B953,""price"",TODAY()-365,TODAY()),1,0),""select Col2 limit 90""))"),268.35299999999995)</f>
        <v>268.353</v>
      </c>
      <c r="M953" s="17">
        <f>IFERROR(__xludf.DUMMYFUNCTION("AVERAGE(QUERY(SORT(GOOGLEFINANCE(B953,""price"",TODAY()-365,TODAY()),1,0),""select Col2 limit 120""))"),260.35633333333334)</f>
        <v>260.3563333</v>
      </c>
      <c r="N953" s="19">
        <f>IFERROR(__xludf.DUMMYFUNCTION("AVERAGE(QUERY(SORT(GOOGLEFINANCE(B953,""price"",TODAY()-365,TODAY()),1,0),""select Col2 limit 200""))"),285.8822999999999)</f>
        <v>285.8823</v>
      </c>
      <c r="O953" s="20" t="str">
        <f t="shared" si="2"/>
        <v>Avoid</v>
      </c>
      <c r="P953" s="21" t="str">
        <f t="shared" si="3"/>
        <v>30 DMA</v>
      </c>
      <c r="Q953" s="21" t="str">
        <f t="shared" si="4"/>
        <v/>
      </c>
      <c r="R953" s="22" t="str">
        <f>IFERROR(__xludf.DUMMYFUNCTION("GOOGLEFINANCE(B953, ""pe"")
"),"#N/A")</f>
        <v>#N/A</v>
      </c>
    </row>
    <row r="954">
      <c r="A954" s="9" t="s">
        <v>964</v>
      </c>
      <c r="B954" s="11" t="str">
        <f t="shared" si="1"/>
        <v>NSE:RPGLIFE</v>
      </c>
      <c r="C954" s="12">
        <f>IFERROR(__xludf.DUMMYFUNCTION("GOOGLEFINANCE(B954,""marketcap"")/10000000"),3805.9569004)</f>
        <v>3805.9569</v>
      </c>
      <c r="D954" s="13">
        <f>IFERROR(__xludf.DUMMYFUNCTION("GOOGLEFINANCE(B954,""price"")"),2301.8)</f>
        <v>2301.8</v>
      </c>
      <c r="E954" s="14">
        <f>IFERROR(__xludf.DUMMYFUNCTION("GOOGLEFINANCE(B954,""Volume"")"),96536.0)</f>
        <v>96536</v>
      </c>
      <c r="F954" s="14">
        <f t="array" ref="F954">F953</f>
        <v>14</v>
      </c>
      <c r="G954" s="15" t="str">
        <f>IFERROR(__xludf.DUMMYFUNCTION("IF(E954&gt;AVERAGE(INDEX(GOOGLEFINANCE(B954,""volume"",WORKDAY(TODAY(),-$F$1),TODAY()),,2)),""Breakout"","""")"),"Breakout")</f>
        <v>Breakout</v>
      </c>
      <c r="H954" s="16">
        <f>IFERROR(__xludf.DUMMYFUNCTION("GOOGLEFINANCE(B954,""price"")"),2301.8)</f>
        <v>2301.8</v>
      </c>
      <c r="I954" s="17">
        <f>IFERROR(__xludf.DUMMYFUNCTION("AVERAGE(QUERY(SORT(GOOGLEFINANCE(B954,""price"",TODAY()-365,TODAY()),1,0),""select Col2 limit 10""))"),2544.5099999999998)</f>
        <v>2544.51</v>
      </c>
      <c r="J954" s="17">
        <f>IFERROR(__xludf.DUMMYFUNCTION("AVERAGE(QUERY(SORT(GOOGLEFINANCE(B954,""price"",TODAY()-365,TODAY()),1,0),""select Col2 limit 30""))"),2490.0766666666673)</f>
        <v>2490.076667</v>
      </c>
      <c r="K954" s="18">
        <f>IFERROR(__xludf.DUMMYFUNCTION("AVERAGE(QUERY(SORT(GOOGLEFINANCE(B954,""price"",TODAY()-365,TODAY()),1,0),""select Col2 limit 60""))"),2319.458333333334)</f>
        <v>2319.458333</v>
      </c>
      <c r="L954" s="17">
        <f>IFERROR(__xludf.DUMMYFUNCTION("AVERAGE(QUERY(SORT(GOOGLEFINANCE(B954,""price"",TODAY()-365,TODAY()),1,0),""select Col2 limit 90""))"),2281.3711111111115)</f>
        <v>2281.371111</v>
      </c>
      <c r="M954" s="17">
        <f>IFERROR(__xludf.DUMMYFUNCTION("AVERAGE(QUERY(SORT(GOOGLEFINANCE(B954,""price"",TODAY()-365,TODAY()),1,0),""select Col2 limit 120""))"),2278.425833333334)</f>
        <v>2278.425833</v>
      </c>
      <c r="N954" s="19">
        <f>IFERROR(__xludf.DUMMYFUNCTION("AVERAGE(QUERY(SORT(GOOGLEFINANCE(B954,""price"",TODAY()-365,TODAY()),1,0),""select Col2 limit 200""))"),2295.15825)</f>
        <v>2295.15825</v>
      </c>
      <c r="O954" s="20" t="str">
        <f t="shared" si="2"/>
        <v>Avoid</v>
      </c>
      <c r="P954" s="21" t="str">
        <f t="shared" si="3"/>
        <v>60 DMA</v>
      </c>
      <c r="Q954" s="21" t="str">
        <f t="shared" si="4"/>
        <v/>
      </c>
      <c r="R954" s="22">
        <f>IFERROR(__xludf.DUMMYFUNCTION("GOOGLEFINANCE(B954, ""pe"")
"),20.65)</f>
        <v>20.65</v>
      </c>
    </row>
    <row r="955">
      <c r="A955" s="9" t="s">
        <v>965</v>
      </c>
      <c r="B955" s="11" t="str">
        <f t="shared" si="1"/>
        <v>NSE:ARTEMISMED</v>
      </c>
      <c r="C955" s="12">
        <f>IFERROR(__xludf.DUMMYFUNCTION("GOOGLEFINANCE(B955,""marketcap"")/10000000"),3305.1969532)</f>
        <v>3305.196953</v>
      </c>
      <c r="D955" s="13">
        <f>IFERROR(__xludf.DUMMYFUNCTION("GOOGLEFINANCE(B955,""price"")"),237.35)</f>
        <v>237.35</v>
      </c>
      <c r="E955" s="14">
        <f>IFERROR(__xludf.DUMMYFUNCTION("GOOGLEFINANCE(B955,""Volume"")"),30156.0)</f>
        <v>30156</v>
      </c>
      <c r="F955" s="14">
        <f t="array" ref="F955">F954</f>
        <v>14</v>
      </c>
      <c r="G955" s="15" t="str">
        <f>IFERROR(__xludf.DUMMYFUNCTION("IF(E955&gt;AVERAGE(INDEX(GOOGLEFINANCE(B955,""volume"",WORKDAY(TODAY(),-$F$1),TODAY()),,2)),""Breakout"","""")"),"")</f>
        <v/>
      </c>
      <c r="H955" s="16">
        <f>IFERROR(__xludf.DUMMYFUNCTION("GOOGLEFINANCE(B955,""price"")"),237.35)</f>
        <v>237.35</v>
      </c>
      <c r="I955" s="17">
        <f>IFERROR(__xludf.DUMMYFUNCTION("AVERAGE(QUERY(SORT(GOOGLEFINANCE(B955,""price"",TODAY()-365,TODAY()),1,0),""select Col2 limit 10""))"),245.8)</f>
        <v>245.8</v>
      </c>
      <c r="J955" s="17">
        <f>IFERROR(__xludf.DUMMYFUNCTION("AVERAGE(QUERY(SORT(GOOGLEFINANCE(B955,""price"",TODAY()-365,TODAY()),1,0),""select Col2 limit 30""))"),249.8233333333333)</f>
        <v>249.8233333</v>
      </c>
      <c r="K955" s="18">
        <f>IFERROR(__xludf.DUMMYFUNCTION("AVERAGE(QUERY(SORT(GOOGLEFINANCE(B955,""price"",TODAY()-365,TODAY()),1,0),""select Col2 limit 60""))"),254.4225)</f>
        <v>254.4225</v>
      </c>
      <c r="L955" s="17">
        <f>IFERROR(__xludf.DUMMYFUNCTION("AVERAGE(QUERY(SORT(GOOGLEFINANCE(B955,""price"",TODAY()-365,TODAY()),1,0),""select Col2 limit 90""))"),259.11077777777786)</f>
        <v>259.1107778</v>
      </c>
      <c r="M955" s="17">
        <f>IFERROR(__xludf.DUMMYFUNCTION("AVERAGE(QUERY(SORT(GOOGLEFINANCE(B955,""price"",TODAY()-365,TODAY()),1,0),""select Col2 limit 120""))"),260.05708333333337)</f>
        <v>260.0570833</v>
      </c>
      <c r="N955" s="19">
        <f>IFERROR(__xludf.DUMMYFUNCTION("AVERAGE(QUERY(SORT(GOOGLEFINANCE(B955,""price"",TODAY()-365,TODAY()),1,0),""select Col2 limit 200""))"),277.3507500000002)</f>
        <v>277.35075</v>
      </c>
      <c r="O955" s="20" t="str">
        <f t="shared" si="2"/>
        <v>Avoid</v>
      </c>
      <c r="P955" s="21" t="str">
        <f t="shared" si="3"/>
        <v/>
      </c>
      <c r="Q955" s="21" t="str">
        <f t="shared" si="4"/>
        <v/>
      </c>
      <c r="R955" s="22">
        <f>IFERROR(__xludf.DUMMYFUNCTION("GOOGLEFINANCE(B955, ""pe"")
"),44.83)</f>
        <v>44.83</v>
      </c>
    </row>
    <row r="956">
      <c r="A956" s="9" t="s">
        <v>966</v>
      </c>
      <c r="B956" s="11" t="str">
        <f t="shared" si="1"/>
        <v>NSE:SAKSOFT</v>
      </c>
      <c r="C956" s="12">
        <f>IFERROR(__xludf.DUMMYFUNCTION("GOOGLEFINANCE(B956,""marketcap"")/10000000"),2687.7194781)</f>
        <v>2687.719478</v>
      </c>
      <c r="D956" s="13">
        <f>IFERROR(__xludf.DUMMYFUNCTION("GOOGLEFINANCE(B956,""price"")"),210.89)</f>
        <v>210.89</v>
      </c>
      <c r="E956" s="14">
        <f>IFERROR(__xludf.DUMMYFUNCTION("GOOGLEFINANCE(B956,""Volume"")"),245655.0)</f>
        <v>245655</v>
      </c>
      <c r="F956" s="14">
        <f t="array" ref="F956">F955</f>
        <v>14</v>
      </c>
      <c r="G956" s="15" t="str">
        <f>IFERROR(__xludf.DUMMYFUNCTION("IF(E956&gt;AVERAGE(INDEX(GOOGLEFINANCE(B956,""volume"",WORKDAY(TODAY(),-$F$1),TODAY()),,2)),""Breakout"","""")"),"")</f>
        <v/>
      </c>
      <c r="H956" s="16">
        <f>IFERROR(__xludf.DUMMYFUNCTION("GOOGLEFINANCE(B956,""price"")"),210.89)</f>
        <v>210.89</v>
      </c>
      <c r="I956" s="17">
        <f>IFERROR(__xludf.DUMMYFUNCTION("AVERAGE(QUERY(SORT(GOOGLEFINANCE(B956,""price"",TODAY()-365,TODAY()),1,0),""select Col2 limit 10""))"),232.346)</f>
        <v>232.346</v>
      </c>
      <c r="J956" s="17">
        <f>IFERROR(__xludf.DUMMYFUNCTION("AVERAGE(QUERY(SORT(GOOGLEFINANCE(B956,""price"",TODAY()-365,TODAY()),1,0),""select Col2 limit 30""))"),217.57866666666663)</f>
        <v>217.5786667</v>
      </c>
      <c r="K956" s="18">
        <f>IFERROR(__xludf.DUMMYFUNCTION("AVERAGE(QUERY(SORT(GOOGLEFINANCE(B956,""price"",TODAY()-365,TODAY()),1,0),""select Col2 limit 60""))"),201.22066666666666)</f>
        <v>201.2206667</v>
      </c>
      <c r="L956" s="17">
        <f>IFERROR(__xludf.DUMMYFUNCTION("AVERAGE(QUERY(SORT(GOOGLEFINANCE(B956,""price"",TODAY()-365,TODAY()),1,0),""select Col2 limit 90""))"),185.66855555555554)</f>
        <v>185.6685556</v>
      </c>
      <c r="M956" s="17">
        <f>IFERROR(__xludf.DUMMYFUNCTION("AVERAGE(QUERY(SORT(GOOGLEFINANCE(B956,""price"",TODAY()-365,TODAY()),1,0),""select Col2 limit 120""))"),184.09049999999996)</f>
        <v>184.0905</v>
      </c>
      <c r="N956" s="19">
        <f>IFERROR(__xludf.DUMMYFUNCTION("AVERAGE(QUERY(SORT(GOOGLEFINANCE(B956,""price"",TODAY()-365,TODAY()),1,0),""select Col2 limit 200""))"),199.53114999999994)</f>
        <v>199.53115</v>
      </c>
      <c r="O956" s="20" t="str">
        <f t="shared" si="2"/>
        <v>Avoid</v>
      </c>
      <c r="P956" s="21" t="str">
        <f t="shared" si="3"/>
        <v/>
      </c>
      <c r="Q956" s="21" t="str">
        <f t="shared" si="4"/>
        <v/>
      </c>
      <c r="R956" s="22">
        <f>IFERROR(__xludf.DUMMYFUNCTION("GOOGLEFINANCE(B956, ""pe"")
"),25.76)</f>
        <v>25.76</v>
      </c>
    </row>
    <row r="957">
      <c r="A957" s="9" t="s">
        <v>967</v>
      </c>
      <c r="B957" s="11" t="str">
        <f t="shared" si="1"/>
        <v>NSE:MARATHON</v>
      </c>
      <c r="C957" s="12">
        <f>IFERROR(__xludf.DUMMYFUNCTION("GOOGLEFINANCE(B957,""marketcap"")/10000000"),4469.981802)</f>
        <v>4469.981802</v>
      </c>
      <c r="D957" s="13">
        <f>IFERROR(__xludf.DUMMYFUNCTION("GOOGLEFINANCE(B957,""price"")"),662.6)</f>
        <v>662.6</v>
      </c>
      <c r="E957" s="14">
        <f>IFERROR(__xludf.DUMMYFUNCTION("GOOGLEFINANCE(B957,""Volume"")"),128734.0)</f>
        <v>128734</v>
      </c>
      <c r="F957" s="14">
        <f t="array" ref="F957">F956</f>
        <v>14</v>
      </c>
      <c r="G957" s="15" t="str">
        <f>IFERROR(__xludf.DUMMYFUNCTION("IF(E957&gt;AVERAGE(INDEX(GOOGLEFINANCE(B957,""volume"",WORKDAY(TODAY(),-$F$1),TODAY()),,2)),""Breakout"","""")"),"")</f>
        <v/>
      </c>
      <c r="H957" s="16">
        <f>IFERROR(__xludf.DUMMYFUNCTION("GOOGLEFINANCE(B957,""price"")"),662.6)</f>
        <v>662.6</v>
      </c>
      <c r="I957" s="17">
        <f>IFERROR(__xludf.DUMMYFUNCTION("AVERAGE(QUERY(SORT(GOOGLEFINANCE(B957,""price"",TODAY()-365,TODAY()),1,0),""select Col2 limit 10""))"),732.605)</f>
        <v>732.605</v>
      </c>
      <c r="J957" s="17">
        <f>IFERROR(__xludf.DUMMYFUNCTION("AVERAGE(QUERY(SORT(GOOGLEFINANCE(B957,""price"",TODAY()-365,TODAY()),1,0),""select Col2 limit 30""))"),673.0183333333332)</f>
        <v>673.0183333</v>
      </c>
      <c r="K957" s="18">
        <f>IFERROR(__xludf.DUMMYFUNCTION("AVERAGE(QUERY(SORT(GOOGLEFINANCE(B957,""price"",TODAY()-365,TODAY()),1,0),""select Col2 limit 60""))"),597.6624999999999)</f>
        <v>597.6625</v>
      </c>
      <c r="L957" s="17">
        <f>IFERROR(__xludf.DUMMYFUNCTION("AVERAGE(QUERY(SORT(GOOGLEFINANCE(B957,""price"",TODAY()-365,TODAY()),1,0),""select Col2 limit 90""))"),564.3977777777777)</f>
        <v>564.3977778</v>
      </c>
      <c r="M957" s="17">
        <f>IFERROR(__xludf.DUMMYFUNCTION("AVERAGE(QUERY(SORT(GOOGLEFINANCE(B957,""price"",TODAY()-365,TODAY()),1,0),""select Col2 limit 120""))"),541.0958333333333)</f>
        <v>541.0958333</v>
      </c>
      <c r="N957" s="19">
        <f>IFERROR(__xludf.DUMMYFUNCTION("AVERAGE(QUERY(SORT(GOOGLEFINANCE(B957,""price"",TODAY()-365,TODAY()),1,0),""select Col2 limit 200""))"),567.3009999999998)</f>
        <v>567.301</v>
      </c>
      <c r="O957" s="20" t="str">
        <f t="shared" si="2"/>
        <v>Avoid</v>
      </c>
      <c r="P957" s="21" t="str">
        <f t="shared" si="3"/>
        <v/>
      </c>
      <c r="Q957" s="21" t="str">
        <f t="shared" si="4"/>
        <v/>
      </c>
      <c r="R957" s="22">
        <f>IFERROR(__xludf.DUMMYFUNCTION("GOOGLEFINANCE(B957, ""pe"")
"),17.83)</f>
        <v>17.83</v>
      </c>
    </row>
    <row r="958">
      <c r="A958" s="9" t="s">
        <v>968</v>
      </c>
      <c r="B958" s="11" t="str">
        <f t="shared" si="1"/>
        <v>NSE:UNIVCABLES</v>
      </c>
      <c r="C958" s="12">
        <f>IFERROR(__xludf.DUMMYFUNCTION("GOOGLEFINANCE(B958,""marketcap"")/10000000"),2482.6278735)</f>
        <v>2482.627874</v>
      </c>
      <c r="D958" s="13">
        <f>IFERROR(__xludf.DUMMYFUNCTION("GOOGLEFINANCE(B958,""price"")"),715.55)</f>
        <v>715.55</v>
      </c>
      <c r="E958" s="14">
        <f>IFERROR(__xludf.DUMMYFUNCTION("GOOGLEFINANCE(B958,""Volume"")"),19835.0)</f>
        <v>19835</v>
      </c>
      <c r="F958" s="14">
        <f t="array" ref="F958">F957</f>
        <v>14</v>
      </c>
      <c r="G958" s="15" t="str">
        <f>IFERROR(__xludf.DUMMYFUNCTION("IF(E958&gt;AVERAGE(INDEX(GOOGLEFINANCE(B958,""volume"",WORKDAY(TODAY(),-$F$1),TODAY()),,2)),""Breakout"","""")"),"")</f>
        <v/>
      </c>
      <c r="H958" s="16">
        <f>IFERROR(__xludf.DUMMYFUNCTION("GOOGLEFINANCE(B958,""price"")"),715.55)</f>
        <v>715.55</v>
      </c>
      <c r="I958" s="17">
        <f>IFERROR(__xludf.DUMMYFUNCTION("AVERAGE(QUERY(SORT(GOOGLEFINANCE(B958,""price"",TODAY()-365,TODAY()),1,0),""select Col2 limit 10""))"),764.525)</f>
        <v>764.525</v>
      </c>
      <c r="J958" s="17">
        <f>IFERROR(__xludf.DUMMYFUNCTION("AVERAGE(QUERY(SORT(GOOGLEFINANCE(B958,""price"",TODAY()-365,TODAY()),1,0),""select Col2 limit 30""))"),750.0116666666667)</f>
        <v>750.0116667</v>
      </c>
      <c r="K958" s="18">
        <f>IFERROR(__xludf.DUMMYFUNCTION("AVERAGE(QUERY(SORT(GOOGLEFINANCE(B958,""price"",TODAY()-365,TODAY()),1,0),""select Col2 limit 60""))"),663.8966666666666)</f>
        <v>663.8966667</v>
      </c>
      <c r="L958" s="17">
        <f>IFERROR(__xludf.DUMMYFUNCTION("AVERAGE(QUERY(SORT(GOOGLEFINANCE(B958,""price"",TODAY()-365,TODAY()),1,0),""select Col2 limit 90""))"),598.6105555555557)</f>
        <v>598.6105556</v>
      </c>
      <c r="M958" s="17">
        <f>IFERROR(__xludf.DUMMYFUNCTION("AVERAGE(QUERY(SORT(GOOGLEFINANCE(B958,""price"",TODAY()-365,TODAY()),1,0),""select Col2 limit 120""))"),585.4191666666668)</f>
        <v>585.4191667</v>
      </c>
      <c r="N958" s="19">
        <f>IFERROR(__xludf.DUMMYFUNCTION("AVERAGE(QUERY(SORT(GOOGLEFINANCE(B958,""price"",TODAY()-365,TODAY()),1,0),""select Col2 limit 200""))"),625.2540000000001)</f>
        <v>625.254</v>
      </c>
      <c r="O958" s="20" t="str">
        <f t="shared" si="2"/>
        <v>Avoid</v>
      </c>
      <c r="P958" s="21" t="str">
        <f t="shared" si="3"/>
        <v/>
      </c>
      <c r="Q958" s="21" t="str">
        <f t="shared" si="4"/>
        <v/>
      </c>
      <c r="R958" s="22">
        <f>IFERROR(__xludf.DUMMYFUNCTION("GOOGLEFINANCE(B958, ""pe"")
"),27.73)</f>
        <v>27.73</v>
      </c>
    </row>
    <row r="959">
      <c r="A959" s="9" t="s">
        <v>969</v>
      </c>
      <c r="B959" s="11" t="str">
        <f t="shared" si="1"/>
        <v>NSE:HLEGLAS</v>
      </c>
      <c r="C959" s="12">
        <f>IFERROR(__xludf.DUMMYFUNCTION("GOOGLEFINANCE(B959,""marketcap"")/10000000"),2994.8062522)</f>
        <v>2994.806252</v>
      </c>
      <c r="D959" s="13">
        <f>IFERROR(__xludf.DUMMYFUNCTION("GOOGLEFINANCE(B959,""price"")"),438.05)</f>
        <v>438.05</v>
      </c>
      <c r="E959" s="14">
        <f>IFERROR(__xludf.DUMMYFUNCTION("GOOGLEFINANCE(B959,""Volume"")"),105946.0)</f>
        <v>105946</v>
      </c>
      <c r="F959" s="14">
        <f t="array" ref="F959">F958</f>
        <v>14</v>
      </c>
      <c r="G959" s="15" t="str">
        <f>IFERROR(__xludf.DUMMYFUNCTION("IF(E959&gt;AVERAGE(INDEX(GOOGLEFINANCE(B959,""volume"",WORKDAY(TODAY(),-$F$1),TODAY()),,2)),""Breakout"","""")"),"")</f>
        <v/>
      </c>
      <c r="H959" s="16">
        <f>IFERROR(__xludf.DUMMYFUNCTION("GOOGLEFINANCE(B959,""price"")"),438.05)</f>
        <v>438.05</v>
      </c>
      <c r="I959" s="17">
        <f>IFERROR(__xludf.DUMMYFUNCTION("AVERAGE(QUERY(SORT(GOOGLEFINANCE(B959,""price"",TODAY()-365,TODAY()),1,0),""select Col2 limit 10""))"),420.4200000000001)</f>
        <v>420.42</v>
      </c>
      <c r="J959" s="17">
        <f>IFERROR(__xludf.DUMMYFUNCTION("AVERAGE(QUERY(SORT(GOOGLEFINANCE(B959,""price"",TODAY()-365,TODAY()),1,0),""select Col2 limit 30""))"),434.8016666666667)</f>
        <v>434.8016667</v>
      </c>
      <c r="K959" s="18">
        <f>IFERROR(__xludf.DUMMYFUNCTION("AVERAGE(QUERY(SORT(GOOGLEFINANCE(B959,""price"",TODAY()-365,TODAY()),1,0),""select Col2 limit 60""))"),401.33833333333325)</f>
        <v>401.3383333</v>
      </c>
      <c r="L959" s="17">
        <f>IFERROR(__xludf.DUMMYFUNCTION("AVERAGE(QUERY(SORT(GOOGLEFINANCE(B959,""price"",TODAY()-365,TODAY()),1,0),""select Col2 limit 90""))"),355.3168888888887)</f>
        <v>355.3168889</v>
      </c>
      <c r="M959" s="17">
        <f>IFERROR(__xludf.DUMMYFUNCTION("AVERAGE(QUERY(SORT(GOOGLEFINANCE(B959,""price"",TODAY()-365,TODAY()),1,0),""select Col2 limit 120""))"),335.01433333333324)</f>
        <v>335.0143333</v>
      </c>
      <c r="N959" s="19">
        <f>IFERROR(__xludf.DUMMYFUNCTION("AVERAGE(QUERY(SORT(GOOGLEFINANCE(B959,""price"",TODAY()-365,TODAY()),1,0),""select Col2 limit 200""))"),349.64834999999994)</f>
        <v>349.64835</v>
      </c>
      <c r="O959" s="20" t="str">
        <f t="shared" si="2"/>
        <v>Avoid</v>
      </c>
      <c r="P959" s="21" t="str">
        <f t="shared" si="3"/>
        <v/>
      </c>
      <c r="Q959" s="21" t="str">
        <f t="shared" si="4"/>
        <v/>
      </c>
      <c r="R959" s="22">
        <f>IFERROR(__xludf.DUMMYFUNCTION("GOOGLEFINANCE(B959, ""pe"")
"),48.48)</f>
        <v>48.48</v>
      </c>
    </row>
    <row r="960">
      <c r="A960" s="9" t="s">
        <v>970</v>
      </c>
      <c r="B960" s="11" t="str">
        <f t="shared" si="1"/>
        <v>NSE:RAJRATAN</v>
      </c>
      <c r="C960" s="12">
        <f>IFERROR(__xludf.DUMMYFUNCTION("GOOGLEFINANCE(B960,""marketcap"")/10000000"),2039.724925)</f>
        <v>2039.724925</v>
      </c>
      <c r="D960" s="13">
        <f>IFERROR(__xludf.DUMMYFUNCTION("GOOGLEFINANCE(B960,""price"")"),402.4)</f>
        <v>402.4</v>
      </c>
      <c r="E960" s="14">
        <f>IFERROR(__xludf.DUMMYFUNCTION("GOOGLEFINANCE(B960,""Volume"")"),10546.0)</f>
        <v>10546</v>
      </c>
      <c r="F960" s="14">
        <f t="array" ref="F960">F959</f>
        <v>14</v>
      </c>
      <c r="G960" s="15" t="str">
        <f>IFERROR(__xludf.DUMMYFUNCTION("IF(E960&gt;AVERAGE(INDEX(GOOGLEFINANCE(B960,""volume"",WORKDAY(TODAY(),-$F$1),TODAY()),,2)),""Breakout"","""")"),"")</f>
        <v/>
      </c>
      <c r="H960" s="16">
        <f>IFERROR(__xludf.DUMMYFUNCTION("GOOGLEFINANCE(B960,""price"")"),402.4)</f>
        <v>402.4</v>
      </c>
      <c r="I960" s="17">
        <f>IFERROR(__xludf.DUMMYFUNCTION("AVERAGE(QUERY(SORT(GOOGLEFINANCE(B960,""price"",TODAY()-365,TODAY()),1,0),""select Col2 limit 10""))"),414.32)</f>
        <v>414.32</v>
      </c>
      <c r="J960" s="17">
        <f>IFERROR(__xludf.DUMMYFUNCTION("AVERAGE(QUERY(SORT(GOOGLEFINANCE(B960,""price"",TODAY()-365,TODAY()),1,0),""select Col2 limit 30""))"),415.3300000000001)</f>
        <v>415.33</v>
      </c>
      <c r="K960" s="18">
        <f>IFERROR(__xludf.DUMMYFUNCTION("AVERAGE(QUERY(SORT(GOOGLEFINANCE(B960,""price"",TODAY()-365,TODAY()),1,0),""select Col2 limit 60""))"),415.6025)</f>
        <v>415.6025</v>
      </c>
      <c r="L960" s="17">
        <f>IFERROR(__xludf.DUMMYFUNCTION("AVERAGE(QUERY(SORT(GOOGLEFINANCE(B960,""price"",TODAY()-365,TODAY()),1,0),""select Col2 limit 90""))"),387.4627777777779)</f>
        <v>387.4627778</v>
      </c>
      <c r="M960" s="17">
        <f>IFERROR(__xludf.DUMMYFUNCTION("AVERAGE(QUERY(SORT(GOOGLEFINANCE(B960,""price"",TODAY()-365,TODAY()),1,0),""select Col2 limit 120""))"),384.5816666666667)</f>
        <v>384.5816667</v>
      </c>
      <c r="N960" s="19">
        <f>IFERROR(__xludf.DUMMYFUNCTION("AVERAGE(QUERY(SORT(GOOGLEFINANCE(B960,""price"",TODAY()-365,TODAY()),1,0),""select Col2 limit 200""))"),433.8504999999998)</f>
        <v>433.8505</v>
      </c>
      <c r="O960" s="20" t="str">
        <f t="shared" si="2"/>
        <v>Avoid</v>
      </c>
      <c r="P960" s="21" t="str">
        <f t="shared" si="3"/>
        <v/>
      </c>
      <c r="Q960" s="21" t="str">
        <f t="shared" si="4"/>
        <v/>
      </c>
      <c r="R960" s="22">
        <f>IFERROR(__xludf.DUMMYFUNCTION("GOOGLEFINANCE(B960, ""pe"")
"),35.78)</f>
        <v>35.78</v>
      </c>
    </row>
    <row r="961">
      <c r="A961" s="9" t="s">
        <v>971</v>
      </c>
      <c r="B961" s="11" t="str">
        <f t="shared" si="1"/>
        <v>NSE:GOODLUCK</v>
      </c>
      <c r="C961" s="12">
        <f>IFERROR(__xludf.DUMMYFUNCTION("GOOGLEFINANCE(B961,""marketcap"")/10000000"),3439.521177)</f>
        <v>3439.521177</v>
      </c>
      <c r="D961" s="13">
        <f>IFERROR(__xludf.DUMMYFUNCTION("GOOGLEFINANCE(B961,""price"")"),1028.5)</f>
        <v>1028.5</v>
      </c>
      <c r="E961" s="14">
        <f>IFERROR(__xludf.DUMMYFUNCTION("GOOGLEFINANCE(B961,""Volume"")"),75174.0)</f>
        <v>75174</v>
      </c>
      <c r="F961" s="14">
        <f t="array" ref="F961">F960</f>
        <v>14</v>
      </c>
      <c r="G961" s="15" t="str">
        <f>IFERROR(__xludf.DUMMYFUNCTION("IF(E961&gt;AVERAGE(INDEX(GOOGLEFINANCE(B961,""volume"",WORKDAY(TODAY(),-$F$1),TODAY()),,2)),""Breakout"","""")"),"")</f>
        <v/>
      </c>
      <c r="H961" s="16">
        <f>IFERROR(__xludf.DUMMYFUNCTION("GOOGLEFINANCE(B961,""price"")"),1028.5)</f>
        <v>1028.5</v>
      </c>
      <c r="I961" s="17">
        <f>IFERROR(__xludf.DUMMYFUNCTION("AVERAGE(QUERY(SORT(GOOGLEFINANCE(B961,""price"",TODAY()-365,TODAY()),1,0),""select Col2 limit 10""))"),1118.84)</f>
        <v>1118.84</v>
      </c>
      <c r="J961" s="17">
        <f>IFERROR(__xludf.DUMMYFUNCTION("AVERAGE(QUERY(SORT(GOOGLEFINANCE(B961,""price"",TODAY()-365,TODAY()),1,0),""select Col2 limit 30""))"),1118.1816666666666)</f>
        <v>1118.181667</v>
      </c>
      <c r="K961" s="18">
        <f>IFERROR(__xludf.DUMMYFUNCTION("AVERAGE(QUERY(SORT(GOOGLEFINANCE(B961,""price"",TODAY()-365,TODAY()),1,0),""select Col2 limit 60""))"),999.9716666666665)</f>
        <v>999.9716667</v>
      </c>
      <c r="L961" s="17">
        <f>IFERROR(__xludf.DUMMYFUNCTION("AVERAGE(QUERY(SORT(GOOGLEFINANCE(B961,""price"",TODAY()-365,TODAY()),1,0),""select Col2 limit 90""))"),911.1149999999998)</f>
        <v>911.115</v>
      </c>
      <c r="M961" s="17">
        <f>IFERROR(__xludf.DUMMYFUNCTION("AVERAGE(QUERY(SORT(GOOGLEFINANCE(B961,""price"",TODAY()-365,TODAY()),1,0),""select Col2 limit 120""))"),864.6612499999997)</f>
        <v>864.66125</v>
      </c>
      <c r="N961" s="19">
        <f>IFERROR(__xludf.DUMMYFUNCTION("AVERAGE(QUERY(SORT(GOOGLEFINANCE(B961,""price"",TODAY()-365,TODAY()),1,0),""select Col2 limit 200""))"),903.5234999999998)</f>
        <v>903.5235</v>
      </c>
      <c r="O961" s="20" t="str">
        <f t="shared" si="2"/>
        <v>Avoid</v>
      </c>
      <c r="P961" s="21" t="str">
        <f t="shared" si="3"/>
        <v/>
      </c>
      <c r="Q961" s="21" t="str">
        <f t="shared" si="4"/>
        <v/>
      </c>
      <c r="R961" s="22">
        <f>IFERROR(__xludf.DUMMYFUNCTION("GOOGLEFINANCE(B961, ""pe"")
"),19.88)</f>
        <v>19.88</v>
      </c>
    </row>
    <row r="962">
      <c r="A962" s="9" t="s">
        <v>972</v>
      </c>
      <c r="B962" s="11" t="str">
        <f t="shared" si="1"/>
        <v>NSE:NILKAMAL</v>
      </c>
      <c r="C962" s="12">
        <f>IFERROR(__xludf.DUMMYFUNCTION("GOOGLEFINANCE(B962,""marketcap"")/10000000"),2726.4935927)</f>
        <v>2726.493593</v>
      </c>
      <c r="D962" s="13">
        <f>IFERROR(__xludf.DUMMYFUNCTION("GOOGLEFINANCE(B962,""price"")"),1829.0)</f>
        <v>1829</v>
      </c>
      <c r="E962" s="14">
        <f>IFERROR(__xludf.DUMMYFUNCTION("GOOGLEFINANCE(B962,""Volume"")"),8385.0)</f>
        <v>8385</v>
      </c>
      <c r="F962" s="14">
        <f t="array" ref="F962">F961</f>
        <v>14</v>
      </c>
      <c r="G962" s="15" t="str">
        <f>IFERROR(__xludf.DUMMYFUNCTION("IF(E962&gt;AVERAGE(INDEX(GOOGLEFINANCE(B962,""volume"",WORKDAY(TODAY(),-$F$1),TODAY()),,2)),""Breakout"","""")"),"Breakout")</f>
        <v>Breakout</v>
      </c>
      <c r="H962" s="16">
        <f>IFERROR(__xludf.DUMMYFUNCTION("GOOGLEFINANCE(B962,""price"")"),1829.0)</f>
        <v>1829</v>
      </c>
      <c r="I962" s="17">
        <f>IFERROR(__xludf.DUMMYFUNCTION("AVERAGE(QUERY(SORT(GOOGLEFINANCE(B962,""price"",TODAY()-365,TODAY()),1,0),""select Col2 limit 10""))"),1745.9299999999998)</f>
        <v>1745.93</v>
      </c>
      <c r="J962" s="17">
        <f>IFERROR(__xludf.DUMMYFUNCTION("AVERAGE(QUERY(SORT(GOOGLEFINANCE(B962,""price"",TODAY()-365,TODAY()),1,0),""select Col2 limit 30""))"),1744.6266666666668)</f>
        <v>1744.626667</v>
      </c>
      <c r="K962" s="18">
        <f>IFERROR(__xludf.DUMMYFUNCTION("AVERAGE(QUERY(SORT(GOOGLEFINANCE(B962,""price"",TODAY()-365,TODAY()),1,0),""select Col2 limit 60""))"),1735.7049999999997)</f>
        <v>1735.705</v>
      </c>
      <c r="L962" s="17">
        <f>IFERROR(__xludf.DUMMYFUNCTION("AVERAGE(QUERY(SORT(GOOGLEFINANCE(B962,""price"",TODAY()-365,TODAY()),1,0),""select Col2 limit 90""))"),1691.2883333333327)</f>
        <v>1691.288333</v>
      </c>
      <c r="M962" s="17">
        <f>IFERROR(__xludf.DUMMYFUNCTION("AVERAGE(QUERY(SORT(GOOGLEFINANCE(B962,""price"",TODAY()-365,TODAY()),1,0),""select Col2 limit 120""))"),1676.6083333333331)</f>
        <v>1676.608333</v>
      </c>
      <c r="N962" s="19">
        <f>IFERROR(__xludf.DUMMYFUNCTION("AVERAGE(QUERY(SORT(GOOGLEFINANCE(B962,""price"",TODAY()-365,TODAY()),1,0),""select Col2 limit 200""))"),1760.4135000000012)</f>
        <v>1760.4135</v>
      </c>
      <c r="O962" s="20" t="str">
        <f t="shared" si="2"/>
        <v>Avoid</v>
      </c>
      <c r="P962" s="21" t="str">
        <f t="shared" si="3"/>
        <v/>
      </c>
      <c r="Q962" s="21" t="str">
        <f t="shared" si="4"/>
        <v/>
      </c>
      <c r="R962" s="22">
        <f>IFERROR(__xludf.DUMMYFUNCTION("GOOGLEFINANCE(B962, ""pe"")
"),25.62)</f>
        <v>25.62</v>
      </c>
    </row>
    <row r="963">
      <c r="A963" s="9" t="s">
        <v>973</v>
      </c>
      <c r="B963" s="11" t="str">
        <f t="shared" si="1"/>
        <v>NSE:SEPC</v>
      </c>
      <c r="C963" s="12">
        <f>IFERROR(__xludf.DUMMYFUNCTION("GOOGLEFINANCE(B963,""marketcap"")/10000000"),2075.3759256)</f>
        <v>2075.375926</v>
      </c>
      <c r="D963" s="13">
        <f>IFERROR(__xludf.DUMMYFUNCTION("GOOGLEFINANCE(B963,""price"")"),11.83)</f>
        <v>11.83</v>
      </c>
      <c r="E963" s="14">
        <f>IFERROR(__xludf.DUMMYFUNCTION("GOOGLEFINANCE(B963,""Volume"")"),7474774.0)</f>
        <v>7474774</v>
      </c>
      <c r="F963" s="14">
        <f t="array" ref="F963">F962</f>
        <v>14</v>
      </c>
      <c r="G963" s="15" t="str">
        <f>IFERROR(__xludf.DUMMYFUNCTION("IF(E963&gt;AVERAGE(INDEX(GOOGLEFINANCE(B963,""volume"",WORKDAY(TODAY(),-$F$1),TODAY()),,2)),""Breakout"","""")"),"")</f>
        <v/>
      </c>
      <c r="H963" s="16">
        <f>IFERROR(__xludf.DUMMYFUNCTION("GOOGLEFINANCE(B963,""price"")"),11.83)</f>
        <v>11.83</v>
      </c>
      <c r="I963" s="17">
        <f>IFERROR(__xludf.DUMMYFUNCTION("AVERAGE(QUERY(SORT(GOOGLEFINANCE(B963,""price"",TODAY()-365,TODAY()),1,0),""select Col2 limit 10""))"),13.008)</f>
        <v>13.008</v>
      </c>
      <c r="J963" s="17">
        <f>IFERROR(__xludf.DUMMYFUNCTION("AVERAGE(QUERY(SORT(GOOGLEFINANCE(B963,""price"",TODAY()-365,TODAY()),1,0),""select Col2 limit 30""))"),13.320666666666664)</f>
        <v>13.32066667</v>
      </c>
      <c r="K963" s="18">
        <f>IFERROR(__xludf.DUMMYFUNCTION("AVERAGE(QUERY(SORT(GOOGLEFINANCE(B963,""price"",TODAY()-365,TODAY()),1,0),""select Col2 limit 60""))"),13.646999999999993)</f>
        <v>13.647</v>
      </c>
      <c r="L963" s="17">
        <f>IFERROR(__xludf.DUMMYFUNCTION("AVERAGE(QUERY(SORT(GOOGLEFINANCE(B963,""price"",TODAY()-365,TODAY()),1,0),""select Col2 limit 90""))"),13.783999999999994)</f>
        <v>13.784</v>
      </c>
      <c r="M963" s="17">
        <f>IFERROR(__xludf.DUMMYFUNCTION("AVERAGE(QUERY(SORT(GOOGLEFINANCE(B963,""price"",TODAY()-365,TODAY()),1,0),""select Col2 limit 120""))"),13.894749999999997)</f>
        <v>13.89475</v>
      </c>
      <c r="N963" s="19">
        <f>IFERROR(__xludf.DUMMYFUNCTION("AVERAGE(QUERY(SORT(GOOGLEFINANCE(B963,""price"",TODAY()-365,TODAY()),1,0),""select Col2 limit 200""))"),17.140900000000002)</f>
        <v>17.1409</v>
      </c>
      <c r="O963" s="20" t="str">
        <f t="shared" si="2"/>
        <v>Avoid</v>
      </c>
      <c r="P963" s="21" t="str">
        <f t="shared" si="3"/>
        <v/>
      </c>
      <c r="Q963" s="21" t="str">
        <f t="shared" si="4"/>
        <v/>
      </c>
      <c r="R963" s="22">
        <f>IFERROR(__xludf.DUMMYFUNCTION("GOOGLEFINANCE(B963, ""pe"")
"),73.94)</f>
        <v>73.94</v>
      </c>
    </row>
    <row r="964">
      <c r="A964" s="9" t="s">
        <v>974</v>
      </c>
      <c r="B964" s="11" t="str">
        <f t="shared" si="1"/>
        <v>NSE:SEPC-RE2</v>
      </c>
      <c r="C964" s="12" t="str">
        <f>IFERROR(__xludf.DUMMYFUNCTION("GOOGLEFINANCE(B964,""marketcap"")/10000000"),"#N/A")</f>
        <v>#N/A</v>
      </c>
      <c r="D964" s="13" t="str">
        <f>IFERROR(__xludf.DUMMYFUNCTION("GOOGLEFINANCE(B964,""price"")"),"#N/A")</f>
        <v>#N/A</v>
      </c>
      <c r="E964" s="14" t="str">
        <f>IFERROR(__xludf.DUMMYFUNCTION("GOOGLEFINANCE(B964,""Volume"")"),"#N/A")</f>
        <v>#N/A</v>
      </c>
      <c r="F964" s="14">
        <f t="array" ref="F964">F963</f>
        <v>14</v>
      </c>
      <c r="G964" s="15" t="str">
        <f>IFERROR(__xludf.DUMMYFUNCTION("IF(E964&gt;AVERAGE(INDEX(GOOGLEFINANCE(B964,""volume"",WORKDAY(TODAY(),-$F$1),TODAY()),,2)),""Breakout"","""")"),"#N/A")</f>
        <v>#N/A</v>
      </c>
      <c r="H964" s="16" t="str">
        <f>IFERROR(__xludf.DUMMYFUNCTION("GOOGLEFINANCE(B964,""price"")"),"#N/A")</f>
        <v>#N/A</v>
      </c>
      <c r="I964" s="17" t="str">
        <f>IFERROR(__xludf.DUMMYFUNCTION("AVERAGE(QUERY(SORT(GOOGLEFINANCE(B964,""price"",TODAY()-365,TODAY()),1,0),""select Col2 limit 10""))"),"#N/A")</f>
        <v>#N/A</v>
      </c>
      <c r="J964" s="17" t="str">
        <f>IFERROR(__xludf.DUMMYFUNCTION("AVERAGE(QUERY(SORT(GOOGLEFINANCE(B964,""price"",TODAY()-365,TODAY()),1,0),""select Col2 limit 30""))"),"#N/A")</f>
        <v>#N/A</v>
      </c>
      <c r="K964" s="18" t="str">
        <f>IFERROR(__xludf.DUMMYFUNCTION("AVERAGE(QUERY(SORT(GOOGLEFINANCE(B964,""price"",TODAY()-365,TODAY()),1,0),""select Col2 limit 60""))"),"#N/A")</f>
        <v>#N/A</v>
      </c>
      <c r="L964" s="17" t="str">
        <f>IFERROR(__xludf.DUMMYFUNCTION("AVERAGE(QUERY(SORT(GOOGLEFINANCE(B964,""price"",TODAY()-365,TODAY()),1,0),""select Col2 limit 90""))"),"#N/A")</f>
        <v>#N/A</v>
      </c>
      <c r="M964" s="17" t="str">
        <f>IFERROR(__xludf.DUMMYFUNCTION("AVERAGE(QUERY(SORT(GOOGLEFINANCE(B964,""price"",TODAY()-365,TODAY()),1,0),""select Col2 limit 120""))"),"#N/A")</f>
        <v>#N/A</v>
      </c>
      <c r="N964" s="19" t="str">
        <f>IFERROR(__xludf.DUMMYFUNCTION("AVERAGE(QUERY(SORT(GOOGLEFINANCE(B964,""price"",TODAY()-365,TODAY()),1,0),""select Col2 limit 200""))"),"#N/A")</f>
        <v>#N/A</v>
      </c>
      <c r="O964" s="20" t="str">
        <f t="shared" si="2"/>
        <v>#N/A</v>
      </c>
      <c r="P964" s="21" t="str">
        <f t="shared" si="3"/>
        <v>#N/A</v>
      </c>
      <c r="Q964" s="21" t="str">
        <f t="shared" si="4"/>
        <v>#N/A</v>
      </c>
      <c r="R964" s="22" t="str">
        <f>IFERROR(__xludf.DUMMYFUNCTION("GOOGLEFINANCE(B964, ""pe"")
"),"#N/A")</f>
        <v>#N/A</v>
      </c>
    </row>
    <row r="965">
      <c r="A965" s="9" t="s">
        <v>975</v>
      </c>
      <c r="B965" s="11" t="str">
        <f t="shared" si="1"/>
        <v>NSE:EVEREADY</v>
      </c>
      <c r="C965" s="12">
        <f>IFERROR(__xludf.DUMMYFUNCTION("GOOGLEFINANCE(B965,""marketcap"")/10000000"),3081.5760524)</f>
        <v>3081.576052</v>
      </c>
      <c r="D965" s="13">
        <f>IFERROR(__xludf.DUMMYFUNCTION("GOOGLEFINANCE(B965,""price"")"),424.5)</f>
        <v>424.5</v>
      </c>
      <c r="E965" s="14">
        <f>IFERROR(__xludf.DUMMYFUNCTION("GOOGLEFINANCE(B965,""Volume"")"),1180112.0)</f>
        <v>1180112</v>
      </c>
      <c r="F965" s="14">
        <f t="array" ref="F965">F964</f>
        <v>14</v>
      </c>
      <c r="G965" s="15" t="str">
        <f>IFERROR(__xludf.DUMMYFUNCTION("IF(E965&gt;AVERAGE(INDEX(GOOGLEFINANCE(B965,""volume"",WORKDAY(TODAY(),-$F$1),TODAY()),,2)),""Breakout"","""")"),"Breakout")</f>
        <v>Breakout</v>
      </c>
      <c r="H965" s="16">
        <f>IFERROR(__xludf.DUMMYFUNCTION("GOOGLEFINANCE(B965,""price"")"),424.5)</f>
        <v>424.5</v>
      </c>
      <c r="I965" s="17">
        <f>IFERROR(__xludf.DUMMYFUNCTION("AVERAGE(QUERY(SORT(GOOGLEFINANCE(B965,""price"",TODAY()-365,TODAY()),1,0),""select Col2 limit 10""))"),399.04)</f>
        <v>399.04</v>
      </c>
      <c r="J965" s="17">
        <f>IFERROR(__xludf.DUMMYFUNCTION("AVERAGE(QUERY(SORT(GOOGLEFINANCE(B965,""price"",TODAY()-365,TODAY()),1,0),""select Col2 limit 30""))"),349.94500000000005)</f>
        <v>349.945</v>
      </c>
      <c r="K965" s="18">
        <f>IFERROR(__xludf.DUMMYFUNCTION("AVERAGE(QUERY(SORT(GOOGLEFINANCE(B965,""price"",TODAY()-365,TODAY()),1,0),""select Col2 limit 60""))"),332.29500000000013)</f>
        <v>332.295</v>
      </c>
      <c r="L965" s="17">
        <f>IFERROR(__xludf.DUMMYFUNCTION("AVERAGE(QUERY(SORT(GOOGLEFINANCE(B965,""price"",TODAY()-365,TODAY()),1,0),""select Col2 limit 90""))"),323.26611111111134)</f>
        <v>323.2661111</v>
      </c>
      <c r="M965" s="17">
        <f>IFERROR(__xludf.DUMMYFUNCTION("AVERAGE(QUERY(SORT(GOOGLEFINANCE(B965,""price"",TODAY()-365,TODAY()),1,0),""select Col2 limit 120""))"),322.5395833333334)</f>
        <v>322.5395833</v>
      </c>
      <c r="N965" s="19">
        <f>IFERROR(__xludf.DUMMYFUNCTION("AVERAGE(QUERY(SORT(GOOGLEFINANCE(B965,""price"",TODAY()-365,TODAY()),1,0),""select Col2 limit 200""))"),349.895)</f>
        <v>349.895</v>
      </c>
      <c r="O965" s="20" t="str">
        <f t="shared" si="2"/>
        <v>Avoid</v>
      </c>
      <c r="P965" s="21" t="str">
        <f t="shared" si="3"/>
        <v/>
      </c>
      <c r="Q965" s="21" t="str">
        <f t="shared" si="4"/>
        <v/>
      </c>
      <c r="R965" s="22">
        <f>IFERROR(__xludf.DUMMYFUNCTION("GOOGLEFINANCE(B965, ""pe"")
"),37.3)</f>
        <v>37.3</v>
      </c>
    </row>
    <row r="966">
      <c r="A966" s="9" t="s">
        <v>976</v>
      </c>
      <c r="B966" s="11" t="str">
        <f t="shared" si="1"/>
        <v>NSE:SINDHUTRAD</v>
      </c>
      <c r="C966" s="12">
        <f>IFERROR(__xludf.DUMMYFUNCTION("GOOGLEFINANCE(B966,""marketcap"")/10000000"),4458.1622967)</f>
        <v>4458.162297</v>
      </c>
      <c r="D966" s="13">
        <f>IFERROR(__xludf.DUMMYFUNCTION("GOOGLEFINANCE(B966,""price"")"),29.19)</f>
        <v>29.19</v>
      </c>
      <c r="E966" s="14">
        <f>IFERROR(__xludf.DUMMYFUNCTION("GOOGLEFINANCE(B966,""Volume"")"),1687877.0)</f>
        <v>1687877</v>
      </c>
      <c r="F966" s="14">
        <f t="array" ref="F966">F965</f>
        <v>14</v>
      </c>
      <c r="G966" s="15" t="str">
        <f>IFERROR(__xludf.DUMMYFUNCTION("IF(E966&gt;AVERAGE(INDEX(GOOGLEFINANCE(B966,""volume"",WORKDAY(TODAY(),-$F$1),TODAY()),,2)),""Breakout"","""")"),"")</f>
        <v/>
      </c>
      <c r="H966" s="16">
        <f>IFERROR(__xludf.DUMMYFUNCTION("GOOGLEFINANCE(B966,""price"")"),29.19)</f>
        <v>29.19</v>
      </c>
      <c r="I966" s="17">
        <f>IFERROR(__xludf.DUMMYFUNCTION("AVERAGE(QUERY(SORT(GOOGLEFINANCE(B966,""price"",TODAY()-365,TODAY()),1,0),""select Col2 limit 10""))"),32.489999999999995)</f>
        <v>32.49</v>
      </c>
      <c r="J966" s="17">
        <f>IFERROR(__xludf.DUMMYFUNCTION("AVERAGE(QUERY(SORT(GOOGLEFINANCE(B966,""price"",TODAY()-365,TODAY()),1,0),""select Col2 limit 30""))"),29.881999999999998)</f>
        <v>29.882</v>
      </c>
      <c r="K966" s="18">
        <f>IFERROR(__xludf.DUMMYFUNCTION("AVERAGE(QUERY(SORT(GOOGLEFINANCE(B966,""price"",TODAY()-365,TODAY()),1,0),""select Col2 limit 60""))"),25.9715)</f>
        <v>25.9715</v>
      </c>
      <c r="L966" s="17">
        <f>IFERROR(__xludf.DUMMYFUNCTION("AVERAGE(QUERY(SORT(GOOGLEFINANCE(B966,""price"",TODAY()-365,TODAY()),1,0),""select Col2 limit 90""))"),23.366555555555554)</f>
        <v>23.36655556</v>
      </c>
      <c r="M966" s="17">
        <f>IFERROR(__xludf.DUMMYFUNCTION("AVERAGE(QUERY(SORT(GOOGLEFINANCE(B966,""price"",TODAY()-365,TODAY()),1,0),""select Col2 limit 120""))"),21.656999999999986)</f>
        <v>21.657</v>
      </c>
      <c r="N966" s="19">
        <f>IFERROR(__xludf.DUMMYFUNCTION("AVERAGE(QUERY(SORT(GOOGLEFINANCE(B966,""price"",TODAY()-365,TODAY()),1,0),""select Col2 limit 200""))"),22.044549999999994)</f>
        <v>22.04455</v>
      </c>
      <c r="O966" s="20" t="str">
        <f t="shared" si="2"/>
        <v>Avoid</v>
      </c>
      <c r="P966" s="21" t="str">
        <f t="shared" si="3"/>
        <v/>
      </c>
      <c r="Q966" s="21" t="str">
        <f t="shared" si="4"/>
        <v/>
      </c>
      <c r="R966" s="22">
        <f>IFERROR(__xludf.DUMMYFUNCTION("GOOGLEFINANCE(B966, ""pe"")
"),172.35)</f>
        <v>172.35</v>
      </c>
    </row>
    <row r="967">
      <c r="A967" s="9" t="s">
        <v>977</v>
      </c>
      <c r="B967" s="11" t="str">
        <f t="shared" si="1"/>
        <v>NSE:HUHTAMAKI</v>
      </c>
      <c r="C967" s="12">
        <f>IFERROR(__xludf.DUMMYFUNCTION("GOOGLEFINANCE(B967,""marketcap"")/10000000"),1653.8543485)</f>
        <v>1653.854349</v>
      </c>
      <c r="D967" s="13">
        <f>IFERROR(__xludf.DUMMYFUNCTION("GOOGLEFINANCE(B967,""price"")"),218.85)</f>
        <v>218.85</v>
      </c>
      <c r="E967" s="14">
        <f>IFERROR(__xludf.DUMMYFUNCTION("GOOGLEFINANCE(B967,""Volume"")"),118879.0)</f>
        <v>118879</v>
      </c>
      <c r="F967" s="14">
        <f t="array" ref="F967">F966</f>
        <v>14</v>
      </c>
      <c r="G967" s="15" t="str">
        <f>IFERROR(__xludf.DUMMYFUNCTION("IF(E967&gt;AVERAGE(INDEX(GOOGLEFINANCE(B967,""volume"",WORKDAY(TODAY(),-$F$1),TODAY()),,2)),""Breakout"","""")"),"")</f>
        <v/>
      </c>
      <c r="H967" s="16">
        <f>IFERROR(__xludf.DUMMYFUNCTION("GOOGLEFINANCE(B967,""price"")"),218.85)</f>
        <v>218.85</v>
      </c>
      <c r="I967" s="17">
        <f>IFERROR(__xludf.DUMMYFUNCTION("AVERAGE(QUERY(SORT(GOOGLEFINANCE(B967,""price"",TODAY()-365,TODAY()),1,0),""select Col2 limit 10""))"),226.75899999999996)</f>
        <v>226.759</v>
      </c>
      <c r="J967" s="17">
        <f>IFERROR(__xludf.DUMMYFUNCTION("AVERAGE(QUERY(SORT(GOOGLEFINANCE(B967,""price"",TODAY()-365,TODAY()),1,0),""select Col2 limit 30""))"),221.37133333333335)</f>
        <v>221.3713333</v>
      </c>
      <c r="K967" s="18">
        <f>IFERROR(__xludf.DUMMYFUNCTION("AVERAGE(QUERY(SORT(GOOGLEFINANCE(B967,""price"",TODAY()-365,TODAY()),1,0),""select Col2 limit 60""))"),211.28133333333338)</f>
        <v>211.2813333</v>
      </c>
      <c r="L967" s="17">
        <f>IFERROR(__xludf.DUMMYFUNCTION("AVERAGE(QUERY(SORT(GOOGLEFINANCE(B967,""price"",TODAY()-365,TODAY()),1,0),""select Col2 limit 90""))"),204.51122222222227)</f>
        <v>204.5112222</v>
      </c>
      <c r="M967" s="17">
        <f>IFERROR(__xludf.DUMMYFUNCTION("AVERAGE(QUERY(SORT(GOOGLEFINANCE(B967,""price"",TODAY()-365,TODAY()),1,0),""select Col2 limit 120""))"),204.43133333333338)</f>
        <v>204.4313333</v>
      </c>
      <c r="N967" s="19">
        <f>IFERROR(__xludf.DUMMYFUNCTION("AVERAGE(QUERY(SORT(GOOGLEFINANCE(B967,""price"",TODAY()-365,TODAY()),1,0),""select Col2 limit 200""))"),240.8493000000001)</f>
        <v>240.8493</v>
      </c>
      <c r="O967" s="20" t="str">
        <f t="shared" si="2"/>
        <v>Avoid</v>
      </c>
      <c r="P967" s="21" t="str">
        <f t="shared" si="3"/>
        <v/>
      </c>
      <c r="Q967" s="21" t="str">
        <f t="shared" si="4"/>
        <v/>
      </c>
      <c r="R967" s="22">
        <f>IFERROR(__xludf.DUMMYFUNCTION("GOOGLEFINANCE(B967, ""pe"")
"),22.4)</f>
        <v>22.4</v>
      </c>
    </row>
    <row r="968">
      <c r="A968" s="9" t="s">
        <v>978</v>
      </c>
      <c r="B968" s="11" t="str">
        <f t="shared" si="1"/>
        <v>NSE:MOREPENLAB</v>
      </c>
      <c r="C968" s="12">
        <f>IFERROR(__xludf.DUMMYFUNCTION("GOOGLEFINANCE(B968,""marketcap"")/10000000"),3161.1442431)</f>
        <v>3161.144243</v>
      </c>
      <c r="D968" s="13">
        <f>IFERROR(__xludf.DUMMYFUNCTION("GOOGLEFINANCE(B968,""price"")"),57.73)</f>
        <v>57.73</v>
      </c>
      <c r="E968" s="14">
        <f>IFERROR(__xludf.DUMMYFUNCTION("GOOGLEFINANCE(B968,""Volume"")"),1702499.0)</f>
        <v>1702499</v>
      </c>
      <c r="F968" s="14">
        <f t="array" ref="F968">F967</f>
        <v>14</v>
      </c>
      <c r="G968" s="15" t="str">
        <f>IFERROR(__xludf.DUMMYFUNCTION("IF(E968&gt;AVERAGE(INDEX(GOOGLEFINANCE(B968,""volume"",WORKDAY(TODAY(),-$F$1),TODAY()),,2)),""Breakout"","""")"),"")</f>
        <v/>
      </c>
      <c r="H968" s="16">
        <f>IFERROR(__xludf.DUMMYFUNCTION("GOOGLEFINANCE(B968,""price"")"),57.73)</f>
        <v>57.73</v>
      </c>
      <c r="I968" s="17">
        <f>IFERROR(__xludf.DUMMYFUNCTION("AVERAGE(QUERY(SORT(GOOGLEFINANCE(B968,""price"",TODAY()-365,TODAY()),1,0),""select Col2 limit 10""))"),62.11500000000001)</f>
        <v>62.115</v>
      </c>
      <c r="J968" s="17">
        <f>IFERROR(__xludf.DUMMYFUNCTION("AVERAGE(QUERY(SORT(GOOGLEFINANCE(B968,""price"",TODAY()-365,TODAY()),1,0),""select Col2 limit 30""))"),62.561666666666675)</f>
        <v>62.56166667</v>
      </c>
      <c r="K968" s="18">
        <f>IFERROR(__xludf.DUMMYFUNCTION("AVERAGE(QUERY(SORT(GOOGLEFINANCE(B968,""price"",TODAY()-365,TODAY()),1,0),""select Col2 limit 60""))"),62.94250000000001)</f>
        <v>62.9425</v>
      </c>
      <c r="L968" s="17">
        <f>IFERROR(__xludf.DUMMYFUNCTION("AVERAGE(QUERY(SORT(GOOGLEFINANCE(B968,""price"",TODAY()-365,TODAY()),1,0),""select Col2 limit 90""))"),59.383111111111134)</f>
        <v>59.38311111</v>
      </c>
      <c r="M968" s="17">
        <f>IFERROR(__xludf.DUMMYFUNCTION("AVERAGE(QUERY(SORT(GOOGLEFINANCE(B968,""price"",TODAY()-365,TODAY()),1,0),""select Col2 limit 120""))"),57.978250000000024)</f>
        <v>57.97825</v>
      </c>
      <c r="N968" s="19">
        <f>IFERROR(__xludf.DUMMYFUNCTION("AVERAGE(QUERY(SORT(GOOGLEFINANCE(B968,""price"",TODAY()-365,TODAY()),1,0),""select Col2 limit 200""))"),66.23600000000002)</f>
        <v>66.236</v>
      </c>
      <c r="O968" s="20" t="str">
        <f t="shared" si="2"/>
        <v>Avoid</v>
      </c>
      <c r="P968" s="21" t="str">
        <f t="shared" si="3"/>
        <v>120 DMA</v>
      </c>
      <c r="Q968" s="21" t="str">
        <f t="shared" si="4"/>
        <v/>
      </c>
      <c r="R968" s="22">
        <f>IFERROR(__xludf.DUMMYFUNCTION("GOOGLEFINANCE(B968, ""pe"")
"),26.22)</f>
        <v>26.22</v>
      </c>
    </row>
    <row r="969">
      <c r="A969" s="9" t="s">
        <v>979</v>
      </c>
      <c r="B969" s="11" t="str">
        <f t="shared" si="1"/>
        <v>NSE:VISHNU</v>
      </c>
      <c r="C969" s="12">
        <f>IFERROR(__xludf.DUMMYFUNCTION("GOOGLEFINANCE(B969,""marketcap"")/10000000"),3332.4423591)</f>
        <v>3332.442359</v>
      </c>
      <c r="D969" s="13">
        <f>IFERROR(__xludf.DUMMYFUNCTION("GOOGLEFINANCE(B969,""price"")"),495.05)</f>
        <v>495.05</v>
      </c>
      <c r="E969" s="14">
        <f>IFERROR(__xludf.DUMMYFUNCTION("GOOGLEFINANCE(B969,""Volume"")"),32075.0)</f>
        <v>32075</v>
      </c>
      <c r="F969" s="14">
        <f t="array" ref="F969">F968</f>
        <v>14</v>
      </c>
      <c r="G969" s="15" t="str">
        <f>IFERROR(__xludf.DUMMYFUNCTION("IF(E969&gt;AVERAGE(INDEX(GOOGLEFINANCE(B969,""volume"",WORKDAY(TODAY(),-$F$1),TODAY()),,2)),""Breakout"","""")"),"")</f>
        <v/>
      </c>
      <c r="H969" s="16">
        <f>IFERROR(__xludf.DUMMYFUNCTION("GOOGLEFINANCE(B969,""price"")"),495.05)</f>
        <v>495.05</v>
      </c>
      <c r="I969" s="17">
        <f>IFERROR(__xludf.DUMMYFUNCTION("AVERAGE(QUERY(SORT(GOOGLEFINANCE(B969,""price"",TODAY()-365,TODAY()),1,0),""select Col2 limit 10""))"),502.11)</f>
        <v>502.11</v>
      </c>
      <c r="J969" s="17">
        <f>IFERROR(__xludf.DUMMYFUNCTION("AVERAGE(QUERY(SORT(GOOGLEFINANCE(B969,""price"",TODAY()-365,TODAY()),1,0),""select Col2 limit 30""))"),521.89)</f>
        <v>521.89</v>
      </c>
      <c r="K969" s="18">
        <f>IFERROR(__xludf.DUMMYFUNCTION("AVERAGE(QUERY(SORT(GOOGLEFINANCE(B969,""price"",TODAY()-365,TODAY()),1,0),""select Col2 limit 60""))"),510.6308333333333)</f>
        <v>510.6308333</v>
      </c>
      <c r="L969" s="17">
        <f>IFERROR(__xludf.DUMMYFUNCTION("AVERAGE(QUERY(SORT(GOOGLEFINANCE(B969,""price"",TODAY()-365,TODAY()),1,0),""select Col2 limit 90""))"),485.5649999999999)</f>
        <v>485.565</v>
      </c>
      <c r="M969" s="17">
        <f>IFERROR(__xludf.DUMMYFUNCTION("AVERAGE(QUERY(SORT(GOOGLEFINANCE(B969,""price"",TODAY()-365,TODAY()),1,0),""select Col2 limit 120""))"),473.31625)</f>
        <v>473.31625</v>
      </c>
      <c r="N969" s="19">
        <f>IFERROR(__xludf.DUMMYFUNCTION("AVERAGE(QUERY(SORT(GOOGLEFINANCE(B969,""price"",TODAY()-365,TODAY()),1,0),""select Col2 limit 200""))"),453.98000000000025)</f>
        <v>453.98</v>
      </c>
      <c r="O969" s="20" t="str">
        <f t="shared" si="2"/>
        <v>Avoid</v>
      </c>
      <c r="P969" s="21" t="str">
        <f t="shared" si="3"/>
        <v/>
      </c>
      <c r="Q969" s="21" t="str">
        <f t="shared" si="4"/>
        <v/>
      </c>
      <c r="R969" s="22">
        <f>IFERROR(__xludf.DUMMYFUNCTION("GOOGLEFINANCE(B969, ""pe"")
"),25.56)</f>
        <v>25.56</v>
      </c>
    </row>
    <row r="970">
      <c r="A970" s="9" t="s">
        <v>980</v>
      </c>
      <c r="B970" s="11" t="str">
        <f t="shared" si="1"/>
        <v>NSE:SUVEN</v>
      </c>
      <c r="C970" s="12">
        <f>IFERROR(__xludf.DUMMYFUNCTION("GOOGLEFINANCE(B970,""marketcap"")/10000000"),6414.77244)</f>
        <v>6414.77244</v>
      </c>
      <c r="D970" s="13">
        <f>IFERROR(__xludf.DUMMYFUNCTION("GOOGLEFINANCE(B970,""price"")"),280.39)</f>
        <v>280.39</v>
      </c>
      <c r="E970" s="14">
        <f>IFERROR(__xludf.DUMMYFUNCTION("GOOGLEFINANCE(B970,""Volume"")"),31930.0)</f>
        <v>31930</v>
      </c>
      <c r="F970" s="14">
        <f t="array" ref="F970">F969</f>
        <v>14</v>
      </c>
      <c r="G970" s="15" t="str">
        <f>IFERROR(__xludf.DUMMYFUNCTION("IF(E970&gt;AVERAGE(INDEX(GOOGLEFINANCE(B970,""volume"",WORKDAY(TODAY(),-$F$1),TODAY()),,2)),""Breakout"","""")"),"")</f>
        <v/>
      </c>
      <c r="H970" s="16">
        <f>IFERROR(__xludf.DUMMYFUNCTION("GOOGLEFINANCE(B970,""price"")"),280.39)</f>
        <v>280.39</v>
      </c>
      <c r="I970" s="17">
        <f>IFERROR(__xludf.DUMMYFUNCTION("AVERAGE(QUERY(SORT(GOOGLEFINANCE(B970,""price"",TODAY()-365,TODAY()),1,0),""select Col2 limit 10""))"),289.10900000000004)</f>
        <v>289.109</v>
      </c>
      <c r="J970" s="17">
        <f>IFERROR(__xludf.DUMMYFUNCTION("AVERAGE(QUERY(SORT(GOOGLEFINANCE(B970,""price"",TODAY()-365,TODAY()),1,0),""select Col2 limit 30""))"),261.1339999999999)</f>
        <v>261.134</v>
      </c>
      <c r="K970" s="18">
        <f>IFERROR(__xludf.DUMMYFUNCTION("AVERAGE(QUERY(SORT(GOOGLEFINANCE(B970,""price"",TODAY()-365,TODAY()),1,0),""select Col2 limit 60""))"),232.91349999999997)</f>
        <v>232.9135</v>
      </c>
      <c r="L970" s="17">
        <f>IFERROR(__xludf.DUMMYFUNCTION("AVERAGE(QUERY(SORT(GOOGLEFINANCE(B970,""price"",TODAY()-365,TODAY()),1,0),""select Col2 limit 90""))"),196.89466666666667)</f>
        <v>196.8946667</v>
      </c>
      <c r="M970" s="17">
        <f>IFERROR(__xludf.DUMMYFUNCTION("AVERAGE(QUERY(SORT(GOOGLEFINANCE(B970,""price"",TODAY()-365,TODAY()),1,0),""select Col2 limit 120""))"),177.6628333333333)</f>
        <v>177.6628333</v>
      </c>
      <c r="N970" s="19">
        <f>IFERROR(__xludf.DUMMYFUNCTION("AVERAGE(QUERY(SORT(GOOGLEFINANCE(B970,""price"",TODAY()-365,TODAY()),1,0),""select Col2 limit 200""))"),158.88540000000006)</f>
        <v>158.8854</v>
      </c>
      <c r="O970" s="20" t="str">
        <f t="shared" si="2"/>
        <v>Avoid</v>
      </c>
      <c r="P970" s="21" t="str">
        <f t="shared" si="3"/>
        <v/>
      </c>
      <c r="Q970" s="21" t="str">
        <f t="shared" si="4"/>
        <v/>
      </c>
      <c r="R970" s="22" t="str">
        <f>IFERROR(__xludf.DUMMYFUNCTION("GOOGLEFINANCE(B970, ""pe"")
"),"#N/A")</f>
        <v>#N/A</v>
      </c>
    </row>
    <row r="971">
      <c r="A971" s="9" t="s">
        <v>981</v>
      </c>
      <c r="B971" s="11" t="str">
        <f t="shared" si="1"/>
        <v>NSE:DISHTV</v>
      </c>
      <c r="C971" s="12">
        <f>IFERROR(__xludf.DUMMYFUNCTION("GOOGLEFINANCE(B971,""marketcap"")/10000000"),1007.1664463)</f>
        <v>1007.166446</v>
      </c>
      <c r="D971" s="13">
        <f>IFERROR(__xludf.DUMMYFUNCTION("GOOGLEFINANCE(B971,""price"")"),5.45)</f>
        <v>5.45</v>
      </c>
      <c r="E971" s="14">
        <f>IFERROR(__xludf.DUMMYFUNCTION("GOOGLEFINANCE(B971,""Volume"")"),1355070.0)</f>
        <v>1355070</v>
      </c>
      <c r="F971" s="14">
        <f t="array" ref="F971">F970</f>
        <v>14</v>
      </c>
      <c r="G971" s="15" t="str">
        <f>IFERROR(__xludf.DUMMYFUNCTION("IF(E971&gt;AVERAGE(INDEX(GOOGLEFINANCE(B971,""volume"",WORKDAY(TODAY(),-$F$1),TODAY()),,2)),""Breakout"","""")"),"")</f>
        <v/>
      </c>
      <c r="H971" s="16">
        <f>IFERROR(__xludf.DUMMYFUNCTION("GOOGLEFINANCE(B971,""price"")"),5.45)</f>
        <v>5.45</v>
      </c>
      <c r="I971" s="17">
        <f>IFERROR(__xludf.DUMMYFUNCTION("AVERAGE(QUERY(SORT(GOOGLEFINANCE(B971,""price"",TODAY()-365,TODAY()),1,0),""select Col2 limit 10""))"),5.811000000000001)</f>
        <v>5.811</v>
      </c>
      <c r="J971" s="17">
        <f>IFERROR(__xludf.DUMMYFUNCTION("AVERAGE(QUERY(SORT(GOOGLEFINANCE(B971,""price"",TODAY()-365,TODAY()),1,0),""select Col2 limit 30""))"),5.368666666666666)</f>
        <v>5.368666667</v>
      </c>
      <c r="K971" s="18">
        <f>IFERROR(__xludf.DUMMYFUNCTION("AVERAGE(QUERY(SORT(GOOGLEFINANCE(B971,""price"",TODAY()-365,TODAY()),1,0),""select Col2 limit 60""))"),5.386833333333334)</f>
        <v>5.386833333</v>
      </c>
      <c r="L971" s="17">
        <f>IFERROR(__xludf.DUMMYFUNCTION("AVERAGE(QUERY(SORT(GOOGLEFINANCE(B971,""price"",TODAY()-365,TODAY()),1,0),""select Col2 limit 90""))"),5.480666666666666)</f>
        <v>5.480666667</v>
      </c>
      <c r="M971" s="17">
        <f>IFERROR(__xludf.DUMMYFUNCTION("AVERAGE(QUERY(SORT(GOOGLEFINANCE(B971,""price"",TODAY()-365,TODAY()),1,0),""select Col2 limit 120""))"),5.938333333333332)</f>
        <v>5.938333333</v>
      </c>
      <c r="N971" s="19">
        <f>IFERROR(__xludf.DUMMYFUNCTION("AVERAGE(QUERY(SORT(GOOGLEFINANCE(B971,""price"",TODAY()-365,TODAY()),1,0),""select Col2 limit 200""))"),8.09505)</f>
        <v>8.09505</v>
      </c>
      <c r="O971" s="20" t="str">
        <f t="shared" si="2"/>
        <v>Avoid</v>
      </c>
      <c r="P971" s="21" t="str">
        <f t="shared" si="3"/>
        <v>90 DMA</v>
      </c>
      <c r="Q971" s="21" t="str">
        <f t="shared" si="4"/>
        <v/>
      </c>
      <c r="R971" s="22" t="str">
        <f>IFERROR(__xludf.DUMMYFUNCTION("GOOGLEFINANCE(B971, ""pe"")
"),"#N/A")</f>
        <v>#N/A</v>
      </c>
    </row>
    <row r="972">
      <c r="A972" s="9" t="s">
        <v>982</v>
      </c>
      <c r="B972" s="11" t="str">
        <f t="shared" si="1"/>
        <v>NSE:KICL</v>
      </c>
      <c r="C972" s="12">
        <f>IFERROR(__xludf.DUMMYFUNCTION("GOOGLEFINANCE(B972,""marketcap"")/10000000"),2154.2780175)</f>
        <v>2154.278018</v>
      </c>
      <c r="D972" s="13">
        <f>IFERROR(__xludf.DUMMYFUNCTION("GOOGLEFINANCE(B972,""price"")"),4935.0)</f>
        <v>4935</v>
      </c>
      <c r="E972" s="14">
        <f>IFERROR(__xludf.DUMMYFUNCTION("GOOGLEFINANCE(B972,""Volume"")"),406.0)</f>
        <v>406</v>
      </c>
      <c r="F972" s="14">
        <f t="array" ref="F972">F971</f>
        <v>14</v>
      </c>
      <c r="G972" s="15" t="str">
        <f>IFERROR(__xludf.DUMMYFUNCTION("IF(E972&gt;AVERAGE(INDEX(GOOGLEFINANCE(B972,""volume"",WORKDAY(TODAY(),-$F$1),TODAY()),,2)),""Breakout"","""")"),"")</f>
        <v/>
      </c>
      <c r="H972" s="16">
        <f>IFERROR(__xludf.DUMMYFUNCTION("GOOGLEFINANCE(B972,""price"")"),4935.0)</f>
        <v>4935</v>
      </c>
      <c r="I972" s="17">
        <f>IFERROR(__xludf.DUMMYFUNCTION("AVERAGE(QUERY(SORT(GOOGLEFINANCE(B972,""price"",TODAY()-365,TODAY()),1,0),""select Col2 limit 10""))"),5052.75)</f>
        <v>5052.75</v>
      </c>
      <c r="J972" s="17">
        <f>IFERROR(__xludf.DUMMYFUNCTION("AVERAGE(QUERY(SORT(GOOGLEFINANCE(B972,""price"",TODAY()-365,TODAY()),1,0),""select Col2 limit 30""))"),5088.383333333333)</f>
        <v>5088.383333</v>
      </c>
      <c r="K972" s="18">
        <f>IFERROR(__xludf.DUMMYFUNCTION("AVERAGE(QUERY(SORT(GOOGLEFINANCE(B972,""price"",TODAY()-365,TODAY()),1,0),""select Col2 limit 60""))"),5001.968333333334)</f>
        <v>5001.968333</v>
      </c>
      <c r="L972" s="17">
        <f>IFERROR(__xludf.DUMMYFUNCTION("AVERAGE(QUERY(SORT(GOOGLEFINANCE(B972,""price"",TODAY()-365,TODAY()),1,0),""select Col2 limit 90""))"),4791.353888888888)</f>
        <v>4791.353889</v>
      </c>
      <c r="M972" s="17">
        <f>IFERROR(__xludf.DUMMYFUNCTION("AVERAGE(QUERY(SORT(GOOGLEFINANCE(B972,""price"",TODAY()-365,TODAY()),1,0),""select Col2 limit 120""))"),4625.418333333331)</f>
        <v>4625.418333</v>
      </c>
      <c r="N972" s="19">
        <f>IFERROR(__xludf.DUMMYFUNCTION("AVERAGE(QUERY(SORT(GOOGLEFINANCE(B972,""price"",TODAY()-365,TODAY()),1,0),""select Col2 limit 200""))"),5265.217)</f>
        <v>5265.217</v>
      </c>
      <c r="O972" s="20" t="str">
        <f t="shared" si="2"/>
        <v>Avoid</v>
      </c>
      <c r="P972" s="21" t="str">
        <f t="shared" si="3"/>
        <v/>
      </c>
      <c r="Q972" s="21" t="str">
        <f t="shared" si="4"/>
        <v/>
      </c>
      <c r="R972" s="22">
        <f>IFERROR(__xludf.DUMMYFUNCTION("GOOGLEFINANCE(B972, ""pe"")
"),30.11)</f>
        <v>30.11</v>
      </c>
    </row>
    <row r="973">
      <c r="A973" s="9" t="s">
        <v>983</v>
      </c>
      <c r="B973" s="11" t="str">
        <f t="shared" si="1"/>
        <v>NSE:FOSECOIND</v>
      </c>
      <c r="C973" s="12">
        <f>IFERROR(__xludf.DUMMYFUNCTION("GOOGLEFINANCE(B973,""marketcap"")/10000000"),3076.2933733)</f>
        <v>3076.293373</v>
      </c>
      <c r="D973" s="13">
        <f>IFERROR(__xludf.DUMMYFUNCTION("GOOGLEFINANCE(B973,""price"")"),4816.0)</f>
        <v>4816</v>
      </c>
      <c r="E973" s="14">
        <f>IFERROR(__xludf.DUMMYFUNCTION("GOOGLEFINANCE(B973,""Volume"")"),696.0)</f>
        <v>696</v>
      </c>
      <c r="F973" s="14">
        <f t="array" ref="F973">F972</f>
        <v>14</v>
      </c>
      <c r="G973" s="15" t="str">
        <f>IFERROR(__xludf.DUMMYFUNCTION("IF(E973&gt;AVERAGE(INDEX(GOOGLEFINANCE(B973,""volume"",WORKDAY(TODAY(),-$F$1),TODAY()),,2)),""Breakout"","""")"),"")</f>
        <v/>
      </c>
      <c r="H973" s="16">
        <f>IFERROR(__xludf.DUMMYFUNCTION("GOOGLEFINANCE(B973,""price"")"),4816.0)</f>
        <v>4816</v>
      </c>
      <c r="I973" s="17">
        <f>IFERROR(__xludf.DUMMYFUNCTION("AVERAGE(QUERY(SORT(GOOGLEFINANCE(B973,""price"",TODAY()-365,TODAY()),1,0),""select Col2 limit 10""))"),4963.4800000000005)</f>
        <v>4963.48</v>
      </c>
      <c r="J973" s="17">
        <f>IFERROR(__xludf.DUMMYFUNCTION("AVERAGE(QUERY(SORT(GOOGLEFINANCE(B973,""price"",TODAY()-365,TODAY()),1,0),""select Col2 limit 30""))"),4866.506666666667)</f>
        <v>4866.506667</v>
      </c>
      <c r="K973" s="18">
        <f>IFERROR(__xludf.DUMMYFUNCTION("AVERAGE(QUERY(SORT(GOOGLEFINANCE(B973,""price"",TODAY()-365,TODAY()),1,0),""select Col2 limit 60""))"),4620.891666666666)</f>
        <v>4620.891667</v>
      </c>
      <c r="L973" s="17">
        <f>IFERROR(__xludf.DUMMYFUNCTION("AVERAGE(QUERY(SORT(GOOGLEFINANCE(B973,""price"",TODAY()-365,TODAY()),1,0),""select Col2 limit 90""))"),4278.496666666666)</f>
        <v>4278.496667</v>
      </c>
      <c r="M973" s="17">
        <f>IFERROR(__xludf.DUMMYFUNCTION("AVERAGE(QUERY(SORT(GOOGLEFINANCE(B973,""price"",TODAY()-365,TODAY()),1,0),""select Col2 limit 120""))"),4106.51125)</f>
        <v>4106.51125</v>
      </c>
      <c r="N973" s="19">
        <f>IFERROR(__xludf.DUMMYFUNCTION("AVERAGE(QUERY(SORT(GOOGLEFINANCE(B973,""price"",TODAY()-365,TODAY()),1,0),""select Col2 limit 200""))"),4190.928499999999)</f>
        <v>4190.9285</v>
      </c>
      <c r="O973" s="20" t="str">
        <f t="shared" si="2"/>
        <v>Avoid</v>
      </c>
      <c r="P973" s="21" t="str">
        <f t="shared" si="3"/>
        <v/>
      </c>
      <c r="Q973" s="21" t="str">
        <f t="shared" si="4"/>
        <v/>
      </c>
      <c r="R973" s="22">
        <f>IFERROR(__xludf.DUMMYFUNCTION("GOOGLEFINANCE(B973, ""pe"")
"),43.01)</f>
        <v>43.01</v>
      </c>
    </row>
    <row r="974">
      <c r="A974" s="9" t="s">
        <v>984</v>
      </c>
      <c r="B974" s="11" t="str">
        <f t="shared" si="1"/>
        <v>NSE:ACCELYA</v>
      </c>
      <c r="C974" s="12">
        <f>IFERROR(__xludf.DUMMYFUNCTION("GOOGLEFINANCE(B974,""marketcap"")/10000000"),2049.523351)</f>
        <v>2049.523351</v>
      </c>
      <c r="D974" s="13">
        <f>IFERROR(__xludf.DUMMYFUNCTION("GOOGLEFINANCE(B974,""price"")"),1373.1)</f>
        <v>1373.1</v>
      </c>
      <c r="E974" s="14">
        <f>IFERROR(__xludf.DUMMYFUNCTION("GOOGLEFINANCE(B974,""Volume"")"),4806.0)</f>
        <v>4806</v>
      </c>
      <c r="F974" s="14">
        <f t="array" ref="F974">F973</f>
        <v>14</v>
      </c>
      <c r="G974" s="15" t="str">
        <f>IFERROR(__xludf.DUMMYFUNCTION("IF(E974&gt;AVERAGE(INDEX(GOOGLEFINANCE(B974,""volume"",WORKDAY(TODAY(),-$F$1),TODAY()),,2)),""Breakout"","""")"),"")</f>
        <v/>
      </c>
      <c r="H974" s="16">
        <f>IFERROR(__xludf.DUMMYFUNCTION("GOOGLEFINANCE(B974,""price"")"),1373.1)</f>
        <v>1373.1</v>
      </c>
      <c r="I974" s="17">
        <f>IFERROR(__xludf.DUMMYFUNCTION("AVERAGE(QUERY(SORT(GOOGLEFINANCE(B974,""price"",TODAY()-365,TODAY()),1,0),""select Col2 limit 10""))"),1406.65)</f>
        <v>1406.65</v>
      </c>
      <c r="J974" s="17">
        <f>IFERROR(__xludf.DUMMYFUNCTION("AVERAGE(QUERY(SORT(GOOGLEFINANCE(B974,""price"",TODAY()-365,TODAY()),1,0),""select Col2 limit 30""))"),1409.8366666666666)</f>
        <v>1409.836667</v>
      </c>
      <c r="K974" s="18">
        <f>IFERROR(__xludf.DUMMYFUNCTION("AVERAGE(QUERY(SORT(GOOGLEFINANCE(B974,""price"",TODAY()-365,TODAY()),1,0),""select Col2 limit 60""))"),1398.01)</f>
        <v>1398.01</v>
      </c>
      <c r="L974" s="17">
        <f>IFERROR(__xludf.DUMMYFUNCTION("AVERAGE(QUERY(SORT(GOOGLEFINANCE(B974,""price"",TODAY()-365,TODAY()),1,0),""select Col2 limit 90""))"),1368.8716666666667)</f>
        <v>1368.871667</v>
      </c>
      <c r="M974" s="17">
        <f>IFERROR(__xludf.DUMMYFUNCTION("AVERAGE(QUERY(SORT(GOOGLEFINANCE(B974,""price"",TODAY()-365,TODAY()),1,0),""select Col2 limit 120""))"),1363.9216666666666)</f>
        <v>1363.921667</v>
      </c>
      <c r="N974" s="19">
        <f>IFERROR(__xludf.DUMMYFUNCTION("AVERAGE(QUERY(SORT(GOOGLEFINANCE(B974,""price"",TODAY()-365,TODAY()),1,0),""select Col2 limit 200""))"),1445.2357499999998)</f>
        <v>1445.23575</v>
      </c>
      <c r="O974" s="20" t="str">
        <f t="shared" si="2"/>
        <v>Avoid</v>
      </c>
      <c r="P974" s="21" t="str">
        <f t="shared" si="3"/>
        <v/>
      </c>
      <c r="Q974" s="21" t="str">
        <f t="shared" si="4"/>
        <v/>
      </c>
      <c r="R974" s="22">
        <f>IFERROR(__xludf.DUMMYFUNCTION("GOOGLEFINANCE(B974, ""pe"")
"),16.23)</f>
        <v>16.23</v>
      </c>
    </row>
    <row r="975">
      <c r="A975" s="9" t="s">
        <v>985</v>
      </c>
      <c r="B975" s="11" t="str">
        <f t="shared" si="1"/>
        <v>NSE:LUMAXIND</v>
      </c>
      <c r="C975" s="12">
        <f>IFERROR(__xludf.DUMMYFUNCTION("GOOGLEFINANCE(B975,""marketcap"")/10000000"),3579.1530141)</f>
        <v>3579.153014</v>
      </c>
      <c r="D975" s="13">
        <f>IFERROR(__xludf.DUMMYFUNCTION("GOOGLEFINANCE(B975,""price"")"),3836.9)</f>
        <v>3836.9</v>
      </c>
      <c r="E975" s="14">
        <f>IFERROR(__xludf.DUMMYFUNCTION("GOOGLEFINANCE(B975,""Volume"")"),3701.0)</f>
        <v>3701</v>
      </c>
      <c r="F975" s="14">
        <f t="array" ref="F975">F974</f>
        <v>14</v>
      </c>
      <c r="G975" s="15" t="str">
        <f>IFERROR(__xludf.DUMMYFUNCTION("IF(E975&gt;AVERAGE(INDEX(GOOGLEFINANCE(B975,""volume"",WORKDAY(TODAY(),-$F$1),TODAY()),,2)),""Breakout"","""")"),"")</f>
        <v/>
      </c>
      <c r="H975" s="16">
        <f>IFERROR(__xludf.DUMMYFUNCTION("GOOGLEFINANCE(B975,""price"")"),3836.9)</f>
        <v>3836.9</v>
      </c>
      <c r="I975" s="17">
        <f>IFERROR(__xludf.DUMMYFUNCTION("AVERAGE(QUERY(SORT(GOOGLEFINANCE(B975,""price"",TODAY()-365,TODAY()),1,0),""select Col2 limit 10""))"),3821.5800000000004)</f>
        <v>3821.58</v>
      </c>
      <c r="J975" s="17">
        <f>IFERROR(__xludf.DUMMYFUNCTION("AVERAGE(QUERY(SORT(GOOGLEFINANCE(B975,""price"",TODAY()-365,TODAY()),1,0),""select Col2 limit 30""))"),3560.3766666666666)</f>
        <v>3560.376667</v>
      </c>
      <c r="K975" s="18">
        <f>IFERROR(__xludf.DUMMYFUNCTION("AVERAGE(QUERY(SORT(GOOGLEFINANCE(B975,""price"",TODAY()-365,TODAY()),1,0),""select Col2 limit 60""))"),3172.884999999998)</f>
        <v>3172.885</v>
      </c>
      <c r="L975" s="17">
        <f>IFERROR(__xludf.DUMMYFUNCTION("AVERAGE(QUERY(SORT(GOOGLEFINANCE(B975,""price"",TODAY()-365,TODAY()),1,0),""select Col2 limit 90""))"),2929.3866666666654)</f>
        <v>2929.386667</v>
      </c>
      <c r="M975" s="17">
        <f>IFERROR(__xludf.DUMMYFUNCTION("AVERAGE(QUERY(SORT(GOOGLEFINANCE(B975,""price"",TODAY()-365,TODAY()),1,0),""select Col2 limit 120""))"),2770.3533333333326)</f>
        <v>2770.353333</v>
      </c>
      <c r="N975" s="19">
        <f>IFERROR(__xludf.DUMMYFUNCTION("AVERAGE(QUERY(SORT(GOOGLEFINANCE(B975,""price"",TODAY()-365,TODAY()),1,0),""select Col2 limit 200""))"),2625.5544999999997)</f>
        <v>2625.5545</v>
      </c>
      <c r="O975" s="20" t="str">
        <f t="shared" si="2"/>
        <v>Avoid</v>
      </c>
      <c r="P975" s="21" t="str">
        <f t="shared" si="3"/>
        <v/>
      </c>
      <c r="Q975" s="21" t="str">
        <f t="shared" si="4"/>
        <v/>
      </c>
      <c r="R975" s="22">
        <f>IFERROR(__xludf.DUMMYFUNCTION("GOOGLEFINANCE(B975, ""pe"")
"),25.59)</f>
        <v>25.59</v>
      </c>
    </row>
    <row r="976">
      <c r="A976" s="9" t="s">
        <v>986</v>
      </c>
      <c r="B976" s="11" t="str">
        <f t="shared" si="1"/>
        <v>NSE:SKYGOLD</v>
      </c>
      <c r="C976" s="12">
        <f>IFERROR(__xludf.DUMMYFUNCTION("GOOGLEFINANCE(B976,""marketcap"")/10000000"),4623.7341223)</f>
        <v>4623.734122</v>
      </c>
      <c r="D976" s="13">
        <f>IFERROR(__xludf.DUMMYFUNCTION("GOOGLEFINANCE(B976,""price"")"),311.25)</f>
        <v>311.25</v>
      </c>
      <c r="E976" s="14">
        <f>IFERROR(__xludf.DUMMYFUNCTION("GOOGLEFINANCE(B976,""Volume"")"),844273.0)</f>
        <v>844273</v>
      </c>
      <c r="F976" s="14">
        <f t="array" ref="F976">F975</f>
        <v>14</v>
      </c>
      <c r="G976" s="15" t="str">
        <f>IFERROR(__xludf.DUMMYFUNCTION("IF(E976&gt;AVERAGE(INDEX(GOOGLEFINANCE(B976,""volume"",WORKDAY(TODAY(),-$F$1),TODAY()),,2)),""Breakout"","""")"),"")</f>
        <v/>
      </c>
      <c r="H976" s="16">
        <f>IFERROR(__xludf.DUMMYFUNCTION("GOOGLEFINANCE(B976,""price"")"),311.25)</f>
        <v>311.25</v>
      </c>
      <c r="I976" s="17">
        <f>IFERROR(__xludf.DUMMYFUNCTION("AVERAGE(QUERY(SORT(GOOGLEFINANCE(B976,""price"",TODAY()-365,TODAY()),1,0),""select Col2 limit 10""))"),323.87)</f>
        <v>323.87</v>
      </c>
      <c r="J976" s="17">
        <f>IFERROR(__xludf.DUMMYFUNCTION("AVERAGE(QUERY(SORT(GOOGLEFINANCE(B976,""price"",TODAY()-365,TODAY()),1,0),""select Col2 limit 30""))"),324.78166666666664)</f>
        <v>324.7816667</v>
      </c>
      <c r="K976" s="18">
        <f>IFERROR(__xludf.DUMMYFUNCTION("AVERAGE(QUERY(SORT(GOOGLEFINANCE(B976,""price"",TODAY()-365,TODAY()),1,0),""select Col2 limit 60""))"),337.92083333333335)</f>
        <v>337.9208333</v>
      </c>
      <c r="L976" s="17">
        <f>IFERROR(__xludf.DUMMYFUNCTION("AVERAGE(QUERY(SORT(GOOGLEFINANCE(B976,""price"",TODAY()-365,TODAY()),1,0),""select Col2 limit 90""))"),333.59222222222223)</f>
        <v>333.5922222</v>
      </c>
      <c r="M976" s="17">
        <f>IFERROR(__xludf.DUMMYFUNCTION("AVERAGE(QUERY(SORT(GOOGLEFINANCE(B976,""price"",TODAY()-365,TODAY()),1,0),""select Col2 limit 120""))"),338.45375000000007)</f>
        <v>338.45375</v>
      </c>
      <c r="N976" s="19">
        <f>IFERROR(__xludf.DUMMYFUNCTION("AVERAGE(QUERY(SORT(GOOGLEFINANCE(B976,""price"",TODAY()-365,TODAY()),1,0),""select Col2 limit 200""))"),349.98404999999997)</f>
        <v>349.98405</v>
      </c>
      <c r="O976" s="20" t="str">
        <f t="shared" si="2"/>
        <v>Avoid</v>
      </c>
      <c r="P976" s="21" t="str">
        <f t="shared" si="3"/>
        <v/>
      </c>
      <c r="Q976" s="21" t="str">
        <f t="shared" si="4"/>
        <v/>
      </c>
      <c r="R976" s="22">
        <f>IFERROR(__xludf.DUMMYFUNCTION("GOOGLEFINANCE(B976, ""pe"")
"),27.33)</f>
        <v>27.33</v>
      </c>
    </row>
    <row r="977">
      <c r="A977" s="9" t="s">
        <v>987</v>
      </c>
      <c r="B977" s="11" t="str">
        <f t="shared" si="1"/>
        <v>NSE:PSPPROJECT</v>
      </c>
      <c r="C977" s="12">
        <f>IFERROR(__xludf.DUMMYFUNCTION("GOOGLEFINANCE(B977,""marketcap"")/10000000"),3193.5425056)</f>
        <v>3193.542506</v>
      </c>
      <c r="D977" s="13">
        <f>IFERROR(__xludf.DUMMYFUNCTION("GOOGLEFINANCE(B977,""price"")"),806.2)</f>
        <v>806.2</v>
      </c>
      <c r="E977" s="14">
        <f>IFERROR(__xludf.DUMMYFUNCTION("GOOGLEFINANCE(B977,""Volume"")"),14378.0)</f>
        <v>14378</v>
      </c>
      <c r="F977" s="14">
        <f t="array" ref="F977">F976</f>
        <v>14</v>
      </c>
      <c r="G977" s="15" t="str">
        <f>IFERROR(__xludf.DUMMYFUNCTION("IF(E977&gt;AVERAGE(INDEX(GOOGLEFINANCE(B977,""volume"",WORKDAY(TODAY(),-$F$1),TODAY()),,2)),""Breakout"","""")"),"")</f>
        <v/>
      </c>
      <c r="H977" s="16">
        <f>IFERROR(__xludf.DUMMYFUNCTION("GOOGLEFINANCE(B977,""price"")"),806.2)</f>
        <v>806.2</v>
      </c>
      <c r="I977" s="17">
        <f>IFERROR(__xludf.DUMMYFUNCTION("AVERAGE(QUERY(SORT(GOOGLEFINANCE(B977,""price"",TODAY()-365,TODAY()),1,0),""select Col2 limit 10""))"),816.2250000000001)</f>
        <v>816.225</v>
      </c>
      <c r="J977" s="17">
        <f>IFERROR(__xludf.DUMMYFUNCTION("AVERAGE(QUERY(SORT(GOOGLEFINANCE(B977,""price"",TODAY()-365,TODAY()),1,0),""select Col2 limit 30""))"),776.4383333333333)</f>
        <v>776.4383333</v>
      </c>
      <c r="K977" s="18">
        <f>IFERROR(__xludf.DUMMYFUNCTION("AVERAGE(QUERY(SORT(GOOGLEFINANCE(B977,""price"",TODAY()-365,TODAY()),1,0),""select Col2 limit 60""))"),713.4)</f>
        <v>713.4</v>
      </c>
      <c r="L977" s="17">
        <f>IFERROR(__xludf.DUMMYFUNCTION("AVERAGE(QUERY(SORT(GOOGLEFINANCE(B977,""price"",TODAY()-365,TODAY()),1,0),""select Col2 limit 90""))"),687.0455555555554)</f>
        <v>687.0455556</v>
      </c>
      <c r="M977" s="17">
        <f>IFERROR(__xludf.DUMMYFUNCTION("AVERAGE(QUERY(SORT(GOOGLEFINANCE(B977,""price"",TODAY()-365,TODAY()),1,0),""select Col2 limit 120""))"),671.6512500000001)</f>
        <v>671.65125</v>
      </c>
      <c r="N977" s="19">
        <f>IFERROR(__xludf.DUMMYFUNCTION("AVERAGE(QUERY(SORT(GOOGLEFINANCE(B977,""price"",TODAY()-365,TODAY()),1,0),""select Col2 limit 200""))"),661.3002500000002)</f>
        <v>661.30025</v>
      </c>
      <c r="O977" s="20" t="str">
        <f t="shared" si="2"/>
        <v>Avoid</v>
      </c>
      <c r="P977" s="21" t="str">
        <f t="shared" si="3"/>
        <v/>
      </c>
      <c r="Q977" s="21" t="str">
        <f t="shared" si="4"/>
        <v/>
      </c>
      <c r="R977" s="22">
        <f>IFERROR(__xludf.DUMMYFUNCTION("GOOGLEFINANCE(B977, ""pe"")
"),56.23)</f>
        <v>56.23</v>
      </c>
    </row>
    <row r="978">
      <c r="A978" s="9" t="s">
        <v>988</v>
      </c>
      <c r="B978" s="11" t="str">
        <f t="shared" si="1"/>
        <v>NSE:EIHAHOTELS</v>
      </c>
      <c r="C978" s="12">
        <f>IFERROR(__xludf.DUMMYFUNCTION("GOOGLEFINANCE(B978,""marketcap"")/10000000"),2341.1727203)</f>
        <v>2341.17272</v>
      </c>
      <c r="D978" s="13">
        <f>IFERROR(__xludf.DUMMYFUNCTION("GOOGLEFINANCE(B978,""price"")"),384.45)</f>
        <v>384.45</v>
      </c>
      <c r="E978" s="14">
        <f>IFERROR(__xludf.DUMMYFUNCTION("GOOGLEFINANCE(B978,""Volume"")"),5831.0)</f>
        <v>5831</v>
      </c>
      <c r="F978" s="14">
        <f t="array" ref="F978">F977</f>
        <v>14</v>
      </c>
      <c r="G978" s="15" t="str">
        <f>IFERROR(__xludf.DUMMYFUNCTION("IF(E978&gt;AVERAGE(INDEX(GOOGLEFINANCE(B978,""volume"",WORKDAY(TODAY(),-$F$1),TODAY()),,2)),""Breakout"","""")"),"")</f>
        <v/>
      </c>
      <c r="H978" s="16">
        <f>IFERROR(__xludf.DUMMYFUNCTION("GOOGLEFINANCE(B978,""price"")"),384.45)</f>
        <v>384.45</v>
      </c>
      <c r="I978" s="17">
        <f>IFERROR(__xludf.DUMMYFUNCTION("AVERAGE(QUERY(SORT(GOOGLEFINANCE(B978,""price"",TODAY()-365,TODAY()),1,0),""select Col2 limit 10""))"),392.305)</f>
        <v>392.305</v>
      </c>
      <c r="J978" s="17">
        <f>IFERROR(__xludf.DUMMYFUNCTION("AVERAGE(QUERY(SORT(GOOGLEFINANCE(B978,""price"",TODAY()-365,TODAY()),1,0),""select Col2 limit 30""))"),383.22999999999996)</f>
        <v>383.23</v>
      </c>
      <c r="K978" s="18">
        <f>IFERROR(__xludf.DUMMYFUNCTION("AVERAGE(QUERY(SORT(GOOGLEFINANCE(B978,""price"",TODAY()-365,TODAY()),1,0),""select Col2 limit 60""))"),380.11666666666673)</f>
        <v>380.1166667</v>
      </c>
      <c r="L978" s="17">
        <f>IFERROR(__xludf.DUMMYFUNCTION("AVERAGE(QUERY(SORT(GOOGLEFINANCE(B978,""price"",TODAY()-365,TODAY()),1,0),""select Col2 limit 90""))"),372.82444444444457)</f>
        <v>372.8244444</v>
      </c>
      <c r="M978" s="17">
        <f>IFERROR(__xludf.DUMMYFUNCTION("AVERAGE(QUERY(SORT(GOOGLEFINANCE(B978,""price"",TODAY()-365,TODAY()),1,0),""select Col2 limit 120""))"),367.7320833333334)</f>
        <v>367.7320833</v>
      </c>
      <c r="N978" s="19">
        <f>IFERROR(__xludf.DUMMYFUNCTION("AVERAGE(QUERY(SORT(GOOGLEFINANCE(B978,""price"",TODAY()-365,TODAY()),1,0),""select Col2 limit 200""))"),377.86350000000004)</f>
        <v>377.8635</v>
      </c>
      <c r="O978" s="20" t="str">
        <f t="shared" si="2"/>
        <v>Avoid</v>
      </c>
      <c r="P978" s="21" t="str">
        <f t="shared" si="3"/>
        <v/>
      </c>
      <c r="Q978" s="21" t="str">
        <f t="shared" si="4"/>
        <v/>
      </c>
      <c r="R978" s="22">
        <f>IFERROR(__xludf.DUMMYFUNCTION("GOOGLEFINANCE(B978, ""pe"")
"),25.55)</f>
        <v>25.55</v>
      </c>
    </row>
    <row r="979">
      <c r="A979" s="9" t="s">
        <v>989</v>
      </c>
      <c r="B979" s="11" t="str">
        <f t="shared" si="1"/>
        <v>NSE:PRECWIRE</v>
      </c>
      <c r="C979" s="12">
        <f>IFERROR(__xludf.DUMMYFUNCTION("GOOGLEFINANCE(B979,""marketcap"")/10000000"),3204.7654974)</f>
        <v>3204.765497</v>
      </c>
      <c r="D979" s="13">
        <f>IFERROR(__xludf.DUMMYFUNCTION("GOOGLEFINANCE(B979,""price"")"),179.1)</f>
        <v>179.1</v>
      </c>
      <c r="E979" s="14">
        <f>IFERROR(__xludf.DUMMYFUNCTION("GOOGLEFINANCE(B979,""Volume"")"),65042.0)</f>
        <v>65042</v>
      </c>
      <c r="F979" s="14">
        <f t="array" ref="F979">F978</f>
        <v>14</v>
      </c>
      <c r="G979" s="15" t="str">
        <f>IFERROR(__xludf.DUMMYFUNCTION("IF(E979&gt;AVERAGE(INDEX(GOOGLEFINANCE(B979,""volume"",WORKDAY(TODAY(),-$F$1),TODAY()),,2)),""Breakout"","""")"),"")</f>
        <v/>
      </c>
      <c r="H979" s="16">
        <f>IFERROR(__xludf.DUMMYFUNCTION("GOOGLEFINANCE(B979,""price"")"),179.1)</f>
        <v>179.1</v>
      </c>
      <c r="I979" s="17">
        <f>IFERROR(__xludf.DUMMYFUNCTION("AVERAGE(QUERY(SORT(GOOGLEFINANCE(B979,""price"",TODAY()-365,TODAY()),1,0),""select Col2 limit 10""))"),190.23100000000002)</f>
        <v>190.231</v>
      </c>
      <c r="J979" s="17">
        <f>IFERROR(__xludf.DUMMYFUNCTION("AVERAGE(QUERY(SORT(GOOGLEFINANCE(B979,""price"",TODAY()-365,TODAY()),1,0),""select Col2 limit 30""))"),186.14966666666666)</f>
        <v>186.1496667</v>
      </c>
      <c r="K979" s="18">
        <f>IFERROR(__xludf.DUMMYFUNCTION("AVERAGE(QUERY(SORT(GOOGLEFINANCE(B979,""price"",TODAY()-365,TODAY()),1,0),""select Col2 limit 60""))"),178.26099999999997)</f>
        <v>178.261</v>
      </c>
      <c r="L979" s="17">
        <f>IFERROR(__xludf.DUMMYFUNCTION("AVERAGE(QUERY(SORT(GOOGLEFINANCE(B979,""price"",TODAY()-365,TODAY()),1,0),""select Col2 limit 90""))"),164.2641111111111)</f>
        <v>164.2641111</v>
      </c>
      <c r="M979" s="17">
        <f>IFERROR(__xludf.DUMMYFUNCTION("AVERAGE(QUERY(SORT(GOOGLEFINANCE(B979,""price"",TODAY()-365,TODAY()),1,0),""select Col2 limit 120""))"),159.6473333333334)</f>
        <v>159.6473333</v>
      </c>
      <c r="N979" s="19">
        <f>IFERROR(__xludf.DUMMYFUNCTION("AVERAGE(QUERY(SORT(GOOGLEFINANCE(B979,""price"",TODAY()-365,TODAY()),1,0),""select Col2 limit 200""))"),168.38090000000008)</f>
        <v>168.3809</v>
      </c>
      <c r="O979" s="20" t="str">
        <f t="shared" si="2"/>
        <v>Avoid</v>
      </c>
      <c r="P979" s="21" t="str">
        <f t="shared" si="3"/>
        <v/>
      </c>
      <c r="Q979" s="21" t="str">
        <f t="shared" si="4"/>
        <v/>
      </c>
      <c r="R979" s="22">
        <f>IFERROR(__xludf.DUMMYFUNCTION("GOOGLEFINANCE(B979, ""pe"")
"),35.54)</f>
        <v>35.54</v>
      </c>
    </row>
    <row r="980">
      <c r="A980" s="9" t="s">
        <v>990</v>
      </c>
      <c r="B980" s="11" t="str">
        <f t="shared" si="1"/>
        <v>NSE:RPTECH</v>
      </c>
      <c r="C980" s="12">
        <f>IFERROR(__xludf.DUMMYFUNCTION("GOOGLEFINANCE(B980,""marketcap"")/10000000"),1926.5766003)</f>
        <v>1926.5766</v>
      </c>
      <c r="D980" s="13">
        <f>IFERROR(__xludf.DUMMYFUNCTION("GOOGLEFINANCE(B980,""price"")"),292.35)</f>
        <v>292.35</v>
      </c>
      <c r="E980" s="14">
        <f>IFERROR(__xludf.DUMMYFUNCTION("GOOGLEFINANCE(B980,""Volume"")"),25818.0)</f>
        <v>25818</v>
      </c>
      <c r="F980" s="14">
        <f t="array" ref="F980">F979</f>
        <v>14</v>
      </c>
      <c r="G980" s="15" t="str">
        <f>IFERROR(__xludf.DUMMYFUNCTION("IF(E980&gt;AVERAGE(INDEX(GOOGLEFINANCE(B980,""volume"",WORKDAY(TODAY(),-$F$1),TODAY()),,2)),""Breakout"","""")"),"")</f>
        <v/>
      </c>
      <c r="H980" s="16">
        <f>IFERROR(__xludf.DUMMYFUNCTION("GOOGLEFINANCE(B980,""price"")"),292.35)</f>
        <v>292.35</v>
      </c>
      <c r="I980" s="17">
        <f>IFERROR(__xludf.DUMMYFUNCTION("AVERAGE(QUERY(SORT(GOOGLEFINANCE(B980,""price"",TODAY()-365,TODAY()),1,0),""select Col2 limit 10""))"),305.46999999999997)</f>
        <v>305.47</v>
      </c>
      <c r="J980" s="17">
        <f>IFERROR(__xludf.DUMMYFUNCTION("AVERAGE(QUERY(SORT(GOOGLEFINANCE(B980,""price"",TODAY()-365,TODAY()),1,0),""select Col2 limit 30""))"),302.34666666666664)</f>
        <v>302.3466667</v>
      </c>
      <c r="K980" s="18">
        <f>IFERROR(__xludf.DUMMYFUNCTION("AVERAGE(QUERY(SORT(GOOGLEFINANCE(B980,""price"",TODAY()-365,TODAY()),1,0),""select Col2 limit 60""))"),301.9158333333334)</f>
        <v>301.9158333</v>
      </c>
      <c r="L980" s="17">
        <f>IFERROR(__xludf.DUMMYFUNCTION("AVERAGE(QUERY(SORT(GOOGLEFINANCE(B980,""price"",TODAY()-365,TODAY()),1,0),""select Col2 limit 90""))"),299.1683333333333)</f>
        <v>299.1683333</v>
      </c>
      <c r="M980" s="17">
        <f>IFERROR(__xludf.DUMMYFUNCTION("AVERAGE(QUERY(SORT(GOOGLEFINANCE(B980,""price"",TODAY()-365,TODAY()),1,0),""select Col2 limit 120""))"),299.48249999999996)</f>
        <v>299.4825</v>
      </c>
      <c r="N980" s="19">
        <f>IFERROR(__xludf.DUMMYFUNCTION("AVERAGE(QUERY(SORT(GOOGLEFINANCE(B980,""price"",TODAY()-365,TODAY()),1,0),""select Col2 limit 200""))"),335.79624999999993)</f>
        <v>335.79625</v>
      </c>
      <c r="O980" s="20" t="str">
        <f t="shared" si="2"/>
        <v>Avoid</v>
      </c>
      <c r="P980" s="21" t="str">
        <f t="shared" si="3"/>
        <v/>
      </c>
      <c r="Q980" s="21" t="str">
        <f t="shared" si="4"/>
        <v/>
      </c>
      <c r="R980" s="22">
        <f>IFERROR(__xludf.DUMMYFUNCTION("GOOGLEFINANCE(B980, ""pe"")
"),9.27)</f>
        <v>9.27</v>
      </c>
    </row>
    <row r="981">
      <c r="A981" s="9" t="s">
        <v>991</v>
      </c>
      <c r="B981" s="11" t="str">
        <f t="shared" si="1"/>
        <v>NSE:GEOJITFSL</v>
      </c>
      <c r="C981" s="12">
        <f>IFERROR(__xludf.DUMMYFUNCTION("GOOGLEFINANCE(B981,""marketcap"")/10000000"),2050.439654)</f>
        <v>2050.439654</v>
      </c>
      <c r="D981" s="13">
        <f>IFERROR(__xludf.DUMMYFUNCTION("GOOGLEFINANCE(B981,""price"")"),73.41)</f>
        <v>73.41</v>
      </c>
      <c r="E981" s="14">
        <f>IFERROR(__xludf.DUMMYFUNCTION("GOOGLEFINANCE(B981,""Volume"")"),295328.0)</f>
        <v>295328</v>
      </c>
      <c r="F981" s="14">
        <f t="array" ref="F981">F980</f>
        <v>14</v>
      </c>
      <c r="G981" s="15" t="str">
        <f>IFERROR(__xludf.DUMMYFUNCTION("IF(E981&gt;AVERAGE(INDEX(GOOGLEFINANCE(B981,""volume"",WORKDAY(TODAY(),-$F$1),TODAY()),,2)),""Breakout"","""")"),"#N/A")</f>
        <v>#N/A</v>
      </c>
      <c r="H981" s="16">
        <f>IFERROR(__xludf.DUMMYFUNCTION("GOOGLEFINANCE(B981,""price"")"),73.41)</f>
        <v>73.41</v>
      </c>
      <c r="I981" s="17">
        <f>IFERROR(__xludf.DUMMYFUNCTION("AVERAGE(QUERY(SORT(GOOGLEFINANCE(B981,""price"",TODAY()-365,TODAY()),1,0),""select Col2 limit 10""))"),76.77999999999999)</f>
        <v>76.78</v>
      </c>
      <c r="J981" s="17">
        <f>IFERROR(__xludf.DUMMYFUNCTION("AVERAGE(QUERY(SORT(GOOGLEFINANCE(B981,""price"",TODAY()-365,TODAY()),1,0),""select Col2 limit 30""))"),81.51299999999999)</f>
        <v>81.513</v>
      </c>
      <c r="K981" s="18">
        <f>IFERROR(__xludf.DUMMYFUNCTION("AVERAGE(QUERY(SORT(GOOGLEFINANCE(B981,""price"",TODAY()-365,TODAY()),1,0),""select Col2 limit 60""))"),82.5796666666667)</f>
        <v>82.57966667</v>
      </c>
      <c r="L981" s="17">
        <f>IFERROR(__xludf.DUMMYFUNCTION("AVERAGE(QUERY(SORT(GOOGLEFINANCE(B981,""price"",TODAY()-365,TODAY()),1,0),""select Col2 limit 90""))"),79.39422222222221)</f>
        <v>79.39422222</v>
      </c>
      <c r="M981" s="17">
        <f>IFERROR(__xludf.DUMMYFUNCTION("AVERAGE(QUERY(SORT(GOOGLEFINANCE(B981,""price"",TODAY()-365,TODAY()),1,0),""select Col2 limit 120""))"),79.32091666666665)</f>
        <v>79.32091667</v>
      </c>
      <c r="N981" s="19">
        <f>IFERROR(__xludf.DUMMYFUNCTION("AVERAGE(QUERY(SORT(GOOGLEFINANCE(B981,""price"",TODAY()-365,TODAY()),1,0),""select Col2 limit 200""))"),95.45129999999999)</f>
        <v>95.4513</v>
      </c>
      <c r="O981" s="20" t="str">
        <f t="shared" si="2"/>
        <v>Avoid</v>
      </c>
      <c r="P981" s="21" t="str">
        <f t="shared" si="3"/>
        <v/>
      </c>
      <c r="Q981" s="21" t="str">
        <f t="shared" si="4"/>
        <v/>
      </c>
      <c r="R981" s="22">
        <f>IFERROR(__xludf.DUMMYFUNCTION("GOOGLEFINANCE(B981, ""pe"")
"),13.33)</f>
        <v>13.33</v>
      </c>
    </row>
    <row r="982">
      <c r="A982" s="9" t="s">
        <v>992</v>
      </c>
      <c r="B982" s="11" t="str">
        <f t="shared" si="1"/>
        <v>NSE:MAYURUNIQ</v>
      </c>
      <c r="C982" s="12">
        <f>IFERROR(__xludf.DUMMYFUNCTION("GOOGLEFINANCE(B982,""marketcap"")/10000000"),2554.360397)</f>
        <v>2554.360397</v>
      </c>
      <c r="D982" s="13">
        <f>IFERROR(__xludf.DUMMYFUNCTION("GOOGLEFINANCE(B982,""price"")"),590.0)</f>
        <v>590</v>
      </c>
      <c r="E982" s="14">
        <f>IFERROR(__xludf.DUMMYFUNCTION("GOOGLEFINANCE(B982,""Volume"")"),24512.0)</f>
        <v>24512</v>
      </c>
      <c r="F982" s="14">
        <f t="array" ref="F982">F981</f>
        <v>14</v>
      </c>
      <c r="G982" s="15" t="str">
        <f>IFERROR(__xludf.DUMMYFUNCTION("IF(E982&gt;AVERAGE(INDEX(GOOGLEFINANCE(B982,""volume"",WORKDAY(TODAY(),-$F$1),TODAY()),,2)),""Breakout"","""")"),"#N/A")</f>
        <v>#N/A</v>
      </c>
      <c r="H982" s="16">
        <f>IFERROR(__xludf.DUMMYFUNCTION("GOOGLEFINANCE(B982,""price"")"),590.0)</f>
        <v>590</v>
      </c>
      <c r="I982" s="17">
        <f>IFERROR(__xludf.DUMMYFUNCTION("AVERAGE(QUERY(SORT(GOOGLEFINANCE(B982,""price"",TODAY()-365,TODAY()),1,0),""select Col2 limit 10""))"),598.7900000000001)</f>
        <v>598.79</v>
      </c>
      <c r="J982" s="17">
        <f>IFERROR(__xludf.DUMMYFUNCTION("AVERAGE(QUERY(SORT(GOOGLEFINANCE(B982,""price"",TODAY()-365,TODAY()),1,0),""select Col2 limit 30""))"),574.3116666666666)</f>
        <v>574.3116667</v>
      </c>
      <c r="K982" s="18">
        <f>IFERROR(__xludf.DUMMYFUNCTION("AVERAGE(QUERY(SORT(GOOGLEFINANCE(B982,""price"",TODAY()-365,TODAY()),1,0),""select Col2 limit 60""))"),570.5725)</f>
        <v>570.5725</v>
      </c>
      <c r="L982" s="17">
        <f>IFERROR(__xludf.DUMMYFUNCTION("AVERAGE(QUERY(SORT(GOOGLEFINANCE(B982,""price"",TODAY()-365,TODAY()),1,0),""select Col2 limit 90""))"),538.4166666666666)</f>
        <v>538.4166667</v>
      </c>
      <c r="M982" s="17">
        <f>IFERROR(__xludf.DUMMYFUNCTION("AVERAGE(QUERY(SORT(GOOGLEFINANCE(B982,""price"",TODAY()-365,TODAY()),1,0),""select Col2 limit 120""))"),528.8833333333333)</f>
        <v>528.8833333</v>
      </c>
      <c r="N982" s="19">
        <f>IFERROR(__xludf.DUMMYFUNCTION("AVERAGE(QUERY(SORT(GOOGLEFINANCE(B982,""price"",TODAY()-365,TODAY()),1,0),""select Col2 limit 200""))"),554.7392500000002)</f>
        <v>554.73925</v>
      </c>
      <c r="O982" s="20" t="str">
        <f t="shared" si="2"/>
        <v>Avoid</v>
      </c>
      <c r="P982" s="21" t="str">
        <f t="shared" si="3"/>
        <v/>
      </c>
      <c r="Q982" s="21" t="str">
        <f t="shared" si="4"/>
        <v/>
      </c>
      <c r="R982" s="22">
        <f>IFERROR(__xludf.DUMMYFUNCTION("GOOGLEFINANCE(B982, ""pe"")
"),17.2)</f>
        <v>17.2</v>
      </c>
    </row>
    <row r="983">
      <c r="A983" s="9" t="s">
        <v>993</v>
      </c>
      <c r="B983" s="11" t="str">
        <f t="shared" si="1"/>
        <v>NSE:REFEX</v>
      </c>
      <c r="C983" s="12">
        <f>IFERROR(__xludf.DUMMYFUNCTION("GOOGLEFINANCE(B983,""marketcap"")/10000000"),5237.1571849)</f>
        <v>5237.157185</v>
      </c>
      <c r="D983" s="13">
        <f>IFERROR(__xludf.DUMMYFUNCTION("GOOGLEFINANCE(B983,""price"")"),405.1)</f>
        <v>405.1</v>
      </c>
      <c r="E983" s="14">
        <f>IFERROR(__xludf.DUMMYFUNCTION("GOOGLEFINANCE(B983,""Volume"")"),129509.0)</f>
        <v>129509</v>
      </c>
      <c r="F983" s="14">
        <f t="array" ref="F983">F982</f>
        <v>14</v>
      </c>
      <c r="G983" s="15" t="str">
        <f>IFERROR(__xludf.DUMMYFUNCTION("IF(E983&gt;AVERAGE(INDEX(GOOGLEFINANCE(B983,""volume"",WORKDAY(TODAY(),-$F$1),TODAY()),,2)),""Breakout"","""")"),"")</f>
        <v/>
      </c>
      <c r="H983" s="16">
        <f>IFERROR(__xludf.DUMMYFUNCTION("GOOGLEFINANCE(B983,""price"")"),405.1)</f>
        <v>405.1</v>
      </c>
      <c r="I983" s="17">
        <f>IFERROR(__xludf.DUMMYFUNCTION("AVERAGE(QUERY(SORT(GOOGLEFINANCE(B983,""price"",TODAY()-365,TODAY()),1,0),""select Col2 limit 10""))"),430.95500000000004)</f>
        <v>430.955</v>
      </c>
      <c r="J983" s="17">
        <f>IFERROR(__xludf.DUMMYFUNCTION("AVERAGE(QUERY(SORT(GOOGLEFINANCE(B983,""price"",TODAY()-365,TODAY()),1,0),""select Col2 limit 30""))"),446.4166666666667)</f>
        <v>446.4166667</v>
      </c>
      <c r="K983" s="18">
        <f>IFERROR(__xludf.DUMMYFUNCTION("AVERAGE(QUERY(SORT(GOOGLEFINANCE(B983,""price"",TODAY()-365,TODAY()),1,0),""select Col2 limit 60""))"),444.64500000000004)</f>
        <v>444.645</v>
      </c>
      <c r="L983" s="17">
        <f>IFERROR(__xludf.DUMMYFUNCTION("AVERAGE(QUERY(SORT(GOOGLEFINANCE(B983,""price"",TODAY()-365,TODAY()),1,0),""select Col2 limit 90""))"),433.1305555555554)</f>
        <v>433.1305556</v>
      </c>
      <c r="M983" s="17">
        <f>IFERROR(__xludf.DUMMYFUNCTION("AVERAGE(QUERY(SORT(GOOGLEFINANCE(B983,""price"",TODAY()-365,TODAY()),1,0),""select Col2 limit 120""))"),428.1587499999997)</f>
        <v>428.15875</v>
      </c>
      <c r="N983" s="19">
        <f>IFERROR(__xludf.DUMMYFUNCTION("AVERAGE(QUERY(SORT(GOOGLEFINANCE(B983,""price"",TODAY()-365,TODAY()),1,0),""select Col2 limit 200""))"),454.58249999999975)</f>
        <v>454.5825</v>
      </c>
      <c r="O983" s="20" t="str">
        <f t="shared" si="2"/>
        <v>Avoid</v>
      </c>
      <c r="P983" s="21" t="str">
        <f t="shared" si="3"/>
        <v/>
      </c>
      <c r="Q983" s="21" t="str">
        <f t="shared" si="4"/>
        <v/>
      </c>
      <c r="R983" s="22">
        <f>IFERROR(__xludf.DUMMYFUNCTION("GOOGLEFINANCE(B983, ""pe"")
"),32.62)</f>
        <v>32.62</v>
      </c>
    </row>
    <row r="984">
      <c r="A984" s="9" t="s">
        <v>994</v>
      </c>
      <c r="B984" s="11" t="str">
        <f t="shared" si="1"/>
        <v>NSE:V2RETAIL</v>
      </c>
      <c r="C984" s="12">
        <f>IFERROR(__xludf.DUMMYFUNCTION("GOOGLEFINANCE(B984,""marketcap"")/10000000"),6678.1637049)</f>
        <v>6678.163705</v>
      </c>
      <c r="D984" s="13">
        <f>IFERROR(__xludf.DUMMYFUNCTION("GOOGLEFINANCE(B984,""price"")"),1929.0)</f>
        <v>1929</v>
      </c>
      <c r="E984" s="14">
        <f>IFERROR(__xludf.DUMMYFUNCTION("GOOGLEFINANCE(B984,""Volume"")"),12230.0)</f>
        <v>12230</v>
      </c>
      <c r="F984" s="14">
        <f t="array" ref="F984">F983</f>
        <v>14</v>
      </c>
      <c r="G984" s="15" t="str">
        <f>IFERROR(__xludf.DUMMYFUNCTION("IF(E984&gt;AVERAGE(INDEX(GOOGLEFINANCE(B984,""volume"",WORKDAY(TODAY(),-$F$1),TODAY()),,2)),""Breakout"","""")"),"")</f>
        <v/>
      </c>
      <c r="H984" s="16">
        <f>IFERROR(__xludf.DUMMYFUNCTION("GOOGLEFINANCE(B984,""price"")"),1929.0)</f>
        <v>1929</v>
      </c>
      <c r="I984" s="17">
        <f>IFERROR(__xludf.DUMMYFUNCTION("AVERAGE(QUERY(SORT(GOOGLEFINANCE(B984,""price"",TODAY()-365,TODAY()),1,0),""select Col2 limit 10""))"),1895.5199999999998)</f>
        <v>1895.52</v>
      </c>
      <c r="J984" s="17">
        <f>IFERROR(__xludf.DUMMYFUNCTION("AVERAGE(QUERY(SORT(GOOGLEFINANCE(B984,""price"",TODAY()-365,TODAY()),1,0),""select Col2 limit 30""))"),1880.063333333333)</f>
        <v>1880.063333</v>
      </c>
      <c r="K984" s="18">
        <f>IFERROR(__xludf.DUMMYFUNCTION("AVERAGE(QUERY(SORT(GOOGLEFINANCE(B984,""price"",TODAY()-365,TODAY()),1,0),""select Col2 limit 60""))"),1846.1866666666663)</f>
        <v>1846.186667</v>
      </c>
      <c r="L984" s="17">
        <f>IFERROR(__xludf.DUMMYFUNCTION("AVERAGE(QUERY(SORT(GOOGLEFINANCE(B984,""price"",TODAY()-365,TODAY()),1,0),""select Col2 limit 90""))"),1811.4505555555552)</f>
        <v>1811.450556</v>
      </c>
      <c r="M984" s="17">
        <f>IFERROR(__xludf.DUMMYFUNCTION("AVERAGE(QUERY(SORT(GOOGLEFINANCE(B984,""price"",TODAY()-365,TODAY()),1,0),""select Col2 limit 120""))"),1786.8816666666658)</f>
        <v>1786.881667</v>
      </c>
      <c r="N984" s="19">
        <f>IFERROR(__xludf.DUMMYFUNCTION("AVERAGE(QUERY(SORT(GOOGLEFINANCE(B984,""price"",TODAY()-365,TODAY()),1,0),""select Col2 limit 200""))"),1655.4039999999993)</f>
        <v>1655.404</v>
      </c>
      <c r="O984" s="20" t="str">
        <f t="shared" si="2"/>
        <v>Avoid</v>
      </c>
      <c r="P984" s="21" t="str">
        <f t="shared" si="3"/>
        <v/>
      </c>
      <c r="Q984" s="21" t="str">
        <f t="shared" si="4"/>
        <v/>
      </c>
      <c r="R984" s="22">
        <f>IFERROR(__xludf.DUMMYFUNCTION("GOOGLEFINANCE(B984, ""pe"")
"),92.69)</f>
        <v>92.69</v>
      </c>
    </row>
    <row r="985">
      <c r="A985" s="9" t="s">
        <v>995</v>
      </c>
      <c r="B985" s="11" t="str">
        <f t="shared" si="1"/>
        <v>NSE:ESAFSFB</v>
      </c>
      <c r="C985" s="12">
        <f>IFERROR(__xludf.DUMMYFUNCTION("GOOGLEFINANCE(B985,""marketcap"")/10000000"),1619.6010883)</f>
        <v>1619.601088</v>
      </c>
      <c r="D985" s="13">
        <f>IFERROR(__xludf.DUMMYFUNCTION("GOOGLEFINANCE(B985,""price"")"),31.43)</f>
        <v>31.43</v>
      </c>
      <c r="E985" s="14">
        <f>IFERROR(__xludf.DUMMYFUNCTION("GOOGLEFINANCE(B985,""Volume"")"),219307.0)</f>
        <v>219307</v>
      </c>
      <c r="F985" s="14">
        <f t="array" ref="F985">F984</f>
        <v>14</v>
      </c>
      <c r="G985" s="15" t="str">
        <f>IFERROR(__xludf.DUMMYFUNCTION("IF(E985&gt;AVERAGE(INDEX(GOOGLEFINANCE(B985,""volume"",WORKDAY(TODAY(),-$F$1),TODAY()),,2)),""Breakout"","""")"),"#N/A")</f>
        <v>#N/A</v>
      </c>
      <c r="H985" s="16">
        <f>IFERROR(__xludf.DUMMYFUNCTION("GOOGLEFINANCE(B985,""price"")"),31.43)</f>
        <v>31.43</v>
      </c>
      <c r="I985" s="17">
        <f>IFERROR(__xludf.DUMMYFUNCTION("AVERAGE(QUERY(SORT(GOOGLEFINANCE(B985,""price"",TODAY()-365,TODAY()),1,0),""select Col2 limit 10""))"),33.247)</f>
        <v>33.247</v>
      </c>
      <c r="J985" s="17">
        <f>IFERROR(__xludf.DUMMYFUNCTION("AVERAGE(QUERY(SORT(GOOGLEFINANCE(B985,""price"",TODAY()-365,TODAY()),1,0),""select Col2 limit 30""))"),33.239666666666665)</f>
        <v>33.23966667</v>
      </c>
      <c r="K985" s="18">
        <f>IFERROR(__xludf.DUMMYFUNCTION("AVERAGE(QUERY(SORT(GOOGLEFINANCE(B985,""price"",TODAY()-365,TODAY()),1,0),""select Col2 limit 60""))"),31.788333333333334)</f>
        <v>31.78833333</v>
      </c>
      <c r="L985" s="17">
        <f>IFERROR(__xludf.DUMMYFUNCTION("AVERAGE(QUERY(SORT(GOOGLEFINANCE(B985,""price"",TODAY()-365,TODAY()),1,0),""select Col2 limit 90""))"),30.39522222222223)</f>
        <v>30.39522222</v>
      </c>
      <c r="M985" s="17">
        <f>IFERROR(__xludf.DUMMYFUNCTION("AVERAGE(QUERY(SORT(GOOGLEFINANCE(B985,""price"",TODAY()-365,TODAY()),1,0),""select Col2 limit 120""))"),31.02200000000001)</f>
        <v>31.022</v>
      </c>
      <c r="N985" s="19">
        <f>IFERROR(__xludf.DUMMYFUNCTION("AVERAGE(QUERY(SORT(GOOGLEFINANCE(B985,""price"",TODAY()-365,TODAY()),1,0),""select Col2 limit 200""))"),35.35285)</f>
        <v>35.35285</v>
      </c>
      <c r="O985" s="20" t="str">
        <f t="shared" si="2"/>
        <v>Avoid</v>
      </c>
      <c r="P985" s="21" t="str">
        <f t="shared" si="3"/>
        <v/>
      </c>
      <c r="Q985" s="21" t="str">
        <f t="shared" si="4"/>
        <v/>
      </c>
      <c r="R985" s="22" t="str">
        <f>IFERROR(__xludf.DUMMYFUNCTION("GOOGLEFINANCE(B985, ""pe"")
"),"#N/A")</f>
        <v>#N/A</v>
      </c>
    </row>
    <row r="986">
      <c r="A986" s="9" t="s">
        <v>996</v>
      </c>
      <c r="B986" s="11" t="str">
        <f t="shared" si="1"/>
        <v>NSE:CONFIPET</v>
      </c>
      <c r="C986" s="12">
        <f>IFERROR(__xludf.DUMMYFUNCTION("GOOGLEFINANCE(B986,""marketcap"")/10000000"),1718.3499753)</f>
        <v>1718.349975</v>
      </c>
      <c r="D986" s="13">
        <f>IFERROR(__xludf.DUMMYFUNCTION("GOOGLEFINANCE(B986,""price"")"),51.72)</f>
        <v>51.72</v>
      </c>
      <c r="E986" s="14">
        <f>IFERROR(__xludf.DUMMYFUNCTION("GOOGLEFINANCE(B986,""Volume"")"),230201.0)</f>
        <v>230201</v>
      </c>
      <c r="F986" s="14">
        <f t="array" ref="F986">F985</f>
        <v>14</v>
      </c>
      <c r="G986" s="15" t="str">
        <f>IFERROR(__xludf.DUMMYFUNCTION("IF(E986&gt;AVERAGE(INDEX(GOOGLEFINANCE(B986,""volume"",WORKDAY(TODAY(),-$F$1),TODAY()),,2)),""Breakout"","""")"),"")</f>
        <v/>
      </c>
      <c r="H986" s="16">
        <f>IFERROR(__xludf.DUMMYFUNCTION("GOOGLEFINANCE(B986,""price"")"),51.72)</f>
        <v>51.72</v>
      </c>
      <c r="I986" s="17">
        <f>IFERROR(__xludf.DUMMYFUNCTION("AVERAGE(QUERY(SORT(GOOGLEFINANCE(B986,""price"",TODAY()-365,TODAY()),1,0),""select Col2 limit 10""))"),54.416999999999994)</f>
        <v>54.417</v>
      </c>
      <c r="J986" s="17">
        <f>IFERROR(__xludf.DUMMYFUNCTION("AVERAGE(QUERY(SORT(GOOGLEFINANCE(B986,""price"",TODAY()-365,TODAY()),1,0),""select Col2 limit 30""))"),55.232666666666674)</f>
        <v>55.23266667</v>
      </c>
      <c r="K986" s="18">
        <f>IFERROR(__xludf.DUMMYFUNCTION("AVERAGE(QUERY(SORT(GOOGLEFINANCE(B986,""price"",TODAY()-365,TODAY()),1,0),""select Col2 limit 60""))"),56.385000000000005)</f>
        <v>56.385</v>
      </c>
      <c r="L986" s="17">
        <f>IFERROR(__xludf.DUMMYFUNCTION("AVERAGE(QUERY(SORT(GOOGLEFINANCE(B986,""price"",TODAY()-365,TODAY()),1,0),""select Col2 limit 90""))"),54.835555555555565)</f>
        <v>54.83555556</v>
      </c>
      <c r="M986" s="17">
        <f>IFERROR(__xludf.DUMMYFUNCTION("AVERAGE(QUERY(SORT(GOOGLEFINANCE(B986,""price"",TODAY()-365,TODAY()),1,0),""select Col2 limit 120""))"),55.84633333333332)</f>
        <v>55.84633333</v>
      </c>
      <c r="N986" s="19">
        <f>IFERROR(__xludf.DUMMYFUNCTION("AVERAGE(QUERY(SORT(GOOGLEFINANCE(B986,""price"",TODAY()-365,TODAY()),1,0),""select Col2 limit 200""))"),63.59470000000002)</f>
        <v>63.5947</v>
      </c>
      <c r="O986" s="20" t="str">
        <f t="shared" si="2"/>
        <v>Avoid</v>
      </c>
      <c r="P986" s="21" t="str">
        <f t="shared" si="3"/>
        <v/>
      </c>
      <c r="Q986" s="21" t="str">
        <f t="shared" si="4"/>
        <v/>
      </c>
      <c r="R986" s="22">
        <f>IFERROR(__xludf.DUMMYFUNCTION("GOOGLEFINANCE(B986, ""pe"")
"),19.92)</f>
        <v>19.92</v>
      </c>
    </row>
    <row r="987">
      <c r="A987" s="9" t="s">
        <v>997</v>
      </c>
      <c r="B987" s="11" t="str">
        <f t="shared" si="1"/>
        <v>NSE:DOLPHIN</v>
      </c>
      <c r="C987" s="12">
        <f>IFERROR(__xludf.DUMMYFUNCTION("GOOGLEFINANCE(B987,""marketcap"")/10000000"),1749.9799924)</f>
        <v>1749.979992</v>
      </c>
      <c r="D987" s="13">
        <f>IFERROR(__xludf.DUMMYFUNCTION("GOOGLEFINANCE(B987,""price"")"),436.85)</f>
        <v>436.85</v>
      </c>
      <c r="E987" s="14">
        <f>IFERROR(__xludf.DUMMYFUNCTION("GOOGLEFINANCE(B987,""Volume"")"),4090.0)</f>
        <v>4090</v>
      </c>
      <c r="F987" s="14">
        <f t="array" ref="F987">F986</f>
        <v>14</v>
      </c>
      <c r="G987" s="15" t="str">
        <f>IFERROR(__xludf.DUMMYFUNCTION("IF(E987&gt;AVERAGE(INDEX(GOOGLEFINANCE(B987,""volume"",WORKDAY(TODAY(),-$F$1),TODAY()),,2)),""Breakout"","""")"),"")</f>
        <v/>
      </c>
      <c r="H987" s="16">
        <f>IFERROR(__xludf.DUMMYFUNCTION("GOOGLEFINANCE(B987,""price"")"),436.85)</f>
        <v>436.85</v>
      </c>
      <c r="I987" s="17">
        <f>IFERROR(__xludf.DUMMYFUNCTION("AVERAGE(QUERY(SORT(GOOGLEFINANCE(B987,""price"",TODAY()-365,TODAY()),1,0),""select Col2 limit 10""))"),449.23)</f>
        <v>449.23</v>
      </c>
      <c r="J987" s="17">
        <f>IFERROR(__xludf.DUMMYFUNCTION("AVERAGE(QUERY(SORT(GOOGLEFINANCE(B987,""price"",TODAY()-365,TODAY()),1,0),""select Col2 limit 30""))"),428.4933333333333)</f>
        <v>428.4933333</v>
      </c>
      <c r="K987" s="18">
        <f>IFERROR(__xludf.DUMMYFUNCTION("AVERAGE(QUERY(SORT(GOOGLEFINANCE(B987,""price"",TODAY()-365,TODAY()),1,0),""select Col2 limit 60""))"),411.4916666666666)</f>
        <v>411.4916667</v>
      </c>
      <c r="L987" s="17">
        <f>IFERROR(__xludf.DUMMYFUNCTION("AVERAGE(QUERY(SORT(GOOGLEFINANCE(B987,""price"",TODAY()-365,TODAY()),1,0),""select Col2 limit 90""))"),381.2753333333333)</f>
        <v>381.2753333</v>
      </c>
      <c r="M987" s="17">
        <f>IFERROR(__xludf.DUMMYFUNCTION("AVERAGE(QUERY(SORT(GOOGLEFINANCE(B987,""price"",TODAY()-365,TODAY()),1,0),""select Col2 limit 120""))"),354.6557499999999)</f>
        <v>354.65575</v>
      </c>
      <c r="N987" s="19">
        <f>IFERROR(__xludf.DUMMYFUNCTION("AVERAGE(QUERY(SORT(GOOGLEFINANCE(B987,""price"",TODAY()-365,TODAY()),1,0),""select Col2 limit 200""))"),426.2039499999999)</f>
        <v>426.20395</v>
      </c>
      <c r="O987" s="20" t="str">
        <f t="shared" si="2"/>
        <v>Avoid</v>
      </c>
      <c r="P987" s="21" t="str">
        <f t="shared" si="3"/>
        <v/>
      </c>
      <c r="Q987" s="21" t="str">
        <f t="shared" si="4"/>
        <v/>
      </c>
      <c r="R987" s="22">
        <f>IFERROR(__xludf.DUMMYFUNCTION("GOOGLEFINANCE(B987, ""pe"")
"),42.14)</f>
        <v>42.14</v>
      </c>
    </row>
    <row r="988">
      <c r="A988" s="9" t="s">
        <v>998</v>
      </c>
      <c r="B988" s="11" t="str">
        <f t="shared" si="1"/>
        <v>NSE:HMAAGRO</v>
      </c>
      <c r="C988" s="12">
        <f>IFERROR(__xludf.DUMMYFUNCTION("GOOGLEFINANCE(B988,""marketcap"")/10000000"),1527.34728)</f>
        <v>1527.34728</v>
      </c>
      <c r="D988" s="13">
        <f>IFERROR(__xludf.DUMMYFUNCTION("GOOGLEFINANCE(B988,""price"")"),30.53)</f>
        <v>30.53</v>
      </c>
      <c r="E988" s="14">
        <f>IFERROR(__xludf.DUMMYFUNCTION("GOOGLEFINANCE(B988,""Volume"")"),111993.0)</f>
        <v>111993</v>
      </c>
      <c r="F988" s="14">
        <f t="array" ref="F988">F987</f>
        <v>14</v>
      </c>
      <c r="G988" s="15" t="str">
        <f>IFERROR(__xludf.DUMMYFUNCTION("IF(E988&gt;AVERAGE(INDEX(GOOGLEFINANCE(B988,""volume"",WORKDAY(TODAY(),-$F$1),TODAY()),,2)),""Breakout"","""")"),"")</f>
        <v/>
      </c>
      <c r="H988" s="16">
        <f>IFERROR(__xludf.DUMMYFUNCTION("GOOGLEFINANCE(B988,""price"")"),30.53)</f>
        <v>30.53</v>
      </c>
      <c r="I988" s="17" t="str">
        <f>IFERROR(__xludf.DUMMYFUNCTION("AVERAGE(QUERY(SORT(GOOGLEFINANCE(B988,""price"",TODAY()-365,TODAY()),1,0),""select Col2 limit 10""))"),"#N/A")</f>
        <v>#N/A</v>
      </c>
      <c r="J988" s="17" t="str">
        <f>IFERROR(__xludf.DUMMYFUNCTION("AVERAGE(QUERY(SORT(GOOGLEFINANCE(B988,""price"",TODAY()-365,TODAY()),1,0),""select Col2 limit 30""))"),"#N/A")</f>
        <v>#N/A</v>
      </c>
      <c r="K988" s="18" t="str">
        <f>IFERROR(__xludf.DUMMYFUNCTION("AVERAGE(QUERY(SORT(GOOGLEFINANCE(B988,""price"",TODAY()-365,TODAY()),1,0),""select Col2 limit 60""))"),"#N/A")</f>
        <v>#N/A</v>
      </c>
      <c r="L988" s="17" t="str">
        <f>IFERROR(__xludf.DUMMYFUNCTION("AVERAGE(QUERY(SORT(GOOGLEFINANCE(B988,""price"",TODAY()-365,TODAY()),1,0),""select Col2 limit 90""))"),"#N/A")</f>
        <v>#N/A</v>
      </c>
      <c r="M988" s="17" t="str">
        <f>IFERROR(__xludf.DUMMYFUNCTION("AVERAGE(QUERY(SORT(GOOGLEFINANCE(B988,""price"",TODAY()-365,TODAY()),1,0),""select Col2 limit 120""))"),"#N/A")</f>
        <v>#N/A</v>
      </c>
      <c r="N988" s="19" t="str">
        <f>IFERROR(__xludf.DUMMYFUNCTION("AVERAGE(QUERY(SORT(GOOGLEFINANCE(B988,""price"",TODAY()-365,TODAY()),1,0),""select Col2 limit 200""))"),"#N/A")</f>
        <v>#N/A</v>
      </c>
      <c r="O988" s="20" t="str">
        <f t="shared" si="2"/>
        <v>#N/A</v>
      </c>
      <c r="P988" s="21" t="str">
        <f t="shared" si="3"/>
        <v>#N/A</v>
      </c>
      <c r="Q988" s="21" t="str">
        <f t="shared" si="4"/>
        <v>#N/A</v>
      </c>
      <c r="R988" s="22">
        <f>IFERROR(__xludf.DUMMYFUNCTION("GOOGLEFINANCE(B988, ""pe"")
"),17.43)</f>
        <v>17.43</v>
      </c>
    </row>
    <row r="989">
      <c r="A989" s="9" t="s">
        <v>999</v>
      </c>
      <c r="B989" s="11" t="str">
        <f t="shared" si="1"/>
        <v>NSE:LANDMARK</v>
      </c>
      <c r="C989" s="12">
        <f>IFERROR(__xludf.DUMMYFUNCTION("GOOGLEFINANCE(B989,""marketcap"")/10000000"),2037.507001)</f>
        <v>2037.507001</v>
      </c>
      <c r="D989" s="13">
        <f>IFERROR(__xludf.DUMMYFUNCTION("GOOGLEFINANCE(B989,""price"")"),492.45)</f>
        <v>492.45</v>
      </c>
      <c r="E989" s="14">
        <f>IFERROR(__xludf.DUMMYFUNCTION("GOOGLEFINANCE(B989,""Volume"")"),8888.0)</f>
        <v>8888</v>
      </c>
      <c r="F989" s="14">
        <f t="array" ref="F989">F988</f>
        <v>14</v>
      </c>
      <c r="G989" s="15" t="str">
        <f>IFERROR(__xludf.DUMMYFUNCTION("IF(E989&gt;AVERAGE(INDEX(GOOGLEFINANCE(B989,""volume"",WORKDAY(TODAY(),-$F$1),TODAY()),,2)),""Breakout"","""")"),"")</f>
        <v/>
      </c>
      <c r="H989" s="16">
        <f>IFERROR(__xludf.DUMMYFUNCTION("GOOGLEFINANCE(B989,""price"")"),492.45)</f>
        <v>492.45</v>
      </c>
      <c r="I989" s="17">
        <f>IFERROR(__xludf.DUMMYFUNCTION("AVERAGE(QUERY(SORT(GOOGLEFINANCE(B989,""price"",TODAY()-365,TODAY()),1,0),""select Col2 limit 10""))"),524.96)</f>
        <v>524.96</v>
      </c>
      <c r="J989" s="17">
        <f>IFERROR(__xludf.DUMMYFUNCTION("AVERAGE(QUERY(SORT(GOOGLEFINANCE(B989,""price"",TODAY()-365,TODAY()),1,0),""select Col2 limit 30""))"),519.2083333333333)</f>
        <v>519.2083333</v>
      </c>
      <c r="K989" s="18">
        <f>IFERROR(__xludf.DUMMYFUNCTION("AVERAGE(QUERY(SORT(GOOGLEFINANCE(B989,""price"",TODAY()-365,TODAY()),1,0),""select Col2 limit 60""))"),485.2208333333332)</f>
        <v>485.2208333</v>
      </c>
      <c r="L989" s="17">
        <f>IFERROR(__xludf.DUMMYFUNCTION("AVERAGE(QUERY(SORT(GOOGLEFINANCE(B989,""price"",TODAY()-365,TODAY()),1,0),""select Col2 limit 90""))"),458.80388888888865)</f>
        <v>458.8038889</v>
      </c>
      <c r="M989" s="17">
        <f>IFERROR(__xludf.DUMMYFUNCTION("AVERAGE(QUERY(SORT(GOOGLEFINANCE(B989,""price"",TODAY()-365,TODAY()),1,0),""select Col2 limit 120""))"),461.93333333333317)</f>
        <v>461.9333333</v>
      </c>
      <c r="N989" s="19">
        <f>IFERROR(__xludf.DUMMYFUNCTION("AVERAGE(QUERY(SORT(GOOGLEFINANCE(B989,""price"",TODAY()-365,TODAY()),1,0),""select Col2 limit 200""))"),528.1449999999998)</f>
        <v>528.145</v>
      </c>
      <c r="O989" s="20" t="str">
        <f t="shared" si="2"/>
        <v>Avoid</v>
      </c>
      <c r="P989" s="21" t="str">
        <f t="shared" si="3"/>
        <v/>
      </c>
      <c r="Q989" s="21" t="str">
        <f t="shared" si="4"/>
        <v/>
      </c>
      <c r="R989" s="22">
        <f>IFERROR(__xludf.DUMMYFUNCTION("GOOGLEFINANCE(B989, ""pe"")
"),127.91)</f>
        <v>127.91</v>
      </c>
    </row>
    <row r="990">
      <c r="A990" s="9" t="s">
        <v>1000</v>
      </c>
      <c r="B990" s="11" t="str">
        <f t="shared" si="1"/>
        <v>NSE:MUKANDLTD</v>
      </c>
      <c r="C990" s="12">
        <f>IFERROR(__xludf.DUMMYFUNCTION("GOOGLEFINANCE(B990,""marketcap"")/10000000"),1961.0486442)</f>
        <v>1961.048644</v>
      </c>
      <c r="D990" s="13">
        <f>IFERROR(__xludf.DUMMYFUNCTION("GOOGLEFINANCE(B990,""price"")"),135.24)</f>
        <v>135.24</v>
      </c>
      <c r="E990" s="14">
        <f>IFERROR(__xludf.DUMMYFUNCTION("GOOGLEFINANCE(B990,""Volume"")"),305433.0)</f>
        <v>305433</v>
      </c>
      <c r="F990" s="14">
        <f t="array" ref="F990">F989</f>
        <v>14</v>
      </c>
      <c r="G990" s="15" t="str">
        <f>IFERROR(__xludf.DUMMYFUNCTION("IF(E990&gt;AVERAGE(INDEX(GOOGLEFINANCE(B990,""volume"",WORKDAY(TODAY(),-$F$1),TODAY()),,2)),""Breakout"","""")"),"")</f>
        <v/>
      </c>
      <c r="H990" s="16">
        <f>IFERROR(__xludf.DUMMYFUNCTION("GOOGLEFINANCE(B990,""price"")"),135.24)</f>
        <v>135.24</v>
      </c>
      <c r="I990" s="17">
        <f>IFERROR(__xludf.DUMMYFUNCTION("AVERAGE(QUERY(SORT(GOOGLEFINANCE(B990,""price"",TODAY()-365,TODAY()),1,0),""select Col2 limit 10""))"),140.11799999999997)</f>
        <v>140.118</v>
      </c>
      <c r="J990" s="17">
        <f>IFERROR(__xludf.DUMMYFUNCTION("AVERAGE(QUERY(SORT(GOOGLEFINANCE(B990,""price"",TODAY()-365,TODAY()),1,0),""select Col2 limit 30""))"),136.7093333333333)</f>
        <v>136.7093333</v>
      </c>
      <c r="K990" s="18">
        <f>IFERROR(__xludf.DUMMYFUNCTION("AVERAGE(QUERY(SORT(GOOGLEFINANCE(B990,""price"",TODAY()-365,TODAY()),1,0),""select Col2 limit 60""))"),125.01283333333328)</f>
        <v>125.0128333</v>
      </c>
      <c r="L990" s="17">
        <f>IFERROR(__xludf.DUMMYFUNCTION("AVERAGE(QUERY(SORT(GOOGLEFINANCE(B990,""price"",TODAY()-365,TODAY()),1,0),""select Col2 limit 90""))"),115.34666666666664)</f>
        <v>115.3466667</v>
      </c>
      <c r="M990" s="17">
        <f>IFERROR(__xludf.DUMMYFUNCTION("AVERAGE(QUERY(SORT(GOOGLEFINANCE(B990,""price"",TODAY()-365,TODAY()),1,0),""select Col2 limit 120""))"),112.20575000000004)</f>
        <v>112.20575</v>
      </c>
      <c r="N990" s="19">
        <f>IFERROR(__xludf.DUMMYFUNCTION("AVERAGE(QUERY(SORT(GOOGLEFINANCE(B990,""price"",TODAY()-365,TODAY()),1,0),""select Col2 limit 200""))"),122.39495000000008)</f>
        <v>122.39495</v>
      </c>
      <c r="O990" s="20" t="str">
        <f t="shared" si="2"/>
        <v>Avoid</v>
      </c>
      <c r="P990" s="21" t="str">
        <f t="shared" si="3"/>
        <v/>
      </c>
      <c r="Q990" s="21" t="str">
        <f t="shared" si="4"/>
        <v/>
      </c>
      <c r="R990" s="22">
        <f>IFERROR(__xludf.DUMMYFUNCTION("GOOGLEFINANCE(B990, ""pe"")
"),25.8)</f>
        <v>25.8</v>
      </c>
    </row>
    <row r="991">
      <c r="A991" s="9" t="s">
        <v>1001</v>
      </c>
      <c r="B991" s="11" t="str">
        <f t="shared" si="1"/>
        <v>NSE:MOLDTKPAC</v>
      </c>
      <c r="C991" s="12">
        <f>IFERROR(__xludf.DUMMYFUNCTION("GOOGLEFINANCE(B991,""marketcap"")/10000000"),2467.916486)</f>
        <v>2467.916486</v>
      </c>
      <c r="D991" s="13">
        <f>IFERROR(__xludf.DUMMYFUNCTION("GOOGLEFINANCE(B991,""price"")"),745.5)</f>
        <v>745.5</v>
      </c>
      <c r="E991" s="14">
        <f>IFERROR(__xludf.DUMMYFUNCTION("GOOGLEFINANCE(B991,""Volume"")"),30152.0)</f>
        <v>30152</v>
      </c>
      <c r="F991" s="14">
        <f t="array" ref="F991">F990</f>
        <v>14</v>
      </c>
      <c r="G991" s="15" t="str">
        <f>IFERROR(__xludf.DUMMYFUNCTION("IF(E991&gt;AVERAGE(INDEX(GOOGLEFINANCE(B991,""volume"",WORKDAY(TODAY(),-$F$1),TODAY()),,2)),""Breakout"","""")"),"")</f>
        <v/>
      </c>
      <c r="H991" s="16">
        <f>IFERROR(__xludf.DUMMYFUNCTION("GOOGLEFINANCE(B991,""price"")"),745.5)</f>
        <v>745.5</v>
      </c>
      <c r="I991" s="17">
        <f>IFERROR(__xludf.DUMMYFUNCTION("AVERAGE(QUERY(SORT(GOOGLEFINANCE(B991,""price"",TODAY()-365,TODAY()),1,0),""select Col2 limit 10""))"),721.56)</f>
        <v>721.56</v>
      </c>
      <c r="J991" s="17">
        <f>IFERROR(__xludf.DUMMYFUNCTION("AVERAGE(QUERY(SORT(GOOGLEFINANCE(B991,""price"",TODAY()-365,TODAY()),1,0),""select Col2 limit 30""))"),705.545)</f>
        <v>705.545</v>
      </c>
      <c r="K991" s="18">
        <f>IFERROR(__xludf.DUMMYFUNCTION("AVERAGE(QUERY(SORT(GOOGLEFINANCE(B991,""price"",TODAY()-365,TODAY()),1,0),""select Col2 limit 60""))"),660.1199999999997)</f>
        <v>660.12</v>
      </c>
      <c r="L991" s="17">
        <f>IFERROR(__xludf.DUMMYFUNCTION("AVERAGE(QUERY(SORT(GOOGLEFINANCE(B991,""price"",TODAY()-365,TODAY()),1,0),""select Col2 limit 90""))"),597.9072222222221)</f>
        <v>597.9072222</v>
      </c>
      <c r="M991" s="17">
        <f>IFERROR(__xludf.DUMMYFUNCTION("AVERAGE(QUERY(SORT(GOOGLEFINANCE(B991,""price"",TODAY()-365,TODAY()),1,0),""select Col2 limit 120""))"),576.745)</f>
        <v>576.745</v>
      </c>
      <c r="N991" s="19">
        <f>IFERROR(__xludf.DUMMYFUNCTION("AVERAGE(QUERY(SORT(GOOGLEFINANCE(B991,""price"",TODAY()-365,TODAY()),1,0),""select Col2 limit 200""))"),613.7787499999997)</f>
        <v>613.77875</v>
      </c>
      <c r="O991" s="20" t="str">
        <f t="shared" si="2"/>
        <v>Avoid</v>
      </c>
      <c r="P991" s="21" t="str">
        <f t="shared" si="3"/>
        <v/>
      </c>
      <c r="Q991" s="21" t="str">
        <f t="shared" si="4"/>
        <v/>
      </c>
      <c r="R991" s="22">
        <f>IFERROR(__xludf.DUMMYFUNCTION("GOOGLEFINANCE(B991, ""pe"")
"),41.48)</f>
        <v>41.48</v>
      </c>
    </row>
    <row r="992">
      <c r="A992" s="9" t="s">
        <v>1002</v>
      </c>
      <c r="B992" s="11" t="str">
        <f t="shared" si="1"/>
        <v>NSE:APOLLOPIPE</v>
      </c>
      <c r="C992" s="12">
        <f>IFERROR(__xludf.DUMMYFUNCTION("GOOGLEFINANCE(B992,""marketcap"")/10000000"),1802.3820489)</f>
        <v>1802.382049</v>
      </c>
      <c r="D992" s="13">
        <f>IFERROR(__xludf.DUMMYFUNCTION("GOOGLEFINANCE(B992,""price"")"),410.55)</f>
        <v>410.55</v>
      </c>
      <c r="E992" s="14">
        <f>IFERROR(__xludf.DUMMYFUNCTION("GOOGLEFINANCE(B992,""Volume"")"),71558.0)</f>
        <v>71558</v>
      </c>
      <c r="F992" s="14">
        <f t="array" ref="F992">F991</f>
        <v>14</v>
      </c>
      <c r="G992" s="15" t="str">
        <f>IFERROR(__xludf.DUMMYFUNCTION("IF(E992&gt;AVERAGE(INDEX(GOOGLEFINANCE(B992,""volume"",WORKDAY(TODAY(),-$F$1),TODAY()),,2)),""Breakout"","""")"),"")</f>
        <v/>
      </c>
      <c r="H992" s="16">
        <f>IFERROR(__xludf.DUMMYFUNCTION("GOOGLEFINANCE(B992,""price"")"),410.55)</f>
        <v>410.55</v>
      </c>
      <c r="I992" s="17">
        <f>IFERROR(__xludf.DUMMYFUNCTION("AVERAGE(QUERY(SORT(GOOGLEFINANCE(B992,""price"",TODAY()-365,TODAY()),1,0),""select Col2 limit 10""))"),425.785)</f>
        <v>425.785</v>
      </c>
      <c r="J992" s="17">
        <f>IFERROR(__xludf.DUMMYFUNCTION("AVERAGE(QUERY(SORT(GOOGLEFINANCE(B992,""price"",TODAY()-365,TODAY()),1,0),""select Col2 limit 30""))"),430.0233333333335)</f>
        <v>430.0233333</v>
      </c>
      <c r="K992" s="18">
        <f>IFERROR(__xludf.DUMMYFUNCTION("AVERAGE(QUERY(SORT(GOOGLEFINANCE(B992,""price"",TODAY()-365,TODAY()),1,0),""select Col2 limit 60""))"),428.26916666666676)</f>
        <v>428.2691667</v>
      </c>
      <c r="L992" s="17">
        <f>IFERROR(__xludf.DUMMYFUNCTION("AVERAGE(QUERY(SORT(GOOGLEFINANCE(B992,""price"",TODAY()-365,TODAY()),1,0),""select Col2 limit 90""))"),413.07055555555553)</f>
        <v>413.0705556</v>
      </c>
      <c r="M992" s="17">
        <f>IFERROR(__xludf.DUMMYFUNCTION("AVERAGE(QUERY(SORT(GOOGLEFINANCE(B992,""price"",TODAY()-365,TODAY()),1,0),""select Col2 limit 120""))"),400.8070833333332)</f>
        <v>400.8070833</v>
      </c>
      <c r="N992" s="19">
        <f>IFERROR(__xludf.DUMMYFUNCTION("AVERAGE(QUERY(SORT(GOOGLEFINANCE(B992,""price"",TODAY()-365,TODAY()),1,0),""select Col2 limit 200""))"),435.11899999999986)</f>
        <v>435.119</v>
      </c>
      <c r="O992" s="20" t="str">
        <f t="shared" si="2"/>
        <v>Avoid</v>
      </c>
      <c r="P992" s="21" t="str">
        <f t="shared" si="3"/>
        <v>90 DMA</v>
      </c>
      <c r="Q992" s="21" t="str">
        <f t="shared" si="4"/>
        <v/>
      </c>
      <c r="R992" s="22">
        <f>IFERROR(__xludf.DUMMYFUNCTION("GOOGLEFINANCE(B992, ""pe"")
"),53.1)</f>
        <v>53.1</v>
      </c>
    </row>
    <row r="993">
      <c r="A993" s="9" t="s">
        <v>1003</v>
      </c>
      <c r="B993" s="11" t="str">
        <f t="shared" si="1"/>
        <v>NSE:E2E</v>
      </c>
      <c r="C993" s="12">
        <f>IFERROR(__xludf.DUMMYFUNCTION("GOOGLEFINANCE(B993,""marketcap"")/10000000"),4059.7185059)</f>
        <v>4059.718506</v>
      </c>
      <c r="D993" s="13">
        <f>IFERROR(__xludf.DUMMYFUNCTION("GOOGLEFINANCE(B993,""price"")"),2032.7)</f>
        <v>2032.7</v>
      </c>
      <c r="E993" s="14">
        <f>IFERROR(__xludf.DUMMYFUNCTION("GOOGLEFINANCE(B993,""Volume"")"),148408.0)</f>
        <v>148408</v>
      </c>
      <c r="F993" s="14">
        <f t="array" ref="F993">F992</f>
        <v>14</v>
      </c>
      <c r="G993" s="15" t="str">
        <f>IFERROR(__xludf.DUMMYFUNCTION("IF(E993&gt;AVERAGE(INDEX(GOOGLEFINANCE(B993,""volume"",WORKDAY(TODAY(),-$F$1),TODAY()),,2)),""Breakout"","""")"),"Breakout")</f>
        <v>Breakout</v>
      </c>
      <c r="H993" s="16">
        <f>IFERROR(__xludf.DUMMYFUNCTION("GOOGLEFINANCE(B993,""price"")"),2032.7)</f>
        <v>2032.7</v>
      </c>
      <c r="I993" s="17">
        <f>IFERROR(__xludf.DUMMYFUNCTION("AVERAGE(QUERY(SORT(GOOGLEFINANCE(B993,""price"",TODAY()-365,TODAY()),1,0),""select Col2 limit 10""))"),2430.5299999999997)</f>
        <v>2430.53</v>
      </c>
      <c r="J993" s="17">
        <f>IFERROR(__xludf.DUMMYFUNCTION("AVERAGE(QUERY(SORT(GOOGLEFINANCE(B993,""price"",TODAY()-365,TODAY()),1,0),""select Col2 limit 30""))"),2537.5499999999997)</f>
        <v>2537.55</v>
      </c>
      <c r="K993" s="18">
        <f>IFERROR(__xludf.DUMMYFUNCTION("AVERAGE(QUERY(SORT(GOOGLEFINANCE(B993,""price"",TODAY()-365,TODAY()),1,0),""select Col2 limit 60""))"),2625.661666666667)</f>
        <v>2625.661667</v>
      </c>
      <c r="L993" s="17">
        <f>IFERROR(__xludf.DUMMYFUNCTION("AVERAGE(QUERY(SORT(GOOGLEFINANCE(B993,""price"",TODAY()-365,TODAY()),1,0),""select Col2 limit 90""))"),2410.48388888889)</f>
        <v>2410.483889</v>
      </c>
      <c r="M993" s="17">
        <f>IFERROR(__xludf.DUMMYFUNCTION("AVERAGE(QUERY(SORT(GOOGLEFINANCE(B993,""price"",TODAY()-365,TODAY()),1,0),""select Col2 limit 120""))"),2414.247083333333)</f>
        <v>2414.247083</v>
      </c>
      <c r="N993" s="19">
        <f>IFERROR(__xludf.DUMMYFUNCTION("AVERAGE(QUERY(SORT(GOOGLEFINANCE(B993,""price"",TODAY()-365,TODAY()),1,0),""select Col2 limit 200""))"),3051.6827499999995)</f>
        <v>3051.68275</v>
      </c>
      <c r="O993" s="20" t="str">
        <f t="shared" si="2"/>
        <v>Avoid</v>
      </c>
      <c r="P993" s="21" t="str">
        <f t="shared" si="3"/>
        <v/>
      </c>
      <c r="Q993" s="21" t="str">
        <f t="shared" si="4"/>
        <v/>
      </c>
      <c r="R993" s="22">
        <f>IFERROR(__xludf.DUMMYFUNCTION("GOOGLEFINANCE(B993, ""pe"")
"),95.79)</f>
        <v>95.79</v>
      </c>
    </row>
    <row r="994">
      <c r="A994" s="9" t="s">
        <v>1004</v>
      </c>
      <c r="B994" s="11" t="str">
        <f t="shared" si="1"/>
        <v>NSE:DCAL</v>
      </c>
      <c r="C994" s="12">
        <f>IFERROR(__xludf.DUMMYFUNCTION("GOOGLEFINANCE(B994,""marketcap"")/10000000"),3890.97975)</f>
        <v>3890.97975</v>
      </c>
      <c r="D994" s="13">
        <f>IFERROR(__xludf.DUMMYFUNCTION("GOOGLEFINANCE(B994,""price"")"),246.5)</f>
        <v>246.5</v>
      </c>
      <c r="E994" s="14">
        <f>IFERROR(__xludf.DUMMYFUNCTION("GOOGLEFINANCE(B994,""Volume"")"),54286.0)</f>
        <v>54286</v>
      </c>
      <c r="F994" s="14">
        <f t="array" ref="F994">F993</f>
        <v>14</v>
      </c>
      <c r="G994" s="15" t="str">
        <f>IFERROR(__xludf.DUMMYFUNCTION("IF(E994&gt;AVERAGE(INDEX(GOOGLEFINANCE(B994,""volume"",WORKDAY(TODAY(),-$F$1),TODAY()),,2)),""Breakout"","""")"),"")</f>
        <v/>
      </c>
      <c r="H994" s="16">
        <f>IFERROR(__xludf.DUMMYFUNCTION("GOOGLEFINANCE(B994,""price"")"),246.5)</f>
        <v>246.5</v>
      </c>
      <c r="I994" s="17">
        <f>IFERROR(__xludf.DUMMYFUNCTION("AVERAGE(QUERY(SORT(GOOGLEFINANCE(B994,""price"",TODAY()-365,TODAY()),1,0),""select Col2 limit 10""))"),256.93500000000006)</f>
        <v>256.935</v>
      </c>
      <c r="J994" s="17">
        <f>IFERROR(__xludf.DUMMYFUNCTION("AVERAGE(QUERY(SORT(GOOGLEFINANCE(B994,""price"",TODAY()-365,TODAY()),1,0),""select Col2 limit 30""))"),254.5916666666667)</f>
        <v>254.5916667</v>
      </c>
      <c r="K994" s="18">
        <f>IFERROR(__xludf.DUMMYFUNCTION("AVERAGE(QUERY(SORT(GOOGLEFINANCE(B994,""price"",TODAY()-365,TODAY()),1,0),""select Col2 limit 60""))"),247.5756666666667)</f>
        <v>247.5756667</v>
      </c>
      <c r="L994" s="17">
        <f>IFERROR(__xludf.DUMMYFUNCTION("AVERAGE(QUERY(SORT(GOOGLEFINANCE(B994,""price"",TODAY()-365,TODAY()),1,0),""select Col2 limit 90""))"),235.7365555555557)</f>
        <v>235.7365556</v>
      </c>
      <c r="M994" s="17">
        <f>IFERROR(__xludf.DUMMYFUNCTION("AVERAGE(QUERY(SORT(GOOGLEFINANCE(B994,""price"",TODAY()-365,TODAY()),1,0),""select Col2 limit 120""))"),232.05866666666677)</f>
        <v>232.0586667</v>
      </c>
      <c r="N994" s="19">
        <f>IFERROR(__xludf.DUMMYFUNCTION("AVERAGE(QUERY(SORT(GOOGLEFINANCE(B994,""price"",TODAY()-365,TODAY()),1,0),""select Col2 limit 200""))"),231.7607000000002)</f>
        <v>231.7607</v>
      </c>
      <c r="O994" s="20" t="str">
        <f t="shared" si="2"/>
        <v>Avoid</v>
      </c>
      <c r="P994" s="21" t="str">
        <f t="shared" si="3"/>
        <v>60 DMA</v>
      </c>
      <c r="Q994" s="21" t="str">
        <f t="shared" si="4"/>
        <v/>
      </c>
      <c r="R994" s="22">
        <f>IFERROR(__xludf.DUMMYFUNCTION("GOOGLEFINANCE(B994, ""pe"")
"),1172.86)</f>
        <v>1172.86</v>
      </c>
    </row>
    <row r="995">
      <c r="A995" s="9" t="s">
        <v>1005</v>
      </c>
      <c r="B995" s="11" t="str">
        <f t="shared" si="1"/>
        <v>NSE:JASH</v>
      </c>
      <c r="C995" s="12">
        <f>IFERROR(__xludf.DUMMYFUNCTION("GOOGLEFINANCE(B995,""marketcap"")/10000000"),3600.5744362)</f>
        <v>3600.574436</v>
      </c>
      <c r="D995" s="13">
        <f>IFERROR(__xludf.DUMMYFUNCTION("GOOGLEFINANCE(B995,""price"")"),573.75)</f>
        <v>573.75</v>
      </c>
      <c r="E995" s="14">
        <f>IFERROR(__xludf.DUMMYFUNCTION("GOOGLEFINANCE(B995,""Volume"")"),41152.0)</f>
        <v>41152</v>
      </c>
      <c r="F995" s="14">
        <f t="array" ref="F995">F994</f>
        <v>14</v>
      </c>
      <c r="G995" s="15" t="str">
        <f>IFERROR(__xludf.DUMMYFUNCTION("IF(E995&gt;AVERAGE(INDEX(GOOGLEFINANCE(B995,""volume"",WORKDAY(TODAY(),-$F$1),TODAY()),,2)),""Breakout"","""")"),"")</f>
        <v/>
      </c>
      <c r="H995" s="16">
        <f>IFERROR(__xludf.DUMMYFUNCTION("GOOGLEFINANCE(B995,""price"")"),573.75)</f>
        <v>573.75</v>
      </c>
      <c r="I995" s="17">
        <f>IFERROR(__xludf.DUMMYFUNCTION("AVERAGE(QUERY(SORT(GOOGLEFINANCE(B995,""price"",TODAY()-365,TODAY()),1,0),""select Col2 limit 10""))"),594.2900000000001)</f>
        <v>594.29</v>
      </c>
      <c r="J995" s="17">
        <f>IFERROR(__xludf.DUMMYFUNCTION("AVERAGE(QUERY(SORT(GOOGLEFINANCE(B995,""price"",TODAY()-365,TODAY()),1,0),""select Col2 limit 30""))"),574.9183333333332)</f>
        <v>574.9183333</v>
      </c>
      <c r="K995" s="18">
        <f>IFERROR(__xludf.DUMMYFUNCTION("AVERAGE(QUERY(SORT(GOOGLEFINANCE(B995,""price"",TODAY()-365,TODAY()),1,0),""select Col2 limit 60""))"),568.2583333333334)</f>
        <v>568.2583333</v>
      </c>
      <c r="L995" s="17">
        <f>IFERROR(__xludf.DUMMYFUNCTION("AVERAGE(QUERY(SORT(GOOGLEFINANCE(B995,""price"",TODAY()-365,TODAY()),1,0),""select Col2 limit 90""))"),579.4822222222223)</f>
        <v>579.4822222</v>
      </c>
      <c r="M995" s="17">
        <f>IFERROR(__xludf.DUMMYFUNCTION("AVERAGE(QUERY(SORT(GOOGLEFINANCE(B995,""price"",TODAY()-365,TODAY()),1,0),""select Col2 limit 120""))"),573.1849999999998)</f>
        <v>573.185</v>
      </c>
      <c r="N995" s="19">
        <f>IFERROR(__xludf.DUMMYFUNCTION("AVERAGE(QUERY(SORT(GOOGLEFINANCE(B995,""price"",TODAY()-365,TODAY()),1,0),""select Col2 limit 200""))"),564.5401)</f>
        <v>564.5401</v>
      </c>
      <c r="O995" s="20" t="str">
        <f t="shared" si="2"/>
        <v>Avoid</v>
      </c>
      <c r="P995" s="21" t="str">
        <f t="shared" si="3"/>
        <v>30 DMA</v>
      </c>
      <c r="Q995" s="21" t="str">
        <f t="shared" si="4"/>
        <v/>
      </c>
      <c r="R995" s="22">
        <f>IFERROR(__xludf.DUMMYFUNCTION("GOOGLEFINANCE(B995, ""pe"")
"),41.06)</f>
        <v>41.06</v>
      </c>
    </row>
    <row r="996">
      <c r="A996" s="9" t="s">
        <v>1006</v>
      </c>
      <c r="B996" s="11" t="str">
        <f t="shared" si="1"/>
        <v>NSE:SURAJEST</v>
      </c>
      <c r="C996" s="12">
        <f>IFERROR(__xludf.DUMMYFUNCTION("GOOGLEFINANCE(B996,""marketcap"")/10000000"),1422.6909002)</f>
        <v>1422.6909</v>
      </c>
      <c r="D996" s="13">
        <f>IFERROR(__xludf.DUMMYFUNCTION("GOOGLEFINANCE(B996,""price"")"),297.7)</f>
        <v>297.7</v>
      </c>
      <c r="E996" s="14">
        <f>IFERROR(__xludf.DUMMYFUNCTION("GOOGLEFINANCE(B996,""Volume"")"),212535.0)</f>
        <v>212535</v>
      </c>
      <c r="F996" s="14">
        <f t="array" ref="F996">F995</f>
        <v>14</v>
      </c>
      <c r="G996" s="15" t="str">
        <f>IFERROR(__xludf.DUMMYFUNCTION("IF(E996&gt;AVERAGE(INDEX(GOOGLEFINANCE(B996,""volume"",WORKDAY(TODAY(),-$F$1),TODAY()),,2)),""Breakout"","""")"),"Breakout")</f>
        <v>Breakout</v>
      </c>
      <c r="H996" s="16">
        <f>IFERROR(__xludf.DUMMYFUNCTION("GOOGLEFINANCE(B996,""price"")"),297.7)</f>
        <v>297.7</v>
      </c>
      <c r="I996" s="17">
        <f>IFERROR(__xludf.DUMMYFUNCTION("AVERAGE(QUERY(SORT(GOOGLEFINANCE(B996,""price"",TODAY()-365,TODAY()),1,0),""select Col2 limit 10""))"),322.75000000000006)</f>
        <v>322.75</v>
      </c>
      <c r="J996" s="17">
        <f>IFERROR(__xludf.DUMMYFUNCTION("AVERAGE(QUERY(SORT(GOOGLEFINANCE(B996,""price"",TODAY()-365,TODAY()),1,0),""select Col2 limit 30""))"),343.08000000000004)</f>
        <v>343.08</v>
      </c>
      <c r="K996" s="18">
        <f>IFERROR(__xludf.DUMMYFUNCTION("AVERAGE(QUERY(SORT(GOOGLEFINANCE(B996,""price"",TODAY()-365,TODAY()),1,0),""select Col2 limit 60""))"),333.6600000000001)</f>
        <v>333.66</v>
      </c>
      <c r="L996" s="17">
        <f>IFERROR(__xludf.DUMMYFUNCTION("AVERAGE(QUERY(SORT(GOOGLEFINANCE(B996,""price"",TODAY()-365,TODAY()),1,0),""select Col2 limit 90""))"),324.34944444444454)</f>
        <v>324.3494444</v>
      </c>
      <c r="M996" s="17">
        <f>IFERROR(__xludf.DUMMYFUNCTION("AVERAGE(QUERY(SORT(GOOGLEFINANCE(B996,""price"",TODAY()-365,TODAY()),1,0),""select Col2 limit 120""))"),332.7387500000001)</f>
        <v>332.73875</v>
      </c>
      <c r="N996" s="19">
        <f>IFERROR(__xludf.DUMMYFUNCTION("AVERAGE(QUERY(SORT(GOOGLEFINANCE(B996,""price"",TODAY()-365,TODAY()),1,0),""select Col2 limit 200""))"),454.86300000000006)</f>
        <v>454.863</v>
      </c>
      <c r="O996" s="20" t="str">
        <f t="shared" si="2"/>
        <v>Avoid</v>
      </c>
      <c r="P996" s="21" t="str">
        <f t="shared" si="3"/>
        <v/>
      </c>
      <c r="Q996" s="21" t="str">
        <f t="shared" si="4"/>
        <v/>
      </c>
      <c r="R996" s="22">
        <f>IFERROR(__xludf.DUMMYFUNCTION("GOOGLEFINANCE(B996, ""pe"")
"),15.18)</f>
        <v>15.18</v>
      </c>
    </row>
    <row r="997">
      <c r="A997" s="9" t="s">
        <v>1007</v>
      </c>
      <c r="B997" s="11" t="str">
        <f t="shared" si="1"/>
        <v>NSE:ASTEC</v>
      </c>
      <c r="C997" s="12">
        <f>IFERROR(__xludf.DUMMYFUNCTION("GOOGLEFINANCE(B997,""marketcap"")/10000000"),2021.686876)</f>
        <v>2021.686876</v>
      </c>
      <c r="D997" s="13">
        <f>IFERROR(__xludf.DUMMYFUNCTION("GOOGLEFINANCE(B997,""price"")"),901.7)</f>
        <v>901.7</v>
      </c>
      <c r="E997" s="14">
        <f>IFERROR(__xludf.DUMMYFUNCTION("GOOGLEFINANCE(B997,""Volume"")"),36460.0)</f>
        <v>36460</v>
      </c>
      <c r="F997" s="14">
        <f t="array" ref="F997">F996</f>
        <v>14</v>
      </c>
      <c r="G997" s="15" t="str">
        <f>IFERROR(__xludf.DUMMYFUNCTION("IF(E997&gt;AVERAGE(INDEX(GOOGLEFINANCE(B997,""volume"",WORKDAY(TODAY(),-$F$1),TODAY()),,2)),""Breakout"","""")"),"Breakout")</f>
        <v>Breakout</v>
      </c>
      <c r="H997" s="16">
        <f>IFERROR(__xludf.DUMMYFUNCTION("GOOGLEFINANCE(B997,""price"")"),901.7)</f>
        <v>901.7</v>
      </c>
      <c r="I997" s="17" t="str">
        <f>IFERROR(__xludf.DUMMYFUNCTION("AVERAGE(QUERY(SORT(GOOGLEFINANCE(B997,""price"",TODAY()-365,TODAY()),1,0),""select Col2 limit 10""))"),"#N/A")</f>
        <v>#N/A</v>
      </c>
      <c r="J997" s="17" t="str">
        <f>IFERROR(__xludf.DUMMYFUNCTION("AVERAGE(QUERY(SORT(GOOGLEFINANCE(B997,""price"",TODAY()-365,TODAY()),1,0),""select Col2 limit 30""))"),"#N/A")</f>
        <v>#N/A</v>
      </c>
      <c r="K997" s="18" t="str">
        <f>IFERROR(__xludf.DUMMYFUNCTION("AVERAGE(QUERY(SORT(GOOGLEFINANCE(B997,""price"",TODAY()-365,TODAY()),1,0),""select Col2 limit 60""))"),"#N/A")</f>
        <v>#N/A</v>
      </c>
      <c r="L997" s="17" t="str">
        <f>IFERROR(__xludf.DUMMYFUNCTION("AVERAGE(QUERY(SORT(GOOGLEFINANCE(B997,""price"",TODAY()-365,TODAY()),1,0),""select Col2 limit 90""))"),"#N/A")</f>
        <v>#N/A</v>
      </c>
      <c r="M997" s="17" t="str">
        <f>IFERROR(__xludf.DUMMYFUNCTION("AVERAGE(QUERY(SORT(GOOGLEFINANCE(B997,""price"",TODAY()-365,TODAY()),1,0),""select Col2 limit 120""))"),"#N/A")</f>
        <v>#N/A</v>
      </c>
      <c r="N997" s="19" t="str">
        <f>IFERROR(__xludf.DUMMYFUNCTION("AVERAGE(QUERY(SORT(GOOGLEFINANCE(B997,""price"",TODAY()-365,TODAY()),1,0),""select Col2 limit 200""))"),"#N/A")</f>
        <v>#N/A</v>
      </c>
      <c r="O997" s="20" t="str">
        <f t="shared" si="2"/>
        <v>#N/A</v>
      </c>
      <c r="P997" s="21" t="str">
        <f t="shared" si="3"/>
        <v>#N/A</v>
      </c>
      <c r="Q997" s="21" t="str">
        <f t="shared" si="4"/>
        <v>#N/A</v>
      </c>
      <c r="R997" s="22" t="str">
        <f>IFERROR(__xludf.DUMMYFUNCTION("GOOGLEFINANCE(B997, ""pe"")
"),"#N/A")</f>
        <v>#N/A</v>
      </c>
    </row>
    <row r="998">
      <c r="A998" s="9" t="s">
        <v>1008</v>
      </c>
      <c r="B998" s="11" t="str">
        <f t="shared" si="1"/>
        <v>NSE:VENKEYS</v>
      </c>
      <c r="C998" s="12">
        <f>IFERROR(__xludf.DUMMYFUNCTION("GOOGLEFINANCE(B998,""marketcap"")/10000000"),2162.405155)</f>
        <v>2162.405155</v>
      </c>
      <c r="D998" s="13">
        <f>IFERROR(__xludf.DUMMYFUNCTION("GOOGLEFINANCE(B998,""price"")"),1534.1)</f>
        <v>1534.1</v>
      </c>
      <c r="E998" s="14">
        <f>IFERROR(__xludf.DUMMYFUNCTION("GOOGLEFINANCE(B998,""Volume"")"),8303.0)</f>
        <v>8303</v>
      </c>
      <c r="F998" s="14">
        <f t="array" ref="F998">F997</f>
        <v>14</v>
      </c>
      <c r="G998" s="15" t="str">
        <f>IFERROR(__xludf.DUMMYFUNCTION("IF(E998&gt;AVERAGE(INDEX(GOOGLEFINANCE(B998,""volume"",WORKDAY(TODAY(),-$F$1),TODAY()),,2)),""Breakout"","""")"),"")</f>
        <v/>
      </c>
      <c r="H998" s="16">
        <f>IFERROR(__xludf.DUMMYFUNCTION("GOOGLEFINANCE(B998,""price"")"),1534.1)</f>
        <v>1534.1</v>
      </c>
      <c r="I998" s="17">
        <f>IFERROR(__xludf.DUMMYFUNCTION("AVERAGE(QUERY(SORT(GOOGLEFINANCE(B998,""price"",TODAY()-365,TODAY()),1,0),""select Col2 limit 10""))"),1570.0300000000002)</f>
        <v>1570.03</v>
      </c>
      <c r="J998" s="17">
        <f>IFERROR(__xludf.DUMMYFUNCTION("AVERAGE(QUERY(SORT(GOOGLEFINANCE(B998,""price"",TODAY()-365,TODAY()),1,0),""select Col2 limit 30""))"),1595.8433333333332)</f>
        <v>1595.843333</v>
      </c>
      <c r="K998" s="18">
        <f>IFERROR(__xludf.DUMMYFUNCTION("AVERAGE(QUERY(SORT(GOOGLEFINANCE(B998,""price"",TODAY()-365,TODAY()),1,0),""select Col2 limit 60""))"),1616.4000000000003)</f>
        <v>1616.4</v>
      </c>
      <c r="L998" s="17">
        <f>IFERROR(__xludf.DUMMYFUNCTION("AVERAGE(QUERY(SORT(GOOGLEFINANCE(B998,""price"",TODAY()-365,TODAY()),1,0),""select Col2 limit 90""))"),1632.6572222222226)</f>
        <v>1632.657222</v>
      </c>
      <c r="M998" s="17">
        <f>IFERROR(__xludf.DUMMYFUNCTION("AVERAGE(QUERY(SORT(GOOGLEFINANCE(B998,""price"",TODAY()-365,TODAY()),1,0),""select Col2 limit 120""))"),1648.9091666666666)</f>
        <v>1648.909167</v>
      </c>
      <c r="N998" s="19">
        <f>IFERROR(__xludf.DUMMYFUNCTION("AVERAGE(QUERY(SORT(GOOGLEFINANCE(B998,""price"",TODAY()-365,TODAY()),1,0),""select Col2 limit 200""))"),1701.3375)</f>
        <v>1701.3375</v>
      </c>
      <c r="O998" s="20" t="str">
        <f t="shared" si="2"/>
        <v>Avoid</v>
      </c>
      <c r="P998" s="21" t="str">
        <f t="shared" si="3"/>
        <v/>
      </c>
      <c r="Q998" s="21" t="str">
        <f t="shared" si="4"/>
        <v/>
      </c>
      <c r="R998" s="22">
        <f>IFERROR(__xludf.DUMMYFUNCTION("GOOGLEFINANCE(B998, ""pe"")
"),18.53)</f>
        <v>18.53</v>
      </c>
    </row>
    <row r="999">
      <c r="A999" s="9" t="s">
        <v>1009</v>
      </c>
      <c r="B999" s="11" t="str">
        <f t="shared" si="1"/>
        <v>NSE:DEN</v>
      </c>
      <c r="C999" s="12">
        <f>IFERROR(__xludf.DUMMYFUNCTION("GOOGLEFINANCE(B999,""marketcap"")/10000000"),1771.6617055)</f>
        <v>1771.661706</v>
      </c>
      <c r="D999" s="13">
        <f>IFERROR(__xludf.DUMMYFUNCTION("GOOGLEFINANCE(B999,""price"")"),37.16)</f>
        <v>37.16</v>
      </c>
      <c r="E999" s="14">
        <f>IFERROR(__xludf.DUMMYFUNCTION("GOOGLEFINANCE(B999,""Volume"")"),250471.0)</f>
        <v>250471</v>
      </c>
      <c r="F999" s="14">
        <f t="array" ref="F999">F998</f>
        <v>14</v>
      </c>
      <c r="G999" s="15" t="str">
        <f>IFERROR(__xludf.DUMMYFUNCTION("IF(E999&gt;AVERAGE(INDEX(GOOGLEFINANCE(B999,""volume"",WORKDAY(TODAY(),-$F$1),TODAY()),,2)),""Breakout"","""")"),"")</f>
        <v/>
      </c>
      <c r="H999" s="16">
        <f>IFERROR(__xludf.DUMMYFUNCTION("GOOGLEFINANCE(B999,""price"")"),37.16)</f>
        <v>37.16</v>
      </c>
      <c r="I999" s="17">
        <f>IFERROR(__xludf.DUMMYFUNCTION("AVERAGE(QUERY(SORT(GOOGLEFINANCE(B999,""price"",TODAY()-365,TODAY()),1,0),""select Col2 limit 10""))"),39.388999999999996)</f>
        <v>39.389</v>
      </c>
      <c r="J999" s="17">
        <f>IFERROR(__xludf.DUMMYFUNCTION("AVERAGE(QUERY(SORT(GOOGLEFINANCE(B999,""price"",TODAY()-365,TODAY()),1,0),""select Col2 limit 30""))"),37.91133333333333)</f>
        <v>37.91133333</v>
      </c>
      <c r="K999" s="18">
        <f>IFERROR(__xludf.DUMMYFUNCTION("AVERAGE(QUERY(SORT(GOOGLEFINANCE(B999,""price"",TODAY()-365,TODAY()),1,0),""select Col2 limit 60""))"),36.51049999999999)</f>
        <v>36.5105</v>
      </c>
      <c r="L999" s="17">
        <f>IFERROR(__xludf.DUMMYFUNCTION("AVERAGE(QUERY(SORT(GOOGLEFINANCE(B999,""price"",TODAY()-365,TODAY()),1,0),""select Col2 limit 90""))"),35.108444444444444)</f>
        <v>35.10844444</v>
      </c>
      <c r="M999" s="17">
        <f>IFERROR(__xludf.DUMMYFUNCTION("AVERAGE(QUERY(SORT(GOOGLEFINANCE(B999,""price"",TODAY()-365,TODAY()),1,0),""select Col2 limit 120""))"),34.973416666666665)</f>
        <v>34.97341667</v>
      </c>
      <c r="N999" s="19">
        <f>IFERROR(__xludf.DUMMYFUNCTION("AVERAGE(QUERY(SORT(GOOGLEFINANCE(B999,""price"",TODAY()-365,TODAY()),1,0),""select Col2 limit 200""))"),38.75200000000001)</f>
        <v>38.752</v>
      </c>
      <c r="O999" s="20" t="str">
        <f t="shared" si="2"/>
        <v>Avoid</v>
      </c>
      <c r="P999" s="21" t="str">
        <f t="shared" si="3"/>
        <v/>
      </c>
      <c r="Q999" s="21" t="str">
        <f t="shared" si="4"/>
        <v/>
      </c>
      <c r="R999" s="22">
        <f>IFERROR(__xludf.DUMMYFUNCTION("GOOGLEFINANCE(B999, ""pe"")
"),24.94)</f>
        <v>24.94</v>
      </c>
    </row>
    <row r="1000">
      <c r="A1000" s="9" t="s">
        <v>1010</v>
      </c>
      <c r="B1000" s="11" t="str">
        <f t="shared" si="1"/>
        <v>NSE:TATVA</v>
      </c>
      <c r="C1000" s="12">
        <f>IFERROR(__xludf.DUMMYFUNCTION("GOOGLEFINANCE(B1000,""marketcap"")/10000000"),2721.8988808)</f>
        <v>2721.898881</v>
      </c>
      <c r="D1000" s="13">
        <f>IFERROR(__xludf.DUMMYFUNCTION("GOOGLEFINANCE(B1000,""price"")"),1165.0)</f>
        <v>1165</v>
      </c>
      <c r="E1000" s="14">
        <f>IFERROR(__xludf.DUMMYFUNCTION("GOOGLEFINANCE(B1000,""Volume"")"),261940.0)</f>
        <v>261940</v>
      </c>
      <c r="F1000" s="14">
        <f t="array" ref="F1000">F999</f>
        <v>14</v>
      </c>
      <c r="G1000" s="15" t="str">
        <f>IFERROR(__xludf.DUMMYFUNCTION("IF(E1000&gt;AVERAGE(INDEX(GOOGLEFINANCE(B1000,""volume"",WORKDAY(TODAY(),-$F$1),TODAY()),,2)),""Breakout"","""")"),"")</f>
        <v/>
      </c>
      <c r="H1000" s="16">
        <f>IFERROR(__xludf.DUMMYFUNCTION("GOOGLEFINANCE(B1000,""price"")"),1165.0)</f>
        <v>1165</v>
      </c>
      <c r="I1000" s="17">
        <f>IFERROR(__xludf.DUMMYFUNCTION("AVERAGE(QUERY(SORT(GOOGLEFINANCE(B1000,""price"",TODAY()-365,TODAY()),1,0),""select Col2 limit 10""))"),996.1199999999999)</f>
        <v>996.12</v>
      </c>
      <c r="J1000" s="17">
        <f>IFERROR(__xludf.DUMMYFUNCTION("AVERAGE(QUERY(SORT(GOOGLEFINANCE(B1000,""price"",TODAY()-365,TODAY()),1,0),""select Col2 limit 30""))"),965.1149999999999)</f>
        <v>965.115</v>
      </c>
      <c r="K1000" s="18">
        <f>IFERROR(__xludf.DUMMYFUNCTION("AVERAGE(QUERY(SORT(GOOGLEFINANCE(B1000,""price"",TODAY()-365,TODAY()),1,0),""select Col2 limit 60""))"),914.6441666666669)</f>
        <v>914.6441667</v>
      </c>
      <c r="L1000" s="17">
        <f>IFERROR(__xludf.DUMMYFUNCTION("AVERAGE(QUERY(SORT(GOOGLEFINANCE(B1000,""price"",TODAY()-365,TODAY()),1,0),""select Col2 limit 90""))"),844.0044444444442)</f>
        <v>844.0044444</v>
      </c>
      <c r="M1000" s="17">
        <f>IFERROR(__xludf.DUMMYFUNCTION("AVERAGE(QUERY(SORT(GOOGLEFINANCE(B1000,""price"",TODAY()-365,TODAY()),1,0),""select Col2 limit 120""))"),813.0625)</f>
        <v>813.0625</v>
      </c>
      <c r="N1000" s="19">
        <f>IFERROR(__xludf.DUMMYFUNCTION("AVERAGE(QUERY(SORT(GOOGLEFINANCE(B1000,""price"",TODAY()-365,TODAY()),1,0),""select Col2 limit 200""))"),842.0249999999999)</f>
        <v>842.025</v>
      </c>
      <c r="O1000" s="20" t="str">
        <f t="shared" si="2"/>
        <v>Avoid</v>
      </c>
      <c r="P1000" s="21" t="str">
        <f t="shared" si="3"/>
        <v/>
      </c>
      <c r="Q1000" s="21" t="str">
        <f t="shared" si="4"/>
        <v/>
      </c>
      <c r="R1000" s="22">
        <f>IFERROR(__xludf.DUMMYFUNCTION("GOOGLEFINANCE(B1000, ""pe"")
"),380.33)</f>
        <v>380.33</v>
      </c>
    </row>
    <row r="1001">
      <c r="A1001" s="9" t="s">
        <v>1011</v>
      </c>
      <c r="B1001" s="11" t="str">
        <f t="shared" si="1"/>
        <v>NSE:TARSONS</v>
      </c>
      <c r="C1001" s="12">
        <f>IFERROR(__xludf.DUMMYFUNCTION("GOOGLEFINANCE(B1001,""marketcap"")/10000000"),1967.5677996)</f>
        <v>1967.5678</v>
      </c>
      <c r="D1001" s="13">
        <f>IFERROR(__xludf.DUMMYFUNCTION("GOOGLEFINANCE(B1001,""price"")"),369.95)</f>
        <v>369.95</v>
      </c>
      <c r="E1001" s="14">
        <f>IFERROR(__xludf.DUMMYFUNCTION("GOOGLEFINANCE(B1001,""Volume"")"),7083.0)</f>
        <v>7083</v>
      </c>
      <c r="F1001" s="14">
        <f t="array" ref="F1001">F1000</f>
        <v>14</v>
      </c>
      <c r="G1001" s="15" t="str">
        <f>IFERROR(__xludf.DUMMYFUNCTION("IF(E1001&gt;AVERAGE(INDEX(GOOGLEFINANCE(B1001,""volume"",WORKDAY(TODAY(),-$F$1),TODAY()),,2)),""Breakout"","""")"),"")</f>
        <v/>
      </c>
      <c r="H1001" s="16">
        <f>IFERROR(__xludf.DUMMYFUNCTION("GOOGLEFINANCE(B1001,""price"")"),369.95)</f>
        <v>369.95</v>
      </c>
      <c r="I1001" s="17">
        <f>IFERROR(__xludf.DUMMYFUNCTION("AVERAGE(QUERY(SORT(GOOGLEFINANCE(B1001,""price"",TODAY()-365,TODAY()),1,0),""select Col2 limit 10""))"),383.21500000000003)</f>
        <v>383.215</v>
      </c>
      <c r="J1001" s="17">
        <f>IFERROR(__xludf.DUMMYFUNCTION("AVERAGE(QUERY(SORT(GOOGLEFINANCE(B1001,""price"",TODAY()-365,TODAY()),1,0),""select Col2 limit 30""))"),383.4183333333333)</f>
        <v>383.4183333</v>
      </c>
      <c r="K1001" s="18">
        <f>IFERROR(__xludf.DUMMYFUNCTION("AVERAGE(QUERY(SORT(GOOGLEFINANCE(B1001,""price"",TODAY()-365,TODAY()),1,0),""select Col2 limit 60""))"),384.2041666666666)</f>
        <v>384.2041667</v>
      </c>
      <c r="L1001" s="17">
        <f>IFERROR(__xludf.DUMMYFUNCTION("AVERAGE(QUERY(SORT(GOOGLEFINANCE(B1001,""price"",TODAY()-365,TODAY()),1,0),""select Col2 limit 90""))"),372.94611111111107)</f>
        <v>372.9461111</v>
      </c>
      <c r="M1001" s="17">
        <f>IFERROR(__xludf.DUMMYFUNCTION("AVERAGE(QUERY(SORT(GOOGLEFINANCE(B1001,""price"",TODAY()-365,TODAY()),1,0),""select Col2 limit 120""))"),361.6216666666665)</f>
        <v>361.6216667</v>
      </c>
      <c r="N1001" s="19">
        <f>IFERROR(__xludf.DUMMYFUNCTION("AVERAGE(QUERY(SORT(GOOGLEFINANCE(B1001,""price"",TODAY()-365,TODAY()),1,0),""select Col2 limit 200""))"),381.20849999999996)</f>
        <v>381.2085</v>
      </c>
      <c r="O1001" s="20" t="str">
        <f t="shared" si="2"/>
        <v>Avoid</v>
      </c>
      <c r="P1001" s="21" t="str">
        <f t="shared" si="3"/>
        <v>90 DMA</v>
      </c>
      <c r="Q1001" s="21" t="str">
        <f t="shared" si="4"/>
        <v/>
      </c>
      <c r="R1001" s="22">
        <f>IFERROR(__xludf.DUMMYFUNCTION("GOOGLEFINANCE(B1001, ""pe"")
"),66.06)</f>
        <v>66.06</v>
      </c>
    </row>
    <row r="1002">
      <c r="A1002" s="9" t="s">
        <v>1012</v>
      </c>
      <c r="B1002" s="11" t="str">
        <f t="shared" si="1"/>
        <v>NSE:MANGLMCEM</v>
      </c>
      <c r="C1002" s="12">
        <f>IFERROR(__xludf.DUMMYFUNCTION("GOOGLEFINANCE(B1002,""marketcap"")/10000000"),1971.4182401)</f>
        <v>1971.41824</v>
      </c>
      <c r="D1002" s="13">
        <f>IFERROR(__xludf.DUMMYFUNCTION("GOOGLEFINANCE(B1002,""price"")"),716.1)</f>
        <v>716.1</v>
      </c>
      <c r="E1002" s="14">
        <f>IFERROR(__xludf.DUMMYFUNCTION("GOOGLEFINANCE(B1002,""Volume"")"),12178.0)</f>
        <v>12178</v>
      </c>
      <c r="F1002" s="14">
        <f t="array" ref="F1002">F1001</f>
        <v>14</v>
      </c>
      <c r="G1002" s="15" t="str">
        <f>IFERROR(__xludf.DUMMYFUNCTION("IF(E1002&gt;AVERAGE(INDEX(GOOGLEFINANCE(B1002,""volume"",WORKDAY(TODAY(),-$F$1),TODAY()),,2)),""Breakout"","""")"),"#N/A")</f>
        <v>#N/A</v>
      </c>
      <c r="H1002" s="16">
        <f>IFERROR(__xludf.DUMMYFUNCTION("GOOGLEFINANCE(B1002,""price"")"),716.1)</f>
        <v>716.1</v>
      </c>
      <c r="I1002" s="17">
        <f>IFERROR(__xludf.DUMMYFUNCTION("AVERAGE(QUERY(SORT(GOOGLEFINANCE(B1002,""price"",TODAY()-365,TODAY()),1,0),""select Col2 limit 10""))"),737.8599999999999)</f>
        <v>737.86</v>
      </c>
      <c r="J1002" s="17">
        <f>IFERROR(__xludf.DUMMYFUNCTION("AVERAGE(QUERY(SORT(GOOGLEFINANCE(B1002,""price"",TODAY()-365,TODAY()),1,0),""select Col2 limit 30""))"),744.0299999999999)</f>
        <v>744.03</v>
      </c>
      <c r="K1002" s="18">
        <f>IFERROR(__xludf.DUMMYFUNCTION("AVERAGE(QUERY(SORT(GOOGLEFINANCE(B1002,""price"",TODAY()-365,TODAY()),1,0),""select Col2 limit 60""))"),765.0108333333334)</f>
        <v>765.0108333</v>
      </c>
      <c r="L1002" s="17">
        <f>IFERROR(__xludf.DUMMYFUNCTION("AVERAGE(QUERY(SORT(GOOGLEFINANCE(B1002,""price"",TODAY()-365,TODAY()),1,0),""select Col2 limit 90""))"),772.8272222222223)</f>
        <v>772.8272222</v>
      </c>
      <c r="M1002" s="17">
        <f>IFERROR(__xludf.DUMMYFUNCTION("AVERAGE(QUERY(SORT(GOOGLEFINANCE(B1002,""price"",TODAY()-365,TODAY()),1,0),""select Col2 limit 120""))"),772.3595833333334)</f>
        <v>772.3595833</v>
      </c>
      <c r="N1002" s="19">
        <f>IFERROR(__xludf.DUMMYFUNCTION("AVERAGE(QUERY(SORT(GOOGLEFINANCE(B1002,""price"",TODAY()-365,TODAY()),1,0),""select Col2 limit 200""))"),818.2797500000001)</f>
        <v>818.27975</v>
      </c>
      <c r="O1002" s="20" t="str">
        <f t="shared" si="2"/>
        <v>Avoid</v>
      </c>
      <c r="P1002" s="21" t="str">
        <f t="shared" si="3"/>
        <v/>
      </c>
      <c r="Q1002" s="21" t="str">
        <f t="shared" si="4"/>
        <v/>
      </c>
      <c r="R1002" s="22">
        <f>IFERROR(__xludf.DUMMYFUNCTION("GOOGLEFINANCE(B1002, ""pe"")
"),43.69)</f>
        <v>43.69</v>
      </c>
    </row>
    <row r="1003">
      <c r="A1003" s="9" t="s">
        <v>1013</v>
      </c>
      <c r="B1003" s="11" t="str">
        <f t="shared" si="1"/>
        <v>NSE:TASTYBITE</v>
      </c>
      <c r="C1003" s="12">
        <f>IFERROR(__xludf.DUMMYFUNCTION("GOOGLEFINANCE(B1003,""marketcap"")/10000000"),2946.0246)</f>
        <v>2946.0246</v>
      </c>
      <c r="D1003" s="13">
        <f>IFERROR(__xludf.DUMMYFUNCTION("GOOGLEFINANCE(B1003,""price"")"),11674.0)</f>
        <v>11674</v>
      </c>
      <c r="E1003" s="14">
        <f>IFERROR(__xludf.DUMMYFUNCTION("GOOGLEFINANCE(B1003,""Volume"")"),7268.0)</f>
        <v>7268</v>
      </c>
      <c r="F1003" s="14">
        <f t="array" ref="F1003">F1002</f>
        <v>14</v>
      </c>
      <c r="G1003" s="15" t="str">
        <f>IFERROR(__xludf.DUMMYFUNCTION("IF(E1003&gt;AVERAGE(INDEX(GOOGLEFINANCE(B1003,""volume"",WORKDAY(TODAY(),-$F$1),TODAY()),,2)),""Breakout"","""")"),"Breakout")</f>
        <v>Breakout</v>
      </c>
      <c r="H1003" s="16">
        <f>IFERROR(__xludf.DUMMYFUNCTION("GOOGLEFINANCE(B1003,""price"")"),11674.0)</f>
        <v>11674</v>
      </c>
      <c r="I1003" s="17">
        <f>IFERROR(__xludf.DUMMYFUNCTION("AVERAGE(QUERY(SORT(GOOGLEFINANCE(B1003,""price"",TODAY()-365,TODAY()),1,0),""select Col2 limit 10""))"),11013.5)</f>
        <v>11013.5</v>
      </c>
      <c r="J1003" s="17">
        <f>IFERROR(__xludf.DUMMYFUNCTION("AVERAGE(QUERY(SORT(GOOGLEFINANCE(B1003,""price"",TODAY()-365,TODAY()),1,0),""select Col2 limit 30""))"),10990.166666666666)</f>
        <v>10990.16667</v>
      </c>
      <c r="K1003" s="18">
        <f>IFERROR(__xludf.DUMMYFUNCTION("AVERAGE(QUERY(SORT(GOOGLEFINANCE(B1003,""price"",TODAY()-365,TODAY()),1,0),""select Col2 limit 60""))"),10569.766666666666)</f>
        <v>10569.76667</v>
      </c>
      <c r="L1003" s="17">
        <f>IFERROR(__xludf.DUMMYFUNCTION("AVERAGE(QUERY(SORT(GOOGLEFINANCE(B1003,""price"",TODAY()-365,TODAY()),1,0),""select Col2 limit 90""))"),9895.165555555555)</f>
        <v>9895.165556</v>
      </c>
      <c r="M1003" s="17">
        <f>IFERROR(__xludf.DUMMYFUNCTION("AVERAGE(QUERY(SORT(GOOGLEFINANCE(B1003,""price"",TODAY()-365,TODAY()),1,0),""select Col2 limit 120""))"),9696.17375)</f>
        <v>9696.17375</v>
      </c>
      <c r="N1003" s="19">
        <f>IFERROR(__xludf.DUMMYFUNCTION("AVERAGE(QUERY(SORT(GOOGLEFINANCE(B1003,""price"",TODAY()-365,TODAY()),1,0),""select Col2 limit 200""))"),10239.805749999998)</f>
        <v>10239.80575</v>
      </c>
      <c r="O1003" s="20" t="str">
        <f t="shared" si="2"/>
        <v>Avoid</v>
      </c>
      <c r="P1003" s="21" t="str">
        <f t="shared" si="3"/>
        <v/>
      </c>
      <c r="Q1003" s="21" t="str">
        <f t="shared" si="4"/>
        <v/>
      </c>
      <c r="R1003" s="22">
        <f>IFERROR(__xludf.DUMMYFUNCTION("GOOGLEFINANCE(B1003, ""pe"")
"),117.52)</f>
        <v>117.52</v>
      </c>
    </row>
    <row r="1004">
      <c r="A1004" s="9" t="s">
        <v>1014</v>
      </c>
      <c r="B1004" s="11" t="str">
        <f t="shared" si="1"/>
        <v>NSE:SASKEN</v>
      </c>
      <c r="C1004" s="12">
        <f>IFERROR(__xludf.DUMMYFUNCTION("GOOGLEFINANCE(B1004,""marketcap"")/10000000"),2228.7697131)</f>
        <v>2228.769713</v>
      </c>
      <c r="D1004" s="13">
        <f>IFERROR(__xludf.DUMMYFUNCTION("GOOGLEFINANCE(B1004,""price"")"),1473.9)</f>
        <v>1473.9</v>
      </c>
      <c r="E1004" s="14">
        <f>IFERROR(__xludf.DUMMYFUNCTION("GOOGLEFINANCE(B1004,""Volume"")"),7159.0)</f>
        <v>7159</v>
      </c>
      <c r="F1004" s="14">
        <f t="array" ref="F1004">F1003</f>
        <v>14</v>
      </c>
      <c r="G1004" s="15" t="str">
        <f>IFERROR(__xludf.DUMMYFUNCTION("IF(E1004&gt;AVERAGE(INDEX(GOOGLEFINANCE(B1004,""volume"",WORKDAY(TODAY(),-$F$1),TODAY()),,2)),""Breakout"","""")"),"")</f>
        <v/>
      </c>
      <c r="H1004" s="16">
        <f>IFERROR(__xludf.DUMMYFUNCTION("GOOGLEFINANCE(B1004,""price"")"),1473.9)</f>
        <v>1473.9</v>
      </c>
      <c r="I1004" s="17">
        <f>IFERROR(__xludf.DUMMYFUNCTION("AVERAGE(QUERY(SORT(GOOGLEFINANCE(B1004,""price"",TODAY()-365,TODAY()),1,0),""select Col2 limit 10""))"),1474.46)</f>
        <v>1474.46</v>
      </c>
      <c r="J1004" s="17">
        <f>IFERROR(__xludf.DUMMYFUNCTION("AVERAGE(QUERY(SORT(GOOGLEFINANCE(B1004,""price"",TODAY()-365,TODAY()),1,0),""select Col2 limit 30""))"),1456.1)</f>
        <v>1456.1</v>
      </c>
      <c r="K1004" s="18">
        <f>IFERROR(__xludf.DUMMYFUNCTION("AVERAGE(QUERY(SORT(GOOGLEFINANCE(B1004,""price"",TODAY()-365,TODAY()),1,0),""select Col2 limit 60""))"),1465.6366666666665)</f>
        <v>1465.636667</v>
      </c>
      <c r="L1004" s="17">
        <f>IFERROR(__xludf.DUMMYFUNCTION("AVERAGE(QUERY(SORT(GOOGLEFINANCE(B1004,""price"",TODAY()-365,TODAY()),1,0),""select Col2 limit 90""))"),1476.3149999999998)</f>
        <v>1476.315</v>
      </c>
      <c r="M1004" s="17">
        <f>IFERROR(__xludf.DUMMYFUNCTION("AVERAGE(QUERY(SORT(GOOGLEFINANCE(B1004,""price"",TODAY()-365,TODAY()),1,0),""select Col2 limit 120""))"),1533.55625)</f>
        <v>1533.55625</v>
      </c>
      <c r="N1004" s="19">
        <f>IFERROR(__xludf.DUMMYFUNCTION("AVERAGE(QUERY(SORT(GOOGLEFINANCE(B1004,""price"",TODAY()-365,TODAY()),1,0),""select Col2 limit 200""))"),1704.7177499999993)</f>
        <v>1704.71775</v>
      </c>
      <c r="O1004" s="20" t="str">
        <f t="shared" si="2"/>
        <v>Avoid</v>
      </c>
      <c r="P1004" s="21" t="str">
        <f t="shared" si="3"/>
        <v>10 DMA</v>
      </c>
      <c r="Q1004" s="21" t="str">
        <f t="shared" si="4"/>
        <v/>
      </c>
      <c r="R1004" s="22">
        <f>IFERROR(__xludf.DUMMYFUNCTION("GOOGLEFINANCE(B1004, ""pe"")
"),44.56)</f>
        <v>44.56</v>
      </c>
    </row>
    <row r="1005">
      <c r="A1005" s="9" t="s">
        <v>1015</v>
      </c>
      <c r="B1005" s="11" t="str">
        <f t="shared" si="1"/>
        <v>NSE:EPACK</v>
      </c>
      <c r="C1005" s="12">
        <f>IFERROR(__xludf.DUMMYFUNCTION("GOOGLEFINANCE(B1005,""marketcap"")/10000000"),3363.2083917)</f>
        <v>3363.208392</v>
      </c>
      <c r="D1005" s="13">
        <f>IFERROR(__xludf.DUMMYFUNCTION("GOOGLEFINANCE(B1005,""price"")"),350.4)</f>
        <v>350.4</v>
      </c>
      <c r="E1005" s="14">
        <f>IFERROR(__xludf.DUMMYFUNCTION("GOOGLEFINANCE(B1005,""Volume"")"),173043.0)</f>
        <v>173043</v>
      </c>
      <c r="F1005" s="14">
        <f t="array" ref="F1005">F1004</f>
        <v>14</v>
      </c>
      <c r="G1005" s="15" t="str">
        <f>IFERROR(__xludf.DUMMYFUNCTION("IF(E1005&gt;AVERAGE(INDEX(GOOGLEFINANCE(B1005,""volume"",WORKDAY(TODAY(),-$F$1),TODAY()),,2)),""Breakout"","""")"),"")</f>
        <v/>
      </c>
      <c r="H1005" s="16">
        <f>IFERROR(__xludf.DUMMYFUNCTION("GOOGLEFINANCE(B1005,""price"")"),350.4)</f>
        <v>350.4</v>
      </c>
      <c r="I1005" s="17">
        <f>IFERROR(__xludf.DUMMYFUNCTION("AVERAGE(QUERY(SORT(GOOGLEFINANCE(B1005,""price"",TODAY()-365,TODAY()),1,0),""select Col2 limit 10""))"),366.775)</f>
        <v>366.775</v>
      </c>
      <c r="J1005" s="17">
        <f>IFERROR(__xludf.DUMMYFUNCTION("AVERAGE(QUERY(SORT(GOOGLEFINANCE(B1005,""price"",TODAY()-365,TODAY()),1,0),""select Col2 limit 30""))"),353.8683333333332)</f>
        <v>353.8683333</v>
      </c>
      <c r="K1005" s="18">
        <f>IFERROR(__xludf.DUMMYFUNCTION("AVERAGE(QUERY(SORT(GOOGLEFINANCE(B1005,""price"",TODAY()-365,TODAY()),1,0),""select Col2 limit 60""))"),358.56249999999994)</f>
        <v>358.5625</v>
      </c>
      <c r="L1005" s="17">
        <f>IFERROR(__xludf.DUMMYFUNCTION("AVERAGE(QUERY(SORT(GOOGLEFINANCE(B1005,""price"",TODAY()-365,TODAY()),1,0),""select Col2 limit 90""))"),361.6994444444444)</f>
        <v>361.6994444</v>
      </c>
      <c r="M1005" s="17">
        <f>IFERROR(__xludf.DUMMYFUNCTION("AVERAGE(QUERY(SORT(GOOGLEFINANCE(B1005,""price"",TODAY()-365,TODAY()),1,0),""select Col2 limit 120""))"),367.74625000000015)</f>
        <v>367.74625</v>
      </c>
      <c r="N1005" s="19">
        <f>IFERROR(__xludf.DUMMYFUNCTION("AVERAGE(QUERY(SORT(GOOGLEFINANCE(B1005,""price"",TODAY()-365,TODAY()),1,0),""select Col2 limit 200""))"),405.2800000000003)</f>
        <v>405.28</v>
      </c>
      <c r="O1005" s="20" t="str">
        <f t="shared" si="2"/>
        <v>Avoid</v>
      </c>
      <c r="P1005" s="21" t="str">
        <f t="shared" si="3"/>
        <v>30 DMA</v>
      </c>
      <c r="Q1005" s="21" t="str">
        <f t="shared" si="4"/>
        <v/>
      </c>
      <c r="R1005" s="22">
        <f>IFERROR(__xludf.DUMMYFUNCTION("GOOGLEFINANCE(B1005, ""pe"")
"),61.62)</f>
        <v>61.62</v>
      </c>
    </row>
    <row r="1006">
      <c r="A1006" s="9" t="s">
        <v>1016</v>
      </c>
      <c r="B1006" s="11" t="str">
        <f t="shared" si="1"/>
        <v>NSE:SANGHIIND</v>
      </c>
      <c r="C1006" s="12">
        <f>IFERROR(__xludf.DUMMYFUNCTION("GOOGLEFINANCE(B1006,""marketcap"")/10000000"),1777.5411429)</f>
        <v>1777.541143</v>
      </c>
      <c r="D1006" s="13">
        <f>IFERROR(__xludf.DUMMYFUNCTION("GOOGLEFINANCE(B1006,""price"")"),68.81)</f>
        <v>68.81</v>
      </c>
      <c r="E1006" s="14">
        <f>IFERROR(__xludf.DUMMYFUNCTION("GOOGLEFINANCE(B1006,""Volume"")"),259283.0)</f>
        <v>259283</v>
      </c>
      <c r="F1006" s="14">
        <f t="array" ref="F1006">F1005</f>
        <v>14</v>
      </c>
      <c r="G1006" s="15" t="str">
        <f>IFERROR(__xludf.DUMMYFUNCTION("IF(E1006&gt;AVERAGE(INDEX(GOOGLEFINANCE(B1006,""volume"",WORKDAY(TODAY(),-$F$1),TODAY()),,2)),""Breakout"","""")"),"")</f>
        <v/>
      </c>
      <c r="H1006" s="16">
        <f>IFERROR(__xludf.DUMMYFUNCTION("GOOGLEFINANCE(B1006,""price"")"),68.81)</f>
        <v>68.81</v>
      </c>
      <c r="I1006" s="17">
        <f>IFERROR(__xludf.DUMMYFUNCTION("AVERAGE(QUERY(SORT(GOOGLEFINANCE(B1006,""price"",TODAY()-365,TODAY()),1,0),""select Col2 limit 10""))"),67.61299999999999)</f>
        <v>67.613</v>
      </c>
      <c r="J1006" s="17">
        <f>IFERROR(__xludf.DUMMYFUNCTION("AVERAGE(QUERY(SORT(GOOGLEFINANCE(B1006,""price"",TODAY()-365,TODAY()),1,0),""select Col2 limit 30""))"),64.84266666666666)</f>
        <v>64.84266667</v>
      </c>
      <c r="K1006" s="18">
        <f>IFERROR(__xludf.DUMMYFUNCTION("AVERAGE(QUERY(SORT(GOOGLEFINANCE(B1006,""price"",TODAY()-365,TODAY()),1,0),""select Col2 limit 60""))"),63.12016666666666)</f>
        <v>63.12016667</v>
      </c>
      <c r="L1006" s="17">
        <f>IFERROR(__xludf.DUMMYFUNCTION("AVERAGE(QUERY(SORT(GOOGLEFINANCE(B1006,""price"",TODAY()-365,TODAY()),1,0),""select Col2 limit 90""))"),62.07911111111111)</f>
        <v>62.07911111</v>
      </c>
      <c r="M1006" s="17">
        <f>IFERROR(__xludf.DUMMYFUNCTION("AVERAGE(QUERY(SORT(GOOGLEFINANCE(B1006,""price"",TODAY()-365,TODAY()),1,0),""select Col2 limit 120""))"),60.39591666666668)</f>
        <v>60.39591667</v>
      </c>
      <c r="N1006" s="19">
        <f>IFERROR(__xludf.DUMMYFUNCTION("AVERAGE(QUERY(SORT(GOOGLEFINANCE(B1006,""price"",TODAY()-365,TODAY()),1,0),""select Col2 limit 200""))"),65.7468)</f>
        <v>65.7468</v>
      </c>
      <c r="O1006" s="20" t="str">
        <f t="shared" si="2"/>
        <v>Avoid</v>
      </c>
      <c r="P1006" s="21" t="str">
        <f t="shared" si="3"/>
        <v/>
      </c>
      <c r="Q1006" s="21" t="str">
        <f t="shared" si="4"/>
        <v/>
      </c>
      <c r="R1006" s="22" t="str">
        <f>IFERROR(__xludf.DUMMYFUNCTION("GOOGLEFINANCE(B1006, ""pe"")
"),"#N/A")</f>
        <v>#N/A</v>
      </c>
    </row>
    <row r="1007">
      <c r="A1007" s="9" t="s">
        <v>1017</v>
      </c>
      <c r="B1007" s="11" t="str">
        <f t="shared" si="1"/>
        <v>NSE:DREAMFOLKS</v>
      </c>
      <c r="C1007" s="12">
        <f>IFERROR(__xludf.DUMMYFUNCTION("GOOGLEFINANCE(B1007,""marketcap"")/10000000"),751.104885)</f>
        <v>751.104885</v>
      </c>
      <c r="D1007" s="13">
        <f>IFERROR(__xludf.DUMMYFUNCTION("GOOGLEFINANCE(B1007,""price"")"),142.5)</f>
        <v>142.5</v>
      </c>
      <c r="E1007" s="14">
        <f>IFERROR(__xludf.DUMMYFUNCTION("GOOGLEFINANCE(B1007,""Volume"")"),56377.0)</f>
        <v>56377</v>
      </c>
      <c r="F1007" s="14">
        <f t="array" ref="F1007">F1006</f>
        <v>14</v>
      </c>
      <c r="G1007" s="15" t="str">
        <f>IFERROR(__xludf.DUMMYFUNCTION("IF(E1007&gt;AVERAGE(INDEX(GOOGLEFINANCE(B1007,""volume"",WORKDAY(TODAY(),-$F$1),TODAY()),,2)),""Breakout"","""")"),"")</f>
        <v/>
      </c>
      <c r="H1007" s="16">
        <f>IFERROR(__xludf.DUMMYFUNCTION("GOOGLEFINANCE(B1007,""price"")"),142.5)</f>
        <v>142.5</v>
      </c>
      <c r="I1007" s="17">
        <f>IFERROR(__xludf.DUMMYFUNCTION("AVERAGE(QUERY(SORT(GOOGLEFINANCE(B1007,""price"",TODAY()-365,TODAY()),1,0),""select Col2 limit 10""))"),152.32600000000002)</f>
        <v>152.326</v>
      </c>
      <c r="J1007" s="17">
        <f>IFERROR(__xludf.DUMMYFUNCTION("AVERAGE(QUERY(SORT(GOOGLEFINANCE(B1007,""price"",TODAY()-365,TODAY()),1,0),""select Col2 limit 30""))"),196.11333333333334)</f>
        <v>196.1133333</v>
      </c>
      <c r="K1007" s="18">
        <f>IFERROR(__xludf.DUMMYFUNCTION("AVERAGE(QUERY(SORT(GOOGLEFINANCE(B1007,""price"",TODAY()-365,TODAY()),1,0),""select Col2 limit 60""))"),227.44300000000004)</f>
        <v>227.443</v>
      </c>
      <c r="L1007" s="17">
        <f>IFERROR(__xludf.DUMMYFUNCTION("AVERAGE(QUERY(SORT(GOOGLEFINANCE(B1007,""price"",TODAY()-365,TODAY()),1,0),""select Col2 limit 90""))"),229.1702222222222)</f>
        <v>229.1702222</v>
      </c>
      <c r="M1007" s="17">
        <f>IFERROR(__xludf.DUMMYFUNCTION("AVERAGE(QUERY(SORT(GOOGLEFINANCE(B1007,""price"",TODAY()-365,TODAY()),1,0),""select Col2 limit 120""))"),243.47558333333333)</f>
        <v>243.4755833</v>
      </c>
      <c r="N1007" s="19">
        <f>IFERROR(__xludf.DUMMYFUNCTION("AVERAGE(QUERY(SORT(GOOGLEFINANCE(B1007,""price"",TODAY()-365,TODAY()),1,0),""select Col2 limit 200""))"),312.26210000000015)</f>
        <v>312.2621</v>
      </c>
      <c r="O1007" s="20" t="str">
        <f t="shared" si="2"/>
        <v>Avoid</v>
      </c>
      <c r="P1007" s="21" t="str">
        <f t="shared" si="3"/>
        <v/>
      </c>
      <c r="Q1007" s="21" t="str">
        <f t="shared" si="4"/>
        <v/>
      </c>
      <c r="R1007" s="22">
        <f>IFERROR(__xludf.DUMMYFUNCTION("GOOGLEFINANCE(B1007, ""pe"")
"),11.71)</f>
        <v>11.71</v>
      </c>
    </row>
    <row r="1008">
      <c r="A1008" s="9" t="s">
        <v>1018</v>
      </c>
      <c r="B1008" s="11" t="str">
        <f t="shared" si="1"/>
        <v>NSE:VPRPL</v>
      </c>
      <c r="C1008" s="12">
        <f>IFERROR(__xludf.DUMMYFUNCTION("GOOGLEFINANCE(B1008,""marketcap"")/10000000"),2018.0864349)</f>
        <v>2018.086435</v>
      </c>
      <c r="D1008" s="13">
        <f>IFERROR(__xludf.DUMMYFUNCTION("GOOGLEFINANCE(B1008,""price"")"),162.09)</f>
        <v>162.09</v>
      </c>
      <c r="E1008" s="14">
        <f>IFERROR(__xludf.DUMMYFUNCTION("GOOGLEFINANCE(B1008,""Volume"")"),259865.0)</f>
        <v>259865</v>
      </c>
      <c r="F1008" s="14">
        <f t="array" ref="F1008">F1007</f>
        <v>14</v>
      </c>
      <c r="G1008" s="15" t="str">
        <f>IFERROR(__xludf.DUMMYFUNCTION("IF(E1008&gt;AVERAGE(INDEX(GOOGLEFINANCE(B1008,""volume"",WORKDAY(TODAY(),-$F$1),TODAY()),,2)),""Breakout"","""")"),"")</f>
        <v/>
      </c>
      <c r="H1008" s="16">
        <f>IFERROR(__xludf.DUMMYFUNCTION("GOOGLEFINANCE(B1008,""price"")"),162.09)</f>
        <v>162.09</v>
      </c>
      <c r="I1008" s="17">
        <f>IFERROR(__xludf.DUMMYFUNCTION("AVERAGE(QUERY(SORT(GOOGLEFINANCE(B1008,""price"",TODAY()-365,TODAY()),1,0),""select Col2 limit 10""))"),173.04799999999997)</f>
        <v>173.048</v>
      </c>
      <c r="J1008" s="17">
        <f>IFERROR(__xludf.DUMMYFUNCTION("AVERAGE(QUERY(SORT(GOOGLEFINANCE(B1008,""price"",TODAY()-365,TODAY()),1,0),""select Col2 limit 30""))"),166.8943333333333)</f>
        <v>166.8943333</v>
      </c>
      <c r="K1008" s="18">
        <f>IFERROR(__xludf.DUMMYFUNCTION("AVERAGE(QUERY(SORT(GOOGLEFINANCE(B1008,""price"",TODAY()-365,TODAY()),1,0),""select Col2 limit 60""))"),170.51449999999997)</f>
        <v>170.5145</v>
      </c>
      <c r="L1008" s="17">
        <f>IFERROR(__xludf.DUMMYFUNCTION("AVERAGE(QUERY(SORT(GOOGLEFINANCE(B1008,""price"",TODAY()-365,TODAY()),1,0),""select Col2 limit 90""))"),170.20088888888893)</f>
        <v>170.2008889</v>
      </c>
      <c r="M1008" s="17">
        <f>IFERROR(__xludf.DUMMYFUNCTION("AVERAGE(QUERY(SORT(GOOGLEFINANCE(B1008,""price"",TODAY()-365,TODAY()),1,0),""select Col2 limit 120""))"),173.50883333333334)</f>
        <v>173.5088333</v>
      </c>
      <c r="N1008" s="19">
        <f>IFERROR(__xludf.DUMMYFUNCTION("AVERAGE(QUERY(SORT(GOOGLEFINANCE(B1008,""price"",TODAY()-365,TODAY()),1,0),""select Col2 limit 200""))"),218.1638000000001)</f>
        <v>218.1638</v>
      </c>
      <c r="O1008" s="20" t="str">
        <f t="shared" si="2"/>
        <v>Avoid</v>
      </c>
      <c r="P1008" s="21" t="str">
        <f t="shared" si="3"/>
        <v/>
      </c>
      <c r="Q1008" s="21" t="str">
        <f t="shared" si="4"/>
        <v/>
      </c>
      <c r="R1008" s="22">
        <f>IFERROR(__xludf.DUMMYFUNCTION("GOOGLEFINANCE(B1008, ""pe"")
"),34.49)</f>
        <v>34.49</v>
      </c>
    </row>
    <row r="1009">
      <c r="A1009" s="9" t="s">
        <v>1019</v>
      </c>
      <c r="B1009" s="11" t="str">
        <f t="shared" si="1"/>
        <v>NSE:SERVOTECH</v>
      </c>
      <c r="C1009" s="12">
        <f>IFERROR(__xludf.DUMMYFUNCTION("GOOGLEFINANCE(B1009,""marketcap"")/10000000"),3099.5010212)</f>
        <v>3099.501021</v>
      </c>
      <c r="D1009" s="13">
        <f>IFERROR(__xludf.DUMMYFUNCTION("GOOGLEFINANCE(B1009,""price"")"),137.0)</f>
        <v>137</v>
      </c>
      <c r="E1009" s="14">
        <f>IFERROR(__xludf.DUMMYFUNCTION("GOOGLEFINANCE(B1009,""Volume"")"),264643.0)</f>
        <v>264643</v>
      </c>
      <c r="F1009" s="14">
        <f t="array" ref="F1009">F1008</f>
        <v>14</v>
      </c>
      <c r="G1009" s="15" t="str">
        <f>IFERROR(__xludf.DUMMYFUNCTION("IF(E1009&gt;AVERAGE(INDEX(GOOGLEFINANCE(B1009,""volume"",WORKDAY(TODAY(),-$F$1),TODAY()),,2)),""Breakout"","""")"),"")</f>
        <v/>
      </c>
      <c r="H1009" s="16">
        <f>IFERROR(__xludf.DUMMYFUNCTION("GOOGLEFINANCE(B1009,""price"")"),137.0)</f>
        <v>137</v>
      </c>
      <c r="I1009" s="17">
        <f>IFERROR(__xludf.DUMMYFUNCTION("AVERAGE(QUERY(SORT(GOOGLEFINANCE(B1009,""price"",TODAY()-365,TODAY()),1,0),""select Col2 limit 10""))"),142.125)</f>
        <v>142.125</v>
      </c>
      <c r="J1009" s="17">
        <f>IFERROR(__xludf.DUMMYFUNCTION("AVERAGE(QUERY(SORT(GOOGLEFINANCE(B1009,""price"",TODAY()-365,TODAY()),1,0),""select Col2 limit 30""))"),144.96433333333334)</f>
        <v>144.9643333</v>
      </c>
      <c r="K1009" s="18">
        <f>IFERROR(__xludf.DUMMYFUNCTION("AVERAGE(QUERY(SORT(GOOGLEFINANCE(B1009,""price"",TODAY()-365,TODAY()),1,0),""select Col2 limit 60""))"),136.82383333333334)</f>
        <v>136.8238333</v>
      </c>
      <c r="L1009" s="17">
        <f>IFERROR(__xludf.DUMMYFUNCTION("AVERAGE(QUERY(SORT(GOOGLEFINANCE(B1009,""price"",TODAY()-365,TODAY()),1,0),""select Col2 limit 90""))"),132.7406666666667)</f>
        <v>132.7406667</v>
      </c>
      <c r="M1009" s="17">
        <f>IFERROR(__xludf.DUMMYFUNCTION("AVERAGE(QUERY(SORT(GOOGLEFINANCE(B1009,""price"",TODAY()-365,TODAY()),1,0),""select Col2 limit 120""))"),131.9971666666667)</f>
        <v>131.9971667</v>
      </c>
      <c r="N1009" s="19">
        <f>IFERROR(__xludf.DUMMYFUNCTION("AVERAGE(QUERY(SORT(GOOGLEFINANCE(B1009,""price"",TODAY()-365,TODAY()),1,0),""select Col2 limit 200""))"),148.78615)</f>
        <v>148.78615</v>
      </c>
      <c r="O1009" s="20" t="str">
        <f t="shared" si="2"/>
        <v>Avoid</v>
      </c>
      <c r="P1009" s="21" t="str">
        <f t="shared" si="3"/>
        <v/>
      </c>
      <c r="Q1009" s="21" t="str">
        <f t="shared" si="4"/>
        <v/>
      </c>
      <c r="R1009" s="22">
        <f>IFERROR(__xludf.DUMMYFUNCTION("GOOGLEFINANCE(B1009, ""pe"")
"),94.83)</f>
        <v>94.83</v>
      </c>
    </row>
    <row r="1010">
      <c r="A1010" s="9" t="s">
        <v>1020</v>
      </c>
      <c r="B1010" s="11" t="str">
        <f t="shared" si="1"/>
        <v>NSE:KALAMANDIR</v>
      </c>
      <c r="C1010" s="12">
        <f>IFERROR(__xludf.DUMMYFUNCTION("GOOGLEFINANCE(B1010,""marketcap"")/10000000"),2768.9992938)</f>
        <v>2768.999294</v>
      </c>
      <c r="D1010" s="13">
        <f>IFERROR(__xludf.DUMMYFUNCTION("GOOGLEFINANCE(B1010,""price"")"),187.95)</f>
        <v>187.95</v>
      </c>
      <c r="E1010" s="14">
        <f>IFERROR(__xludf.DUMMYFUNCTION("GOOGLEFINANCE(B1010,""Volume"")"),4473929.0)</f>
        <v>4473929</v>
      </c>
      <c r="F1010" s="14">
        <f t="array" ref="F1010">F1009</f>
        <v>14</v>
      </c>
      <c r="G1010" s="15" t="str">
        <f>IFERROR(__xludf.DUMMYFUNCTION("IF(E1010&gt;AVERAGE(INDEX(GOOGLEFINANCE(B1010,""volume"",WORKDAY(TODAY(),-$F$1),TODAY()),,2)),""Breakout"","""")"),"Breakout")</f>
        <v>Breakout</v>
      </c>
      <c r="H1010" s="16">
        <f>IFERROR(__xludf.DUMMYFUNCTION("GOOGLEFINANCE(B1010,""price"")"),187.95)</f>
        <v>187.95</v>
      </c>
      <c r="I1010" s="17">
        <f>IFERROR(__xludf.DUMMYFUNCTION("AVERAGE(QUERY(SORT(GOOGLEFINANCE(B1010,""price"",TODAY()-365,TODAY()),1,0),""select Col2 limit 10""))"),167.48499999999999)</f>
        <v>167.485</v>
      </c>
      <c r="J1010" s="17">
        <f>IFERROR(__xludf.DUMMYFUNCTION("AVERAGE(QUERY(SORT(GOOGLEFINANCE(B1010,""price"",TODAY()-365,TODAY()),1,0),""select Col2 limit 30""))"),154.13833333333332)</f>
        <v>154.1383333</v>
      </c>
      <c r="K1010" s="18">
        <f>IFERROR(__xludf.DUMMYFUNCTION("AVERAGE(QUERY(SORT(GOOGLEFINANCE(B1010,""price"",TODAY()-365,TODAY()),1,0),""select Col2 limit 60""))"),139.76466666666667)</f>
        <v>139.7646667</v>
      </c>
      <c r="L1010" s="17">
        <f>IFERROR(__xludf.DUMMYFUNCTION("AVERAGE(QUERY(SORT(GOOGLEFINANCE(B1010,""price"",TODAY()-365,TODAY()),1,0),""select Col2 limit 90""))"),136.6038888888889)</f>
        <v>136.6038889</v>
      </c>
      <c r="M1010" s="17">
        <f>IFERROR(__xludf.DUMMYFUNCTION("AVERAGE(QUERY(SORT(GOOGLEFINANCE(B1010,""price"",TODAY()-365,TODAY()),1,0),""select Col2 limit 120""))"),141.2131666666667)</f>
        <v>141.2131667</v>
      </c>
      <c r="N1010" s="19">
        <f>IFERROR(__xludf.DUMMYFUNCTION("AVERAGE(QUERY(SORT(GOOGLEFINANCE(B1010,""price"",TODAY()-365,TODAY()),1,0),""select Col2 limit 200""))"),152.68130000000002)</f>
        <v>152.6813</v>
      </c>
      <c r="O1010" s="20" t="str">
        <f t="shared" si="2"/>
        <v>Avoid</v>
      </c>
      <c r="P1010" s="21" t="str">
        <f t="shared" si="3"/>
        <v/>
      </c>
      <c r="Q1010" s="21" t="str">
        <f t="shared" si="4"/>
        <v/>
      </c>
      <c r="R1010" s="22">
        <f>IFERROR(__xludf.DUMMYFUNCTION("GOOGLEFINANCE(B1010, ""pe"")
"),32.36)</f>
        <v>32.36</v>
      </c>
    </row>
    <row r="1011">
      <c r="A1011" s="9" t="s">
        <v>1021</v>
      </c>
      <c r="B1011" s="11" t="str">
        <f t="shared" si="1"/>
        <v>NSE:GENESYS</v>
      </c>
      <c r="C1011" s="12">
        <f>IFERROR(__xludf.DUMMYFUNCTION("GOOGLEFINANCE(B1011,""marketcap"")/10000000"),2487.9002085)</f>
        <v>2487.900209</v>
      </c>
      <c r="D1011" s="13">
        <f>IFERROR(__xludf.DUMMYFUNCTION("GOOGLEFINANCE(B1011,""price"")"),597.35)</f>
        <v>597.35</v>
      </c>
      <c r="E1011" s="14">
        <f>IFERROR(__xludf.DUMMYFUNCTION("GOOGLEFINANCE(B1011,""Volume"")"),91387.0)</f>
        <v>91387</v>
      </c>
      <c r="F1011" s="14">
        <f t="array" ref="F1011">F1010</f>
        <v>14</v>
      </c>
      <c r="G1011" s="15" t="str">
        <f>IFERROR(__xludf.DUMMYFUNCTION("IF(E1011&gt;AVERAGE(INDEX(GOOGLEFINANCE(B1011,""volume"",WORKDAY(TODAY(),-$F$1),TODAY()),,2)),""Breakout"","""")"),"")</f>
        <v/>
      </c>
      <c r="H1011" s="16">
        <f>IFERROR(__xludf.DUMMYFUNCTION("GOOGLEFINANCE(B1011,""price"")"),597.35)</f>
        <v>597.35</v>
      </c>
      <c r="I1011" s="17">
        <f>IFERROR(__xludf.DUMMYFUNCTION("AVERAGE(QUERY(SORT(GOOGLEFINANCE(B1011,""price"",TODAY()-365,TODAY()),1,0),""select Col2 limit 10""))"),630.915)</f>
        <v>630.915</v>
      </c>
      <c r="J1011" s="17">
        <f>IFERROR(__xludf.DUMMYFUNCTION("AVERAGE(QUERY(SORT(GOOGLEFINANCE(B1011,""price"",TODAY()-365,TODAY()),1,0),""select Col2 limit 30""))"),638.6833333333332)</f>
        <v>638.6833333</v>
      </c>
      <c r="K1011" s="18">
        <f>IFERROR(__xludf.DUMMYFUNCTION("AVERAGE(QUERY(SORT(GOOGLEFINANCE(B1011,""price"",TODAY()-365,TODAY()),1,0),""select Col2 limit 60""))"),670.2658333333334)</f>
        <v>670.2658333</v>
      </c>
      <c r="L1011" s="17">
        <f>IFERROR(__xludf.DUMMYFUNCTION("AVERAGE(QUERY(SORT(GOOGLEFINANCE(B1011,""price"",TODAY()-365,TODAY()),1,0),""select Col2 limit 90""))"),674.6422222222225)</f>
        <v>674.6422222</v>
      </c>
      <c r="M1011" s="17">
        <f>IFERROR(__xludf.DUMMYFUNCTION("AVERAGE(QUERY(SORT(GOOGLEFINANCE(B1011,""price"",TODAY()-365,TODAY()),1,0),""select Col2 limit 120""))"),696.0466666666671)</f>
        <v>696.0466667</v>
      </c>
      <c r="N1011" s="19">
        <f>IFERROR(__xludf.DUMMYFUNCTION("AVERAGE(QUERY(SORT(GOOGLEFINANCE(B1011,""price"",TODAY()-365,TODAY()),1,0),""select Col2 limit 200""))"),762.8939999999999)</f>
        <v>762.894</v>
      </c>
      <c r="O1011" s="20" t="str">
        <f t="shared" si="2"/>
        <v>Avoid</v>
      </c>
      <c r="P1011" s="21" t="str">
        <f t="shared" si="3"/>
        <v/>
      </c>
      <c r="Q1011" s="21" t="str">
        <f t="shared" si="4"/>
        <v/>
      </c>
      <c r="R1011" s="22">
        <f>IFERROR(__xludf.DUMMYFUNCTION("GOOGLEFINANCE(B1011, ""pe"")
"),42.56)</f>
        <v>42.56</v>
      </c>
    </row>
    <row r="1012">
      <c r="A1012" s="9" t="s">
        <v>1022</v>
      </c>
      <c r="B1012" s="11" t="str">
        <f t="shared" si="1"/>
        <v>NSE:DEEDEV</v>
      </c>
      <c r="C1012" s="12">
        <f>IFERROR(__xludf.DUMMYFUNCTION("GOOGLEFINANCE(B1012,""marketcap"")/10000000"),2032.374078)</f>
        <v>2032.374078</v>
      </c>
      <c r="D1012" s="13">
        <f>IFERROR(__xludf.DUMMYFUNCTION("GOOGLEFINANCE(B1012,""price"")"),294.7)</f>
        <v>294.7</v>
      </c>
      <c r="E1012" s="14">
        <f>IFERROR(__xludf.DUMMYFUNCTION("GOOGLEFINANCE(B1012,""Volume"")"),23922.0)</f>
        <v>23922</v>
      </c>
      <c r="F1012" s="14">
        <f t="array" ref="F1012">F1011</f>
        <v>14</v>
      </c>
      <c r="G1012" s="15" t="str">
        <f>IFERROR(__xludf.DUMMYFUNCTION("IF(E1012&gt;AVERAGE(INDEX(GOOGLEFINANCE(B1012,""volume"",WORKDAY(TODAY(),-$F$1),TODAY()),,2)),""Breakout"","""")"),"")</f>
        <v/>
      </c>
      <c r="H1012" s="16">
        <f>IFERROR(__xludf.DUMMYFUNCTION("GOOGLEFINANCE(B1012,""price"")"),294.7)</f>
        <v>294.7</v>
      </c>
      <c r="I1012" s="17">
        <f>IFERROR(__xludf.DUMMYFUNCTION("AVERAGE(QUERY(SORT(GOOGLEFINANCE(B1012,""price"",TODAY()-365,TODAY()),1,0),""select Col2 limit 10""))"),301.585)</f>
        <v>301.585</v>
      </c>
      <c r="J1012" s="17">
        <f>IFERROR(__xludf.DUMMYFUNCTION("AVERAGE(QUERY(SORT(GOOGLEFINANCE(B1012,""price"",TODAY()-365,TODAY()),1,0),""select Col2 limit 30""))"),305.3866666666667)</f>
        <v>305.3866667</v>
      </c>
      <c r="K1012" s="18">
        <f>IFERROR(__xludf.DUMMYFUNCTION("AVERAGE(QUERY(SORT(GOOGLEFINANCE(B1012,""price"",TODAY()-365,TODAY()),1,0),""select Col2 limit 60""))"),281.8351666666667)</f>
        <v>281.8351667</v>
      </c>
      <c r="L1012" s="17">
        <f>IFERROR(__xludf.DUMMYFUNCTION("AVERAGE(QUERY(SORT(GOOGLEFINANCE(B1012,""price"",TODAY()-365,TODAY()),1,0),""select Col2 limit 90""))"),267.8381111111112)</f>
        <v>267.8381111</v>
      </c>
      <c r="M1012" s="17">
        <f>IFERROR(__xludf.DUMMYFUNCTION("AVERAGE(QUERY(SORT(GOOGLEFINANCE(B1012,""price"",TODAY()-365,TODAY()),1,0),""select Col2 limit 120""))"),258.7044166666667)</f>
        <v>258.7044167</v>
      </c>
      <c r="N1012" s="19">
        <f>IFERROR(__xludf.DUMMYFUNCTION("AVERAGE(QUERY(SORT(GOOGLEFINANCE(B1012,""price"",TODAY()-365,TODAY()),1,0),""select Col2 limit 200""))"),271.3979)</f>
        <v>271.3979</v>
      </c>
      <c r="O1012" s="20" t="str">
        <f t="shared" si="2"/>
        <v>Avoid</v>
      </c>
      <c r="P1012" s="21" t="str">
        <f t="shared" si="3"/>
        <v/>
      </c>
      <c r="Q1012" s="21" t="str">
        <f t="shared" si="4"/>
        <v/>
      </c>
      <c r="R1012" s="22">
        <f>IFERROR(__xludf.DUMMYFUNCTION("GOOGLEFINANCE(B1012, ""pe"")
"),44.08)</f>
        <v>44.08</v>
      </c>
    </row>
    <row r="1013">
      <c r="A1013" s="9" t="s">
        <v>1023</v>
      </c>
      <c r="B1013" s="11" t="str">
        <f t="shared" si="1"/>
        <v>NSE:FILATEX</v>
      </c>
      <c r="C1013" s="12">
        <f>IFERROR(__xludf.DUMMYFUNCTION("GOOGLEFINANCE(B1013,""marketcap"")/10000000"),2570.3671937)</f>
        <v>2570.367194</v>
      </c>
      <c r="D1013" s="13">
        <f>IFERROR(__xludf.DUMMYFUNCTION("GOOGLEFINANCE(B1013,""price"")"),58.12)</f>
        <v>58.12</v>
      </c>
      <c r="E1013" s="14">
        <f>IFERROR(__xludf.DUMMYFUNCTION("GOOGLEFINANCE(B1013,""Volume"")"),1892347.0)</f>
        <v>1892347</v>
      </c>
      <c r="F1013" s="14">
        <f t="array" ref="F1013">F1012</f>
        <v>14</v>
      </c>
      <c r="G1013" s="15" t="str">
        <f>IFERROR(__xludf.DUMMYFUNCTION("IF(E1013&gt;AVERAGE(INDEX(GOOGLEFINANCE(B1013,""volume"",WORKDAY(TODAY(),-$F$1),TODAY()),,2)),""Breakout"","""")"),"")</f>
        <v/>
      </c>
      <c r="H1013" s="16">
        <f>IFERROR(__xludf.DUMMYFUNCTION("GOOGLEFINANCE(B1013,""price"")"),58.12)</f>
        <v>58.12</v>
      </c>
      <c r="I1013" s="17">
        <f>IFERROR(__xludf.DUMMYFUNCTION("AVERAGE(QUERY(SORT(GOOGLEFINANCE(B1013,""price"",TODAY()-365,TODAY()),1,0),""select Col2 limit 10""))"),58.71900000000001)</f>
        <v>58.719</v>
      </c>
      <c r="J1013" s="17">
        <f>IFERROR(__xludf.DUMMYFUNCTION("AVERAGE(QUERY(SORT(GOOGLEFINANCE(B1013,""price"",TODAY()-365,TODAY()),1,0),""select Col2 limit 30""))"),57.393333333333345)</f>
        <v>57.39333333</v>
      </c>
      <c r="K1013" s="18">
        <f>IFERROR(__xludf.DUMMYFUNCTION("AVERAGE(QUERY(SORT(GOOGLEFINANCE(B1013,""price"",TODAY()-365,TODAY()),1,0),""select Col2 limit 60""))"),54.12850000000002)</f>
        <v>54.1285</v>
      </c>
      <c r="L1013" s="17">
        <f>IFERROR(__xludf.DUMMYFUNCTION("AVERAGE(QUERY(SORT(GOOGLEFINANCE(B1013,""price"",TODAY()-365,TODAY()),1,0),""select Col2 limit 90""))"),49.46277777777778)</f>
        <v>49.46277778</v>
      </c>
      <c r="M1013" s="17">
        <f>IFERROR(__xludf.DUMMYFUNCTION("AVERAGE(QUERY(SORT(GOOGLEFINANCE(B1013,""price"",TODAY()-365,TODAY()),1,0),""select Col2 limit 120""))"),47.92775000000001)</f>
        <v>47.92775</v>
      </c>
      <c r="N1013" s="19">
        <f>IFERROR(__xludf.DUMMYFUNCTION("AVERAGE(QUERY(SORT(GOOGLEFINANCE(B1013,""price"",TODAY()-365,TODAY()),1,0),""select Col2 limit 200""))"),52.80940000000003)</f>
        <v>52.8094</v>
      </c>
      <c r="O1013" s="20" t="str">
        <f t="shared" si="2"/>
        <v>Avoid</v>
      </c>
      <c r="P1013" s="21" t="str">
        <f t="shared" si="3"/>
        <v/>
      </c>
      <c r="Q1013" s="21" t="str">
        <f t="shared" si="4"/>
        <v/>
      </c>
      <c r="R1013" s="22">
        <f>IFERROR(__xludf.DUMMYFUNCTION("GOOGLEFINANCE(B1013, ""pe"")
"),18.09)</f>
        <v>18.09</v>
      </c>
    </row>
    <row r="1014">
      <c r="A1014" s="9" t="s">
        <v>1024</v>
      </c>
      <c r="B1014" s="11" t="str">
        <f t="shared" si="1"/>
        <v>NSE:GOKULAGRO</v>
      </c>
      <c r="C1014" s="12">
        <f>IFERROR(__xludf.DUMMYFUNCTION("GOOGLEFINANCE(B1014,""marketcap"")/10000000"),4532.5303561)</f>
        <v>4532.530356</v>
      </c>
      <c r="D1014" s="13">
        <f>IFERROR(__xludf.DUMMYFUNCTION("GOOGLEFINANCE(B1014,""price"")"),305.05)</f>
        <v>305.05</v>
      </c>
      <c r="E1014" s="14">
        <f>IFERROR(__xludf.DUMMYFUNCTION("GOOGLEFINANCE(B1014,""Volume"")"),86660.0)</f>
        <v>86660</v>
      </c>
      <c r="F1014" s="14">
        <f t="array" ref="F1014">F1013</f>
        <v>14</v>
      </c>
      <c r="G1014" s="15" t="str">
        <f>IFERROR(__xludf.DUMMYFUNCTION("IF(E1014&gt;AVERAGE(INDEX(GOOGLEFINANCE(B1014,""volume"",WORKDAY(TODAY(),-$F$1),TODAY()),,2)),""Breakout"","""")"),"")</f>
        <v/>
      </c>
      <c r="H1014" s="16">
        <f>IFERROR(__xludf.DUMMYFUNCTION("GOOGLEFINANCE(B1014,""price"")"),305.05)</f>
        <v>305.05</v>
      </c>
      <c r="I1014" s="17">
        <f>IFERROR(__xludf.DUMMYFUNCTION("AVERAGE(QUERY(SORT(GOOGLEFINANCE(B1014,""price"",TODAY()-365,TODAY()),1,0),""select Col2 limit 10""))"),318.735)</f>
        <v>318.735</v>
      </c>
      <c r="J1014" s="17">
        <f>IFERROR(__xludf.DUMMYFUNCTION("AVERAGE(QUERY(SORT(GOOGLEFINANCE(B1014,""price"",TODAY()-365,TODAY()),1,0),""select Col2 limit 30""))"),307.00833333333327)</f>
        <v>307.0083333</v>
      </c>
      <c r="K1014" s="18">
        <f>IFERROR(__xludf.DUMMYFUNCTION("AVERAGE(QUERY(SORT(GOOGLEFINANCE(B1014,""price"",TODAY()-365,TODAY()),1,0),""select Col2 limit 60""))"),280.34499999999997)</f>
        <v>280.345</v>
      </c>
      <c r="L1014" s="17">
        <f>IFERROR(__xludf.DUMMYFUNCTION("AVERAGE(QUERY(SORT(GOOGLEFINANCE(B1014,""price"",TODAY()-365,TODAY()),1,0),""select Col2 limit 90""))"),267.2439999999999)</f>
        <v>267.244</v>
      </c>
      <c r="M1014" s="17">
        <f>IFERROR(__xludf.DUMMYFUNCTION("AVERAGE(QUERY(SORT(GOOGLEFINANCE(B1014,""price"",TODAY()-365,TODAY()),1,0),""select Col2 limit 120""))"),268.5929999999999)</f>
        <v>268.593</v>
      </c>
      <c r="N1014" s="19">
        <f>IFERROR(__xludf.DUMMYFUNCTION("AVERAGE(QUERY(SORT(GOOGLEFINANCE(B1014,""price"",TODAY()-365,TODAY()),1,0),""select Col2 limit 200""))"),286.89604999999995)</f>
        <v>286.89605</v>
      </c>
      <c r="O1014" s="20" t="str">
        <f t="shared" si="2"/>
        <v>Avoid</v>
      </c>
      <c r="P1014" s="21" t="str">
        <f t="shared" si="3"/>
        <v>30 DMA</v>
      </c>
      <c r="Q1014" s="21" t="str">
        <f t="shared" si="4"/>
        <v/>
      </c>
      <c r="R1014" s="22">
        <f>IFERROR(__xludf.DUMMYFUNCTION("GOOGLEFINANCE(B1014, ""pe"")
"),18.46)</f>
        <v>18.46</v>
      </c>
    </row>
    <row r="1015">
      <c r="A1015" s="9" t="s">
        <v>1025</v>
      </c>
      <c r="B1015" s="11" t="str">
        <f t="shared" si="1"/>
        <v>NSE:UGROCAP</v>
      </c>
      <c r="C1015" s="12">
        <f>IFERROR(__xludf.DUMMYFUNCTION("GOOGLEFINANCE(B1015,""marketcap"")/10000000"),1967.3748892)</f>
        <v>1967.374889</v>
      </c>
      <c r="D1015" s="13">
        <f>IFERROR(__xludf.DUMMYFUNCTION("GOOGLEFINANCE(B1015,""price"")"),173.07)</f>
        <v>173.07</v>
      </c>
      <c r="E1015" s="14">
        <f>IFERROR(__xludf.DUMMYFUNCTION("GOOGLEFINANCE(B1015,""Volume"")"),452751.0)</f>
        <v>452751</v>
      </c>
      <c r="F1015" s="14">
        <f t="array" ref="F1015">F1014</f>
        <v>14</v>
      </c>
      <c r="G1015" s="15" t="str">
        <f>IFERROR(__xludf.DUMMYFUNCTION("IF(E1015&gt;AVERAGE(INDEX(GOOGLEFINANCE(B1015,""volume"",WORKDAY(TODAY(),-$F$1),TODAY()),,2)),""Breakout"","""")"),"Breakout")</f>
        <v>Breakout</v>
      </c>
      <c r="H1015" s="16">
        <f>IFERROR(__xludf.DUMMYFUNCTION("GOOGLEFINANCE(B1015,""price"")"),173.07)</f>
        <v>173.07</v>
      </c>
      <c r="I1015" s="17">
        <f>IFERROR(__xludf.DUMMYFUNCTION("AVERAGE(QUERY(SORT(GOOGLEFINANCE(B1015,""price"",TODAY()-365,TODAY()),1,0),""select Col2 limit 10""))"),176.12)</f>
        <v>176.12</v>
      </c>
      <c r="J1015" s="17">
        <f>IFERROR(__xludf.DUMMYFUNCTION("AVERAGE(QUERY(SORT(GOOGLEFINANCE(B1015,""price"",TODAY()-365,TODAY()),1,0),""select Col2 limit 30""))"),176.32266666666666)</f>
        <v>176.3226667</v>
      </c>
      <c r="K1015" s="18">
        <f>IFERROR(__xludf.DUMMYFUNCTION("AVERAGE(QUERY(SORT(GOOGLEFINANCE(B1015,""price"",TODAY()-365,TODAY()),1,0),""select Col2 limit 60""))"),176.07033333333328)</f>
        <v>176.0703333</v>
      </c>
      <c r="L1015" s="17">
        <f>IFERROR(__xludf.DUMMYFUNCTION("AVERAGE(QUERY(SORT(GOOGLEFINANCE(B1015,""price"",TODAY()-365,TODAY()),1,0),""select Col2 limit 90""))"),175.15899999999996)</f>
        <v>175.159</v>
      </c>
      <c r="M1015" s="17">
        <f>IFERROR(__xludf.DUMMYFUNCTION("AVERAGE(QUERY(SORT(GOOGLEFINANCE(B1015,""price"",TODAY()-365,TODAY()),1,0),""select Col2 limit 120""))"),173.37091666666666)</f>
        <v>173.3709167</v>
      </c>
      <c r="N1015" s="19">
        <f>IFERROR(__xludf.DUMMYFUNCTION("AVERAGE(QUERY(SORT(GOOGLEFINANCE(B1015,""price"",TODAY()-365,TODAY()),1,0),""select Col2 limit 200""))"),196.57075)</f>
        <v>196.57075</v>
      </c>
      <c r="O1015" s="20" t="str">
        <f t="shared" si="2"/>
        <v>Avoid</v>
      </c>
      <c r="P1015" s="21" t="str">
        <f t="shared" si="3"/>
        <v>120 DMA</v>
      </c>
      <c r="Q1015" s="21" t="str">
        <f t="shared" si="4"/>
        <v/>
      </c>
      <c r="R1015" s="22">
        <f>IFERROR(__xludf.DUMMYFUNCTION("GOOGLEFINANCE(B1015, ""pe"")
"),12.35)</f>
        <v>12.35</v>
      </c>
    </row>
    <row r="1016">
      <c r="A1016" s="9" t="s">
        <v>1026</v>
      </c>
      <c r="B1016" s="11" t="str">
        <f t="shared" si="1"/>
        <v>NSE:BFINVEST</v>
      </c>
      <c r="C1016" s="12">
        <f>IFERROR(__xludf.DUMMYFUNCTION("GOOGLEFINANCE(B1016,""marketcap"")/10000000"),1808.04624)</f>
        <v>1808.04624</v>
      </c>
      <c r="D1016" s="13">
        <f>IFERROR(__xludf.DUMMYFUNCTION("GOOGLEFINANCE(B1016,""price"")"),480.4)</f>
        <v>480.4</v>
      </c>
      <c r="E1016" s="14">
        <f>IFERROR(__xludf.DUMMYFUNCTION("GOOGLEFINANCE(B1016,""Volume"")"),7842.0)</f>
        <v>7842</v>
      </c>
      <c r="F1016" s="14">
        <f t="array" ref="F1016">F1015</f>
        <v>14</v>
      </c>
      <c r="G1016" s="15" t="str">
        <f>IFERROR(__xludf.DUMMYFUNCTION("IF(E1016&gt;AVERAGE(INDEX(GOOGLEFINANCE(B1016,""volume"",WORKDAY(TODAY(),-$F$1),TODAY()),,2)),""Breakout"","""")"),"")</f>
        <v/>
      </c>
      <c r="H1016" s="16">
        <f>IFERROR(__xludf.DUMMYFUNCTION("GOOGLEFINANCE(B1016,""price"")"),480.4)</f>
        <v>480.4</v>
      </c>
      <c r="I1016" s="17">
        <f>IFERROR(__xludf.DUMMYFUNCTION("AVERAGE(QUERY(SORT(GOOGLEFINANCE(B1016,""price"",TODAY()-365,TODAY()),1,0),""select Col2 limit 10""))"),492.075)</f>
        <v>492.075</v>
      </c>
      <c r="J1016" s="17">
        <f>IFERROR(__xludf.DUMMYFUNCTION("AVERAGE(QUERY(SORT(GOOGLEFINANCE(B1016,""price"",TODAY()-365,TODAY()),1,0),""select Col2 limit 30""))"),491.20000000000005)</f>
        <v>491.2</v>
      </c>
      <c r="K1016" s="18">
        <f>IFERROR(__xludf.DUMMYFUNCTION("AVERAGE(QUERY(SORT(GOOGLEFINANCE(B1016,""price"",TODAY()-365,TODAY()),1,0),""select Col2 limit 60""))"),500.28833333333324)</f>
        <v>500.2883333</v>
      </c>
      <c r="L1016" s="17">
        <f>IFERROR(__xludf.DUMMYFUNCTION("AVERAGE(QUERY(SORT(GOOGLEFINANCE(B1016,""price"",TODAY()-365,TODAY()),1,0),""select Col2 limit 90""))"),498.14888888888896)</f>
        <v>498.1488889</v>
      </c>
      <c r="M1016" s="17">
        <f>IFERROR(__xludf.DUMMYFUNCTION("AVERAGE(QUERY(SORT(GOOGLEFINANCE(B1016,""price"",TODAY()-365,TODAY()),1,0),""select Col2 limit 120""))"),494.5016666666669)</f>
        <v>494.5016667</v>
      </c>
      <c r="N1016" s="19">
        <f>IFERROR(__xludf.DUMMYFUNCTION("AVERAGE(QUERY(SORT(GOOGLEFINANCE(B1016,""price"",TODAY()-365,TODAY()),1,0),""select Col2 limit 200""))"),566.6280000000003)</f>
        <v>566.628</v>
      </c>
      <c r="O1016" s="20" t="str">
        <f t="shared" si="2"/>
        <v>Avoid</v>
      </c>
      <c r="P1016" s="21" t="str">
        <f t="shared" si="3"/>
        <v/>
      </c>
      <c r="Q1016" s="21" t="str">
        <f t="shared" si="4"/>
        <v/>
      </c>
      <c r="R1016" s="22">
        <f>IFERROR(__xludf.DUMMYFUNCTION("GOOGLEFINANCE(B1016, ""pe"")
"),8.13)</f>
        <v>8.13</v>
      </c>
    </row>
    <row r="1017">
      <c r="A1017" s="9" t="s">
        <v>1027</v>
      </c>
      <c r="B1017" s="11" t="str">
        <f t="shared" si="1"/>
        <v>NSE:FINOPB</v>
      </c>
      <c r="C1017" s="12">
        <f>IFERROR(__xludf.DUMMYFUNCTION("GOOGLEFINANCE(B1017,""marketcap"")/10000000"),2256.0416041)</f>
        <v>2256.041604</v>
      </c>
      <c r="D1017" s="13">
        <f>IFERROR(__xludf.DUMMYFUNCTION("GOOGLEFINANCE(B1017,""price"")"),270.75)</f>
        <v>270.75</v>
      </c>
      <c r="E1017" s="14">
        <f>IFERROR(__xludf.DUMMYFUNCTION("GOOGLEFINANCE(B1017,""Volume"")"),90694.0)</f>
        <v>90694</v>
      </c>
      <c r="F1017" s="14">
        <f t="array" ref="F1017">F1016</f>
        <v>14</v>
      </c>
      <c r="G1017" s="15" t="str">
        <f>IFERROR(__xludf.DUMMYFUNCTION("IF(E1017&gt;AVERAGE(INDEX(GOOGLEFINANCE(B1017,""volume"",WORKDAY(TODAY(),-$F$1),TODAY()),,2)),""Breakout"","""")"),"")</f>
        <v/>
      </c>
      <c r="H1017" s="16">
        <f>IFERROR(__xludf.DUMMYFUNCTION("GOOGLEFINANCE(B1017,""price"")"),270.75)</f>
        <v>270.75</v>
      </c>
      <c r="I1017" s="17">
        <f>IFERROR(__xludf.DUMMYFUNCTION("AVERAGE(QUERY(SORT(GOOGLEFINANCE(B1017,""price"",TODAY()-365,TODAY()),1,0),""select Col2 limit 10""))"),280.28)</f>
        <v>280.28</v>
      </c>
      <c r="J1017" s="17">
        <f>IFERROR(__xludf.DUMMYFUNCTION("AVERAGE(QUERY(SORT(GOOGLEFINANCE(B1017,""price"",TODAY()-365,TODAY()),1,0),""select Col2 limit 30""))"),284.7970000000001)</f>
        <v>284.797</v>
      </c>
      <c r="K1017" s="18">
        <f>IFERROR(__xludf.DUMMYFUNCTION("AVERAGE(QUERY(SORT(GOOGLEFINANCE(B1017,""price"",TODAY()-365,TODAY()),1,0),""select Col2 limit 60""))"),266.81083333333333)</f>
        <v>266.8108333</v>
      </c>
      <c r="L1017" s="17">
        <f>IFERROR(__xludf.DUMMYFUNCTION("AVERAGE(QUERY(SORT(GOOGLEFINANCE(B1017,""price"",TODAY()-365,TODAY()),1,0),""select Col2 limit 90""))"),256.732111111111)</f>
        <v>256.7321111</v>
      </c>
      <c r="M1017" s="17">
        <f>IFERROR(__xludf.DUMMYFUNCTION("AVERAGE(QUERY(SORT(GOOGLEFINANCE(B1017,""price"",TODAY()-365,TODAY()),1,0),""select Col2 limit 120""))"),253.64399999999995)</f>
        <v>253.644</v>
      </c>
      <c r="N1017" s="19">
        <f>IFERROR(__xludf.DUMMYFUNCTION("AVERAGE(QUERY(SORT(GOOGLEFINANCE(B1017,""price"",TODAY()-365,TODAY()),1,0),""select Col2 limit 200""))"),291.2314)</f>
        <v>291.2314</v>
      </c>
      <c r="O1017" s="20" t="str">
        <f t="shared" si="2"/>
        <v>Avoid</v>
      </c>
      <c r="P1017" s="21" t="str">
        <f t="shared" si="3"/>
        <v/>
      </c>
      <c r="Q1017" s="21" t="str">
        <f t="shared" si="4"/>
        <v/>
      </c>
      <c r="R1017" s="22">
        <f>IFERROR(__xludf.DUMMYFUNCTION("GOOGLEFINANCE(B1017, ""pe"")
"),24.44)</f>
        <v>24.44</v>
      </c>
    </row>
    <row r="1018">
      <c r="A1018" s="9" t="s">
        <v>1028</v>
      </c>
      <c r="B1018" s="11" t="str">
        <f t="shared" si="1"/>
        <v>NSE:IOLCP</v>
      </c>
      <c r="C1018" s="12">
        <f>IFERROR(__xludf.DUMMYFUNCTION("GOOGLEFINANCE(B1018,""marketcap"")/10000000"),2759.45084)</f>
        <v>2759.45084</v>
      </c>
      <c r="D1018" s="13">
        <f>IFERROR(__xludf.DUMMYFUNCTION("GOOGLEFINANCE(B1018,""price"")"),94.06)</f>
        <v>94.06</v>
      </c>
      <c r="E1018" s="14">
        <f>IFERROR(__xludf.DUMMYFUNCTION("GOOGLEFINANCE(B1018,""Volume"")"),619607.0)</f>
        <v>619607</v>
      </c>
      <c r="F1018" s="14">
        <f t="array" ref="F1018">F1017</f>
        <v>14</v>
      </c>
      <c r="G1018" s="15" t="str">
        <f>IFERROR(__xludf.DUMMYFUNCTION("IF(E1018&gt;AVERAGE(INDEX(GOOGLEFINANCE(B1018,""volume"",WORKDAY(TODAY(),-$F$1),TODAY()),,2)),""Breakout"","""")"),"")</f>
        <v/>
      </c>
      <c r="H1018" s="16">
        <f>IFERROR(__xludf.DUMMYFUNCTION("GOOGLEFINANCE(B1018,""price"")"),94.06)</f>
        <v>94.06</v>
      </c>
      <c r="I1018" s="17">
        <f>IFERROR(__xludf.DUMMYFUNCTION("AVERAGE(QUERY(SORT(GOOGLEFINANCE(B1018,""price"",TODAY()-365,TODAY()),1,0),""select Col2 limit 10""))"),94.665)</f>
        <v>94.665</v>
      </c>
      <c r="J1018" s="17">
        <f>IFERROR(__xludf.DUMMYFUNCTION("AVERAGE(QUERY(SORT(GOOGLEFINANCE(B1018,""price"",TODAY()-365,TODAY()),1,0),""select Col2 limit 30""))"),92.74466666666669)</f>
        <v>92.74466667</v>
      </c>
      <c r="K1018" s="18">
        <f>IFERROR(__xludf.DUMMYFUNCTION("AVERAGE(QUERY(SORT(GOOGLEFINANCE(B1018,""price"",TODAY()-365,TODAY()),1,0),""select Col2 limit 60""))"),86.79116666666663)</f>
        <v>86.79116667</v>
      </c>
      <c r="L1018" s="17">
        <f>IFERROR(__xludf.DUMMYFUNCTION("AVERAGE(QUERY(SORT(GOOGLEFINANCE(B1018,""price"",TODAY()-365,TODAY()),1,0),""select Col2 limit 90""))"),79.17299999999994)</f>
        <v>79.173</v>
      </c>
      <c r="M1018" s="17">
        <f>IFERROR(__xludf.DUMMYFUNCTION("AVERAGE(QUERY(SORT(GOOGLEFINANCE(B1018,""price"",TODAY()-365,TODAY()),1,0),""select Col2 limit 120""))"),76.54799999999997)</f>
        <v>76.548</v>
      </c>
      <c r="N1018" s="19">
        <f>IFERROR(__xludf.DUMMYFUNCTION("AVERAGE(QUERY(SORT(GOOGLEFINANCE(B1018,""price"",TODAY()-365,TODAY()),1,0),""select Col2 limit 200""))"),77.83019999999996)</f>
        <v>77.8302</v>
      </c>
      <c r="O1018" s="20" t="str">
        <f t="shared" si="2"/>
        <v>Avoid</v>
      </c>
      <c r="P1018" s="21" t="str">
        <f t="shared" si="3"/>
        <v>10 DMA</v>
      </c>
      <c r="Q1018" s="21" t="str">
        <f t="shared" si="4"/>
        <v/>
      </c>
      <c r="R1018" s="22">
        <f>IFERROR(__xludf.DUMMYFUNCTION("GOOGLEFINANCE(B1018, ""pe"")
"),27.36)</f>
        <v>27.36</v>
      </c>
    </row>
    <row r="1019">
      <c r="A1019" s="9" t="s">
        <v>1029</v>
      </c>
      <c r="B1019" s="11" t="str">
        <f t="shared" si="1"/>
        <v>NSE:VSSL</v>
      </c>
      <c r="C1019" s="12">
        <f>IFERROR(__xludf.DUMMYFUNCTION("GOOGLEFINANCE(B1019,""marketcap"")/10000000"),2448.2914822)</f>
        <v>2448.291482</v>
      </c>
      <c r="D1019" s="13">
        <f>IFERROR(__xludf.DUMMYFUNCTION("GOOGLEFINANCE(B1019,""price"")"),252.95)</f>
        <v>252.95</v>
      </c>
      <c r="E1019" s="14">
        <f>IFERROR(__xludf.DUMMYFUNCTION("GOOGLEFINANCE(B1019,""Volume"")"),84327.0)</f>
        <v>84327</v>
      </c>
      <c r="F1019" s="14">
        <f t="array" ref="F1019">F1018</f>
        <v>14</v>
      </c>
      <c r="G1019" s="15" t="str">
        <f>IFERROR(__xludf.DUMMYFUNCTION("IF(E1019&gt;AVERAGE(INDEX(GOOGLEFINANCE(B1019,""volume"",WORKDAY(TODAY(),-$F$1),TODAY()),,2)),""Breakout"","""")"),"#N/A")</f>
        <v>#N/A</v>
      </c>
      <c r="H1019" s="16">
        <f>IFERROR(__xludf.DUMMYFUNCTION("GOOGLEFINANCE(B1019,""price"")"),252.95)</f>
        <v>252.95</v>
      </c>
      <c r="I1019" s="17">
        <f>IFERROR(__xludf.DUMMYFUNCTION("AVERAGE(QUERY(SORT(GOOGLEFINANCE(B1019,""price"",TODAY()-365,TODAY()),1,0),""select Col2 limit 10""))"),261.61500000000007)</f>
        <v>261.615</v>
      </c>
      <c r="J1019" s="17">
        <f>IFERROR(__xludf.DUMMYFUNCTION("AVERAGE(QUERY(SORT(GOOGLEFINANCE(B1019,""price"",TODAY()-365,TODAY()),1,0),""select Col2 limit 30""))"),258.27000000000004)</f>
        <v>258.27</v>
      </c>
      <c r="K1019" s="18">
        <f>IFERROR(__xludf.DUMMYFUNCTION("AVERAGE(QUERY(SORT(GOOGLEFINANCE(B1019,""price"",TODAY()-365,TODAY()),1,0),""select Col2 limit 60""))"),258.71216666666663)</f>
        <v>258.7121667</v>
      </c>
      <c r="L1019" s="17">
        <f>IFERROR(__xludf.DUMMYFUNCTION("AVERAGE(QUERY(SORT(GOOGLEFINANCE(B1019,""price"",TODAY()-365,TODAY()),1,0),""select Col2 limit 90""))"),243.82799999999997)</f>
        <v>243.828</v>
      </c>
      <c r="M1019" s="17">
        <f>IFERROR(__xludf.DUMMYFUNCTION("AVERAGE(QUERY(SORT(GOOGLEFINANCE(B1019,""price"",TODAY()-365,TODAY()),1,0),""select Col2 limit 120""))"),236.14024999999998)</f>
        <v>236.14025</v>
      </c>
      <c r="N1019" s="19">
        <f>IFERROR(__xludf.DUMMYFUNCTION("AVERAGE(QUERY(SORT(GOOGLEFINANCE(B1019,""price"",TODAY()-365,TODAY()),1,0),""select Col2 limit 200""))"),242.92654999999985)</f>
        <v>242.92655</v>
      </c>
      <c r="O1019" s="20" t="str">
        <f t="shared" si="2"/>
        <v>Avoid</v>
      </c>
      <c r="P1019" s="21" t="str">
        <f t="shared" si="3"/>
        <v/>
      </c>
      <c r="Q1019" s="21" t="str">
        <f t="shared" si="4"/>
        <v/>
      </c>
      <c r="R1019" s="22">
        <f>IFERROR(__xludf.DUMMYFUNCTION("GOOGLEFINANCE(B1019, ""pe"")
"),23.91)</f>
        <v>23.91</v>
      </c>
    </row>
    <row r="1020">
      <c r="A1020" s="9" t="s">
        <v>1030</v>
      </c>
      <c r="B1020" s="11" t="str">
        <f t="shared" si="1"/>
        <v>NSE:RANEHOLDIN</v>
      </c>
      <c r="C1020" s="12">
        <f>IFERROR(__xludf.DUMMYFUNCTION("GOOGLEFINANCE(B1020,""marketcap"")/10000000"),2268.74242)</f>
        <v>2268.74242</v>
      </c>
      <c r="D1020" s="13">
        <f>IFERROR(__xludf.DUMMYFUNCTION("GOOGLEFINANCE(B1020,""price"")"),1591.4)</f>
        <v>1591.4</v>
      </c>
      <c r="E1020" s="14">
        <f>IFERROR(__xludf.DUMMYFUNCTION("GOOGLEFINANCE(B1020,""Volume"")"),23931.0)</f>
        <v>23931</v>
      </c>
      <c r="F1020" s="14">
        <f t="array" ref="F1020">F1019</f>
        <v>14</v>
      </c>
      <c r="G1020" s="15" t="str">
        <f>IFERROR(__xludf.DUMMYFUNCTION("IF(E1020&gt;AVERAGE(INDEX(GOOGLEFINANCE(B1020,""volume"",WORKDAY(TODAY(),-$F$1),TODAY()),,2)),""Breakout"","""")"),"Breakout")</f>
        <v>Breakout</v>
      </c>
      <c r="H1020" s="16">
        <f>IFERROR(__xludf.DUMMYFUNCTION("GOOGLEFINANCE(B1020,""price"")"),1591.4)</f>
        <v>1591.4</v>
      </c>
      <c r="I1020" s="17">
        <f>IFERROR(__xludf.DUMMYFUNCTION("AVERAGE(QUERY(SORT(GOOGLEFINANCE(B1020,""price"",TODAY()-365,TODAY()),1,0),""select Col2 limit 10""))"),1582.9699999999998)</f>
        <v>1582.97</v>
      </c>
      <c r="J1020" s="17">
        <f>IFERROR(__xludf.DUMMYFUNCTION("AVERAGE(QUERY(SORT(GOOGLEFINANCE(B1020,""price"",TODAY()-365,TODAY()),1,0),""select Col2 limit 30""))"),1566.34)</f>
        <v>1566.34</v>
      </c>
      <c r="K1020" s="18">
        <f>IFERROR(__xludf.DUMMYFUNCTION("AVERAGE(QUERY(SORT(GOOGLEFINANCE(B1020,""price"",TODAY()-365,TODAY()),1,0),""select Col2 limit 60""))"),1511.2966666666662)</f>
        <v>1511.296667</v>
      </c>
      <c r="L1020" s="17">
        <f>IFERROR(__xludf.DUMMYFUNCTION("AVERAGE(QUERY(SORT(GOOGLEFINANCE(B1020,""price"",TODAY()-365,TODAY()),1,0),""select Col2 limit 90""))"),1445.5905555555555)</f>
        <v>1445.590556</v>
      </c>
      <c r="M1020" s="17">
        <f>IFERROR(__xludf.DUMMYFUNCTION("AVERAGE(QUERY(SORT(GOOGLEFINANCE(B1020,""price"",TODAY()-365,TODAY()),1,0),""select Col2 limit 120""))"),1418.284166666667)</f>
        <v>1418.284167</v>
      </c>
      <c r="N1020" s="19">
        <f>IFERROR(__xludf.DUMMYFUNCTION("AVERAGE(QUERY(SORT(GOOGLEFINANCE(B1020,""price"",TODAY()-365,TODAY()),1,0),""select Col2 limit 200""))"),1573.0182500000003)</f>
        <v>1573.01825</v>
      </c>
      <c r="O1020" s="20" t="str">
        <f t="shared" si="2"/>
        <v>Avoid</v>
      </c>
      <c r="P1020" s="21" t="str">
        <f t="shared" si="3"/>
        <v/>
      </c>
      <c r="Q1020" s="21" t="str">
        <f t="shared" si="4"/>
        <v/>
      </c>
      <c r="R1020" s="22">
        <f>IFERROR(__xludf.DUMMYFUNCTION("GOOGLEFINANCE(B1020, ""pe"")
"),10.96)</f>
        <v>10.96</v>
      </c>
    </row>
    <row r="1021">
      <c r="A1021" s="9" t="s">
        <v>1031</v>
      </c>
      <c r="B1021" s="11" t="str">
        <f t="shared" si="1"/>
        <v>NSE:IPL</v>
      </c>
      <c r="C1021" s="12">
        <f>IFERROR(__xludf.DUMMYFUNCTION("GOOGLEFINANCE(B1021,""marketcap"")/10000000"),2494.4414802)</f>
        <v>2494.44148</v>
      </c>
      <c r="D1021" s="13">
        <f>IFERROR(__xludf.DUMMYFUNCTION("GOOGLEFINANCE(B1021,""price"")"),216.77)</f>
        <v>216.77</v>
      </c>
      <c r="E1021" s="14">
        <f>IFERROR(__xludf.DUMMYFUNCTION("GOOGLEFINANCE(B1021,""Volume"")"),331689.0)</f>
        <v>331689</v>
      </c>
      <c r="F1021" s="14">
        <f t="array" ref="F1021">F1020</f>
        <v>14</v>
      </c>
      <c r="G1021" s="15" t="str">
        <f>IFERROR(__xludf.DUMMYFUNCTION("IF(E1021&gt;AVERAGE(INDEX(GOOGLEFINANCE(B1021,""volume"",WORKDAY(TODAY(),-$F$1),TODAY()),,2)),""Breakout"","""")"),"")</f>
        <v/>
      </c>
      <c r="H1021" s="16">
        <f>IFERROR(__xludf.DUMMYFUNCTION("GOOGLEFINANCE(B1021,""price"")"),216.77)</f>
        <v>216.77</v>
      </c>
      <c r="I1021" s="17">
        <f>IFERROR(__xludf.DUMMYFUNCTION("AVERAGE(QUERY(SORT(GOOGLEFINANCE(B1021,""price"",TODAY()-365,TODAY()),1,0),""select Col2 limit 10""))"),217.66800000000003)</f>
        <v>217.668</v>
      </c>
      <c r="J1021" s="17">
        <f>IFERROR(__xludf.DUMMYFUNCTION("AVERAGE(QUERY(SORT(GOOGLEFINANCE(B1021,""price"",TODAY()-365,TODAY()),1,0),""select Col2 limit 30""))"),214.1726666666667)</f>
        <v>214.1726667</v>
      </c>
      <c r="K1021" s="18">
        <f>IFERROR(__xludf.DUMMYFUNCTION("AVERAGE(QUERY(SORT(GOOGLEFINANCE(B1021,""price"",TODAY()-365,TODAY()),1,0),""select Col2 limit 60""))"),197.6801666666667)</f>
        <v>197.6801667</v>
      </c>
      <c r="L1021" s="17">
        <f>IFERROR(__xludf.DUMMYFUNCTION("AVERAGE(QUERY(SORT(GOOGLEFINANCE(B1021,""price"",TODAY()-365,TODAY()),1,0),""select Col2 limit 90""))"),178.75333333333342)</f>
        <v>178.7533333</v>
      </c>
      <c r="M1021" s="17">
        <f>IFERROR(__xludf.DUMMYFUNCTION("AVERAGE(QUERY(SORT(GOOGLEFINANCE(B1021,""price"",TODAY()-365,TODAY()),1,0),""select Col2 limit 120""))"),169.21500000000012)</f>
        <v>169.215</v>
      </c>
      <c r="N1021" s="19">
        <f>IFERROR(__xludf.DUMMYFUNCTION("AVERAGE(QUERY(SORT(GOOGLEFINANCE(B1021,""price"",TODAY()-365,TODAY()),1,0),""select Col2 limit 200""))"),175.26785000000004)</f>
        <v>175.26785</v>
      </c>
      <c r="O1021" s="20" t="str">
        <f t="shared" si="2"/>
        <v>Avoid</v>
      </c>
      <c r="P1021" s="21" t="str">
        <f t="shared" si="3"/>
        <v>10 DMA</v>
      </c>
      <c r="Q1021" s="21" t="str">
        <f t="shared" si="4"/>
        <v/>
      </c>
      <c r="R1021" s="22">
        <f>IFERROR(__xludf.DUMMYFUNCTION("GOOGLEFINANCE(B1021, ""pe"")
"),30.34)</f>
        <v>30.34</v>
      </c>
    </row>
    <row r="1022">
      <c r="A1022" s="9" t="s">
        <v>1032</v>
      </c>
      <c r="B1022" s="11" t="str">
        <f t="shared" si="1"/>
        <v>NSE:GLOBUSSPR</v>
      </c>
      <c r="C1022" s="12">
        <f>IFERROR(__xludf.DUMMYFUNCTION("GOOGLEFINANCE(B1022,""marketcap"")/10000000"),3626.9439526)</f>
        <v>3626.943953</v>
      </c>
      <c r="D1022" s="13">
        <f>IFERROR(__xludf.DUMMYFUNCTION("GOOGLEFINANCE(B1022,""price"")"),1245.7)</f>
        <v>1245.7</v>
      </c>
      <c r="E1022" s="14">
        <f>IFERROR(__xludf.DUMMYFUNCTION("GOOGLEFINANCE(B1022,""Volume"")"),177237.0)</f>
        <v>177237</v>
      </c>
      <c r="F1022" s="14">
        <f t="array" ref="F1022">F1021</f>
        <v>14</v>
      </c>
      <c r="G1022" s="15" t="str">
        <f>IFERROR(__xludf.DUMMYFUNCTION("IF(E1022&gt;AVERAGE(INDEX(GOOGLEFINANCE(B1022,""volume"",WORKDAY(TODAY(),-$F$1),TODAY()),,2)),""Breakout"","""")"),"")</f>
        <v/>
      </c>
      <c r="H1022" s="16">
        <f>IFERROR(__xludf.DUMMYFUNCTION("GOOGLEFINANCE(B1022,""price"")"),1245.7)</f>
        <v>1245.7</v>
      </c>
      <c r="I1022" s="17">
        <f>IFERROR(__xludf.DUMMYFUNCTION("AVERAGE(QUERY(SORT(GOOGLEFINANCE(B1022,""price"",TODAY()-365,TODAY()),1,0),""select Col2 limit 10""))"),1111.35)</f>
        <v>1111.35</v>
      </c>
      <c r="J1022" s="17">
        <f>IFERROR(__xludf.DUMMYFUNCTION("AVERAGE(QUERY(SORT(GOOGLEFINANCE(B1022,""price"",TODAY()-365,TODAY()),1,0),""select Col2 limit 30""))"),1007.1000000000001)</f>
        <v>1007.1</v>
      </c>
      <c r="K1022" s="18">
        <f>IFERROR(__xludf.DUMMYFUNCTION("AVERAGE(QUERY(SORT(GOOGLEFINANCE(B1022,""price"",TODAY()-365,TODAY()),1,0),""select Col2 limit 60""))"),1004.5191666666667)</f>
        <v>1004.519167</v>
      </c>
      <c r="L1022" s="17">
        <f>IFERROR(__xludf.DUMMYFUNCTION("AVERAGE(QUERY(SORT(GOOGLEFINANCE(B1022,""price"",TODAY()-365,TODAY()),1,0),""select Col2 limit 90""))"),1013.783333333333)</f>
        <v>1013.783333</v>
      </c>
      <c r="M1022" s="17">
        <f>IFERROR(__xludf.DUMMYFUNCTION("AVERAGE(QUERY(SORT(GOOGLEFINANCE(B1022,""price"",TODAY()-365,TODAY()),1,0),""select Col2 limit 120""))"),983.8162499999999)</f>
        <v>983.81625</v>
      </c>
      <c r="N1022" s="19">
        <f>IFERROR(__xludf.DUMMYFUNCTION("AVERAGE(QUERY(SORT(GOOGLEFINANCE(B1022,""price"",TODAY()-365,TODAY()),1,0),""select Col2 limit 200""))"),965.1847500000003)</f>
        <v>965.18475</v>
      </c>
      <c r="O1022" s="20" t="str">
        <f t="shared" si="2"/>
        <v>Avoid</v>
      </c>
      <c r="P1022" s="21" t="str">
        <f t="shared" si="3"/>
        <v/>
      </c>
      <c r="Q1022" s="21" t="str">
        <f t="shared" si="4"/>
        <v/>
      </c>
      <c r="R1022" s="22">
        <f>IFERROR(__xludf.DUMMYFUNCTION("GOOGLEFINANCE(B1022, ""pe"")
"),164.94)</f>
        <v>164.94</v>
      </c>
    </row>
    <row r="1023">
      <c r="A1023" s="9" t="s">
        <v>1033</v>
      </c>
      <c r="B1023" s="11" t="str">
        <f t="shared" si="1"/>
        <v>NSE:SJS</v>
      </c>
      <c r="C1023" s="12">
        <f>IFERROR(__xludf.DUMMYFUNCTION("GOOGLEFINANCE(B1023,""marketcap"")/10000000"),3818.2575825)</f>
        <v>3818.257583</v>
      </c>
      <c r="D1023" s="13">
        <f>IFERROR(__xludf.DUMMYFUNCTION("GOOGLEFINANCE(B1023,""price"")"),1215.8)</f>
        <v>1215.8</v>
      </c>
      <c r="E1023" s="14">
        <f>IFERROR(__xludf.DUMMYFUNCTION("GOOGLEFINANCE(B1023,""Volume"")"),72893.0)</f>
        <v>72893</v>
      </c>
      <c r="F1023" s="14">
        <f t="array" ref="F1023">F1022</f>
        <v>14</v>
      </c>
      <c r="G1023" s="15" t="str">
        <f>IFERROR(__xludf.DUMMYFUNCTION("IF(E1023&gt;AVERAGE(INDEX(GOOGLEFINANCE(B1023,""volume"",WORKDAY(TODAY(),-$F$1),TODAY()),,2)),""Breakout"","""")"),"")</f>
        <v/>
      </c>
      <c r="H1023" s="16">
        <f>IFERROR(__xludf.DUMMYFUNCTION("GOOGLEFINANCE(B1023,""price"")"),1215.8)</f>
        <v>1215.8</v>
      </c>
      <c r="I1023" s="17">
        <f>IFERROR(__xludf.DUMMYFUNCTION("AVERAGE(QUERY(SORT(GOOGLEFINANCE(B1023,""price"",TODAY()-365,TODAY()),1,0),""select Col2 limit 10""))"),1243.2900000000002)</f>
        <v>1243.29</v>
      </c>
      <c r="J1023" s="17">
        <f>IFERROR(__xludf.DUMMYFUNCTION("AVERAGE(QUERY(SORT(GOOGLEFINANCE(B1023,""price"",TODAY()-365,TODAY()),1,0),""select Col2 limit 30""))"),1252.4399999999998)</f>
        <v>1252.44</v>
      </c>
      <c r="K1023" s="18">
        <f>IFERROR(__xludf.DUMMYFUNCTION("AVERAGE(QUERY(SORT(GOOGLEFINANCE(B1023,""price"",TODAY()-365,TODAY()),1,0),""select Col2 limit 60""))"),1169.4233333333332)</f>
        <v>1169.423333</v>
      </c>
      <c r="L1023" s="17">
        <f>IFERROR(__xludf.DUMMYFUNCTION("AVERAGE(QUERY(SORT(GOOGLEFINANCE(B1023,""price"",TODAY()-365,TODAY()),1,0),""select Col2 limit 90""))"),1080.885)</f>
        <v>1080.885</v>
      </c>
      <c r="M1023" s="17">
        <f>IFERROR(__xludf.DUMMYFUNCTION("AVERAGE(QUERY(SORT(GOOGLEFINANCE(B1023,""price"",TODAY()-365,TODAY()),1,0),""select Col2 limit 120""))"),1036.4029166666667)</f>
        <v>1036.402917</v>
      </c>
      <c r="N1023" s="19">
        <f>IFERROR(__xludf.DUMMYFUNCTION("AVERAGE(QUERY(SORT(GOOGLEFINANCE(B1023,""price"",TODAY()-365,TODAY()),1,0),""select Col2 limit 200""))"),1070.8264999999994)</f>
        <v>1070.8265</v>
      </c>
      <c r="O1023" s="20" t="str">
        <f t="shared" si="2"/>
        <v>Avoid</v>
      </c>
      <c r="P1023" s="21" t="str">
        <f t="shared" si="3"/>
        <v/>
      </c>
      <c r="Q1023" s="21" t="str">
        <f t="shared" si="4"/>
        <v/>
      </c>
      <c r="R1023" s="22">
        <f>IFERROR(__xludf.DUMMYFUNCTION("GOOGLEFINANCE(B1023, ""pe"")
"),33.06)</f>
        <v>33.06</v>
      </c>
    </row>
    <row r="1024">
      <c r="A1024" s="9" t="s">
        <v>1034</v>
      </c>
      <c r="B1024" s="11" t="str">
        <f t="shared" si="1"/>
        <v>NSE:ADFFOODS</v>
      </c>
      <c r="C1024" s="12">
        <f>IFERROR(__xludf.DUMMYFUNCTION("GOOGLEFINANCE(B1024,""marketcap"")/10000000"),2966.8636833)</f>
        <v>2966.863683</v>
      </c>
      <c r="D1024" s="13">
        <f>IFERROR(__xludf.DUMMYFUNCTION("GOOGLEFINANCE(B1024,""price"")"),270.05)</f>
        <v>270.05</v>
      </c>
      <c r="E1024" s="14">
        <f>IFERROR(__xludf.DUMMYFUNCTION("GOOGLEFINANCE(B1024,""Volume"")"),14050.0)</f>
        <v>14050</v>
      </c>
      <c r="F1024" s="14">
        <f t="array" ref="F1024">F1023</f>
        <v>14</v>
      </c>
      <c r="G1024" s="15" t="str">
        <f>IFERROR(__xludf.DUMMYFUNCTION("IF(E1024&gt;AVERAGE(INDEX(GOOGLEFINANCE(B1024,""volume"",WORKDAY(TODAY(),-$F$1),TODAY()),,2)),""Breakout"","""")"),"")</f>
        <v/>
      </c>
      <c r="H1024" s="16">
        <f>IFERROR(__xludf.DUMMYFUNCTION("GOOGLEFINANCE(B1024,""price"")"),270.05)</f>
        <v>270.05</v>
      </c>
      <c r="I1024" s="17">
        <f>IFERROR(__xludf.DUMMYFUNCTION("AVERAGE(QUERY(SORT(GOOGLEFINANCE(B1024,""price"",TODAY()-365,TODAY()),1,0),""select Col2 limit 10""))"),270.855)</f>
        <v>270.855</v>
      </c>
      <c r="J1024" s="17">
        <f>IFERROR(__xludf.DUMMYFUNCTION("AVERAGE(QUERY(SORT(GOOGLEFINANCE(B1024,""price"",TODAY()-365,TODAY()),1,0),""select Col2 limit 30""))"),272.3863333333333)</f>
        <v>272.3863333</v>
      </c>
      <c r="K1024" s="18">
        <f>IFERROR(__xludf.DUMMYFUNCTION("AVERAGE(QUERY(SORT(GOOGLEFINANCE(B1024,""price"",TODAY()-365,TODAY()),1,0),""select Col2 limit 60""))"),257.65083333333337)</f>
        <v>257.6508333</v>
      </c>
      <c r="L1024" s="17">
        <f>IFERROR(__xludf.DUMMYFUNCTION("AVERAGE(QUERY(SORT(GOOGLEFINANCE(B1024,""price"",TODAY()-365,TODAY()),1,0),""select Col2 limit 90""))"),249.73155555555564)</f>
        <v>249.7315556</v>
      </c>
      <c r="M1024" s="17">
        <f>IFERROR(__xludf.DUMMYFUNCTION("AVERAGE(QUERY(SORT(GOOGLEFINANCE(B1024,""price"",TODAY()-365,TODAY()),1,0),""select Col2 limit 120""))"),249.11341666666675)</f>
        <v>249.1134167</v>
      </c>
      <c r="N1024" s="19">
        <f>IFERROR(__xludf.DUMMYFUNCTION("AVERAGE(QUERY(SORT(GOOGLEFINANCE(B1024,""price"",TODAY()-365,TODAY()),1,0),""select Col2 limit 200""))"),269.1107999999999)</f>
        <v>269.1108</v>
      </c>
      <c r="O1024" s="20" t="str">
        <f t="shared" si="2"/>
        <v>Avoid</v>
      </c>
      <c r="P1024" s="21" t="str">
        <f t="shared" si="3"/>
        <v>10 DMA</v>
      </c>
      <c r="Q1024" s="21" t="str">
        <f t="shared" si="4"/>
        <v/>
      </c>
      <c r="R1024" s="22">
        <f>IFERROR(__xludf.DUMMYFUNCTION("GOOGLEFINANCE(B1024, ""pe"")
"),42.84)</f>
        <v>42.84</v>
      </c>
    </row>
    <row r="1025">
      <c r="A1025" s="9" t="s">
        <v>1035</v>
      </c>
      <c r="B1025" s="11" t="str">
        <f t="shared" si="1"/>
        <v>NSE:PANAMAPET</v>
      </c>
      <c r="C1025" s="12">
        <f>IFERROR(__xludf.DUMMYFUNCTION("GOOGLEFINANCE(B1025,""marketcap"")/10000000"),2100.0345927)</f>
        <v>2100.034593</v>
      </c>
      <c r="D1025" s="13">
        <f>IFERROR(__xludf.DUMMYFUNCTION("GOOGLEFINANCE(B1025,""price"")"),346.4)</f>
        <v>346.4</v>
      </c>
      <c r="E1025" s="14">
        <f>IFERROR(__xludf.DUMMYFUNCTION("GOOGLEFINANCE(B1025,""Volume"")"),11578.0)</f>
        <v>11578</v>
      </c>
      <c r="F1025" s="14">
        <f t="array" ref="F1025">F1024</f>
        <v>14</v>
      </c>
      <c r="G1025" s="15" t="str">
        <f>IFERROR(__xludf.DUMMYFUNCTION("IF(E1025&gt;AVERAGE(INDEX(GOOGLEFINANCE(B1025,""volume"",WORKDAY(TODAY(),-$F$1),TODAY()),,2)),""Breakout"","""")"),"")</f>
        <v/>
      </c>
      <c r="H1025" s="16">
        <f>IFERROR(__xludf.DUMMYFUNCTION("GOOGLEFINANCE(B1025,""price"")"),346.4)</f>
        <v>346.4</v>
      </c>
      <c r="I1025" s="17" t="str">
        <f>IFERROR(__xludf.DUMMYFUNCTION("AVERAGE(QUERY(SORT(GOOGLEFINANCE(B1025,""price"",TODAY()-365,TODAY()),1,0),""select Col2 limit 10""))"),"#N/A")</f>
        <v>#N/A</v>
      </c>
      <c r="J1025" s="17" t="str">
        <f>IFERROR(__xludf.DUMMYFUNCTION("AVERAGE(QUERY(SORT(GOOGLEFINANCE(B1025,""price"",TODAY()-365,TODAY()),1,0),""select Col2 limit 30""))"),"#N/A")</f>
        <v>#N/A</v>
      </c>
      <c r="K1025" s="18" t="str">
        <f>IFERROR(__xludf.DUMMYFUNCTION("AVERAGE(QUERY(SORT(GOOGLEFINANCE(B1025,""price"",TODAY()-365,TODAY()),1,0),""select Col2 limit 60""))"),"#N/A")</f>
        <v>#N/A</v>
      </c>
      <c r="L1025" s="17" t="str">
        <f>IFERROR(__xludf.DUMMYFUNCTION("AVERAGE(QUERY(SORT(GOOGLEFINANCE(B1025,""price"",TODAY()-365,TODAY()),1,0),""select Col2 limit 90""))"),"#N/A")</f>
        <v>#N/A</v>
      </c>
      <c r="M1025" s="17" t="str">
        <f>IFERROR(__xludf.DUMMYFUNCTION("AVERAGE(QUERY(SORT(GOOGLEFINANCE(B1025,""price"",TODAY()-365,TODAY()),1,0),""select Col2 limit 120""))"),"#N/A")</f>
        <v>#N/A</v>
      </c>
      <c r="N1025" s="19" t="str">
        <f>IFERROR(__xludf.DUMMYFUNCTION("AVERAGE(QUERY(SORT(GOOGLEFINANCE(B1025,""price"",TODAY()-365,TODAY()),1,0),""select Col2 limit 200""))"),"#N/A")</f>
        <v>#N/A</v>
      </c>
      <c r="O1025" s="20" t="str">
        <f t="shared" si="2"/>
        <v>#N/A</v>
      </c>
      <c r="P1025" s="21" t="str">
        <f t="shared" si="3"/>
        <v>#N/A</v>
      </c>
      <c r="Q1025" s="21" t="str">
        <f t="shared" si="4"/>
        <v>#N/A</v>
      </c>
      <c r="R1025" s="22">
        <f>IFERROR(__xludf.DUMMYFUNCTION("GOOGLEFINANCE(B1025, ""pe"")
"),11.23)</f>
        <v>11.23</v>
      </c>
    </row>
    <row r="1026">
      <c r="A1026" s="9" t="s">
        <v>1036</v>
      </c>
      <c r="B1026" s="11" t="str">
        <f t="shared" si="1"/>
        <v>NSE:RPSGVENT</v>
      </c>
      <c r="C1026" s="12">
        <f>IFERROR(__xludf.DUMMYFUNCTION("GOOGLEFINANCE(B1026,""marketcap"")/10000000"),3222.7807516)</f>
        <v>3222.780752</v>
      </c>
      <c r="D1026" s="13">
        <f>IFERROR(__xludf.DUMMYFUNCTION("GOOGLEFINANCE(B1026,""price"")"),974.05)</f>
        <v>974.05</v>
      </c>
      <c r="E1026" s="14">
        <f>IFERROR(__xludf.DUMMYFUNCTION("GOOGLEFINANCE(B1026,""Volume"")"),32995.0)</f>
        <v>32995</v>
      </c>
      <c r="F1026" s="14">
        <f t="array" ref="F1026">F1025</f>
        <v>14</v>
      </c>
      <c r="G1026" s="15" t="str">
        <f>IFERROR(__xludf.DUMMYFUNCTION("IF(E1026&gt;AVERAGE(INDEX(GOOGLEFINANCE(B1026,""volume"",WORKDAY(TODAY(),-$F$1),TODAY()),,2)),""Breakout"","""")"),"")</f>
        <v/>
      </c>
      <c r="H1026" s="16">
        <f>IFERROR(__xludf.DUMMYFUNCTION("GOOGLEFINANCE(B1026,""price"")"),974.05)</f>
        <v>974.05</v>
      </c>
      <c r="I1026" s="17">
        <f>IFERROR(__xludf.DUMMYFUNCTION("AVERAGE(QUERY(SORT(GOOGLEFINANCE(B1026,""price"",TODAY()-365,TODAY()),1,0),""select Col2 limit 10""))"),928.1349999999999)</f>
        <v>928.135</v>
      </c>
      <c r="J1026" s="17">
        <f>IFERROR(__xludf.DUMMYFUNCTION("AVERAGE(QUERY(SORT(GOOGLEFINANCE(B1026,""price"",TODAY()-365,TODAY()),1,0),""select Col2 limit 30""))"),915.68)</f>
        <v>915.68</v>
      </c>
      <c r="K1026" s="18">
        <f>IFERROR(__xludf.DUMMYFUNCTION("AVERAGE(QUERY(SORT(GOOGLEFINANCE(B1026,""price"",TODAY()-365,TODAY()),1,0),""select Col2 limit 60""))"),900.5008333333334)</f>
        <v>900.5008333</v>
      </c>
      <c r="L1026" s="17">
        <f>IFERROR(__xludf.DUMMYFUNCTION("AVERAGE(QUERY(SORT(GOOGLEFINANCE(B1026,""price"",TODAY()-365,TODAY()),1,0),""select Col2 limit 90""))"),877.6650000000001)</f>
        <v>877.665</v>
      </c>
      <c r="M1026" s="17">
        <f>IFERROR(__xludf.DUMMYFUNCTION("AVERAGE(QUERY(SORT(GOOGLEFINANCE(B1026,""price"",TODAY()-365,TODAY()),1,0),""select Col2 limit 120""))"),873.5495833333333)</f>
        <v>873.5495833</v>
      </c>
      <c r="N1026" s="19">
        <f>IFERROR(__xludf.DUMMYFUNCTION("AVERAGE(QUERY(SORT(GOOGLEFINANCE(B1026,""price"",TODAY()-365,TODAY()),1,0),""select Col2 limit 200""))"),952.082)</f>
        <v>952.082</v>
      </c>
      <c r="O1026" s="20" t="str">
        <f t="shared" si="2"/>
        <v>Avoid</v>
      </c>
      <c r="P1026" s="21" t="str">
        <f t="shared" si="3"/>
        <v/>
      </c>
      <c r="Q1026" s="21" t="str">
        <f t="shared" si="4"/>
        <v/>
      </c>
      <c r="R1026" s="22" t="str">
        <f>IFERROR(__xludf.DUMMYFUNCTION("GOOGLEFINANCE(B1026, ""pe"")
"),"#N/A")</f>
        <v>#N/A</v>
      </c>
    </row>
    <row r="1027">
      <c r="A1027" s="9" t="s">
        <v>1037</v>
      </c>
      <c r="B1027" s="11" t="str">
        <f t="shared" si="1"/>
        <v>NSE:CANTABIL</v>
      </c>
      <c r="C1027" s="12">
        <f>IFERROR(__xludf.DUMMYFUNCTION("GOOGLEFINANCE(B1027,""marketcap"")/10000000"),2213.4801482)</f>
        <v>2213.480148</v>
      </c>
      <c r="D1027" s="13">
        <f>IFERROR(__xludf.DUMMYFUNCTION("GOOGLEFINANCE(B1027,""price"")"),263.5)</f>
        <v>263.5</v>
      </c>
      <c r="E1027" s="14">
        <f>IFERROR(__xludf.DUMMYFUNCTION("GOOGLEFINANCE(B1027,""Volume"")"),51073.0)</f>
        <v>51073</v>
      </c>
      <c r="F1027" s="14">
        <f t="array" ref="F1027">F1026</f>
        <v>14</v>
      </c>
      <c r="G1027" s="15" t="str">
        <f>IFERROR(__xludf.DUMMYFUNCTION("IF(E1027&gt;AVERAGE(INDEX(GOOGLEFINANCE(B1027,""volume"",WORKDAY(TODAY(),-$F$1),TODAY()),,2)),""Breakout"","""")"),"")</f>
        <v/>
      </c>
      <c r="H1027" s="16">
        <f>IFERROR(__xludf.DUMMYFUNCTION("GOOGLEFINANCE(B1027,""price"")"),263.5)</f>
        <v>263.5</v>
      </c>
      <c r="I1027" s="17">
        <f>IFERROR(__xludf.DUMMYFUNCTION("AVERAGE(QUERY(SORT(GOOGLEFINANCE(B1027,""price"",TODAY()-365,TODAY()),1,0),""select Col2 limit 10""))"),277.23999999999995)</f>
        <v>277.24</v>
      </c>
      <c r="J1027" s="17">
        <f>IFERROR(__xludf.DUMMYFUNCTION("AVERAGE(QUERY(SORT(GOOGLEFINANCE(B1027,""price"",TODAY()-365,TODAY()),1,0),""select Col2 limit 30""))"),269.17333333333335)</f>
        <v>269.1733333</v>
      </c>
      <c r="K1027" s="18">
        <f>IFERROR(__xludf.DUMMYFUNCTION("AVERAGE(QUERY(SORT(GOOGLEFINANCE(B1027,""price"",TODAY()-365,TODAY()),1,0),""select Col2 limit 60""))"),254.47099999999998)</f>
        <v>254.471</v>
      </c>
      <c r="L1027" s="17">
        <f>IFERROR(__xludf.DUMMYFUNCTION("AVERAGE(QUERY(SORT(GOOGLEFINANCE(B1027,""price"",TODAY()-365,TODAY()),1,0),""select Col2 limit 90""))"),256.4726666666666)</f>
        <v>256.4726667</v>
      </c>
      <c r="M1027" s="17">
        <f>IFERROR(__xludf.DUMMYFUNCTION("AVERAGE(QUERY(SORT(GOOGLEFINANCE(B1027,""price"",TODAY()-365,TODAY()),1,0),""select Col2 limit 120""))"),260.69016666666664)</f>
        <v>260.6901667</v>
      </c>
      <c r="N1027" s="19">
        <f>IFERROR(__xludf.DUMMYFUNCTION("AVERAGE(QUERY(SORT(GOOGLEFINANCE(B1027,""price"",TODAY()-365,TODAY()),1,0),""select Col2 limit 200""))"),257.3508999999999)</f>
        <v>257.3509</v>
      </c>
      <c r="O1027" s="20" t="str">
        <f t="shared" si="2"/>
        <v>Avoid</v>
      </c>
      <c r="P1027" s="21" t="str">
        <f t="shared" si="3"/>
        <v/>
      </c>
      <c r="Q1027" s="21" t="str">
        <f t="shared" si="4"/>
        <v/>
      </c>
      <c r="R1027" s="22">
        <f>IFERROR(__xludf.DUMMYFUNCTION("GOOGLEFINANCE(B1027, ""pe"")
"),29.57)</f>
        <v>29.57</v>
      </c>
    </row>
    <row r="1028">
      <c r="A1028" s="9" t="s">
        <v>1038</v>
      </c>
      <c r="B1028" s="11" t="str">
        <f t="shared" si="1"/>
        <v>NSE:SATIN</v>
      </c>
      <c r="C1028" s="12">
        <f>IFERROR(__xludf.DUMMYFUNCTION("GOOGLEFINANCE(B1028,""marketcap"")/10000000"),1650.5884958)</f>
        <v>1650.588496</v>
      </c>
      <c r="D1028" s="13">
        <f>IFERROR(__xludf.DUMMYFUNCTION("GOOGLEFINANCE(B1028,""price"")"),149.98)</f>
        <v>149.98</v>
      </c>
      <c r="E1028" s="14">
        <f>IFERROR(__xludf.DUMMYFUNCTION("GOOGLEFINANCE(B1028,""Volume"")"),151755.0)</f>
        <v>151755</v>
      </c>
      <c r="F1028" s="14">
        <f t="array" ref="F1028">F1027</f>
        <v>14</v>
      </c>
      <c r="G1028" s="15" t="str">
        <f>IFERROR(__xludf.DUMMYFUNCTION("IF(E1028&gt;AVERAGE(INDEX(GOOGLEFINANCE(B1028,""volume"",WORKDAY(TODAY(),-$F$1),TODAY()),,2)),""Breakout"","""")"),"")</f>
        <v/>
      </c>
      <c r="H1028" s="16">
        <f>IFERROR(__xludf.DUMMYFUNCTION("GOOGLEFINANCE(B1028,""price"")"),149.98)</f>
        <v>149.98</v>
      </c>
      <c r="I1028" s="17">
        <f>IFERROR(__xludf.DUMMYFUNCTION("AVERAGE(QUERY(SORT(GOOGLEFINANCE(B1028,""price"",TODAY()-365,TODAY()),1,0),""select Col2 limit 10""))"),159.65500000000003)</f>
        <v>159.655</v>
      </c>
      <c r="J1028" s="17">
        <f>IFERROR(__xludf.DUMMYFUNCTION("AVERAGE(QUERY(SORT(GOOGLEFINANCE(B1028,""price"",TODAY()-365,TODAY()),1,0),""select Col2 limit 30""))"),160.529)</f>
        <v>160.529</v>
      </c>
      <c r="K1028" s="18">
        <f>IFERROR(__xludf.DUMMYFUNCTION("AVERAGE(QUERY(SORT(GOOGLEFINANCE(B1028,""price"",TODAY()-365,TODAY()),1,0),""select Col2 limit 60""))"),162.13466666666667)</f>
        <v>162.1346667</v>
      </c>
      <c r="L1028" s="17">
        <f>IFERROR(__xludf.DUMMYFUNCTION("AVERAGE(QUERY(SORT(GOOGLEFINANCE(B1028,""price"",TODAY()-365,TODAY()),1,0),""select Col2 limit 90""))"),158.51977777777782)</f>
        <v>158.5197778</v>
      </c>
      <c r="M1028" s="17">
        <f>IFERROR(__xludf.DUMMYFUNCTION("AVERAGE(QUERY(SORT(GOOGLEFINANCE(B1028,""price"",TODAY()-365,TODAY()),1,0),""select Col2 limit 120""))"),155.01533333333336)</f>
        <v>155.0153333</v>
      </c>
      <c r="N1028" s="19">
        <f>IFERROR(__xludf.DUMMYFUNCTION("AVERAGE(QUERY(SORT(GOOGLEFINANCE(B1028,""price"",TODAY()-365,TODAY()),1,0),""select Col2 limit 200""))"),156.5686500000001)</f>
        <v>156.56865</v>
      </c>
      <c r="O1028" s="20" t="str">
        <f t="shared" si="2"/>
        <v>Avoid</v>
      </c>
      <c r="P1028" s="21" t="str">
        <f t="shared" si="3"/>
        <v/>
      </c>
      <c r="Q1028" s="21" t="str">
        <f t="shared" si="4"/>
        <v/>
      </c>
      <c r="R1028" s="22">
        <f>IFERROR(__xludf.DUMMYFUNCTION("GOOGLEFINANCE(B1028, ""pe"")
"),8.87)</f>
        <v>8.87</v>
      </c>
    </row>
    <row r="1029">
      <c r="A1029" s="9" t="s">
        <v>1039</v>
      </c>
      <c r="B1029" s="11" t="str">
        <f t="shared" si="1"/>
        <v>NSE:INDOTECH</v>
      </c>
      <c r="C1029" s="12">
        <f>IFERROR(__xludf.DUMMYFUNCTION("GOOGLEFINANCE(B1029,""marketcap"")/10000000"),1889.0720177)</f>
        <v>1889.072018</v>
      </c>
      <c r="D1029" s="13">
        <f>IFERROR(__xludf.DUMMYFUNCTION("GOOGLEFINANCE(B1029,""price"")"),1770.6)</f>
        <v>1770.6</v>
      </c>
      <c r="E1029" s="14">
        <f>IFERROR(__xludf.DUMMYFUNCTION("GOOGLEFINANCE(B1029,""Volume"")"),7726.0)</f>
        <v>7726</v>
      </c>
      <c r="F1029" s="14">
        <f t="array" ref="F1029">F1028</f>
        <v>14</v>
      </c>
      <c r="G1029" s="15" t="str">
        <f>IFERROR(__xludf.DUMMYFUNCTION("IF(E1029&gt;AVERAGE(INDEX(GOOGLEFINANCE(B1029,""volume"",WORKDAY(TODAY(),-$F$1),TODAY()),,2)),""Breakout"","""")"),"")</f>
        <v/>
      </c>
      <c r="H1029" s="16">
        <f>IFERROR(__xludf.DUMMYFUNCTION("GOOGLEFINANCE(B1029,""price"")"),1770.6)</f>
        <v>1770.6</v>
      </c>
      <c r="I1029" s="17">
        <f>IFERROR(__xludf.DUMMYFUNCTION("AVERAGE(QUERY(SORT(GOOGLEFINANCE(B1029,""price"",TODAY()-365,TODAY()),1,0),""select Col2 limit 10""))"),1866.9299999999998)</f>
        <v>1866.93</v>
      </c>
      <c r="J1029" s="17">
        <f>IFERROR(__xludf.DUMMYFUNCTION("AVERAGE(QUERY(SORT(GOOGLEFINANCE(B1029,""price"",TODAY()-365,TODAY()),1,0),""select Col2 limit 30""))"),1933.6166666666666)</f>
        <v>1933.616667</v>
      </c>
      <c r="K1029" s="18">
        <f>IFERROR(__xludf.DUMMYFUNCTION("AVERAGE(QUERY(SORT(GOOGLEFINANCE(B1029,""price"",TODAY()-365,TODAY()),1,0),""select Col2 limit 60""))"),2079.711666666667)</f>
        <v>2079.711667</v>
      </c>
      <c r="L1029" s="17">
        <f>IFERROR(__xludf.DUMMYFUNCTION("AVERAGE(QUERY(SORT(GOOGLEFINANCE(B1029,""price"",TODAY()-365,TODAY()),1,0),""select Col2 limit 90""))"),2150.1677777777777)</f>
        <v>2150.167778</v>
      </c>
      <c r="M1029" s="17">
        <f>IFERROR(__xludf.DUMMYFUNCTION("AVERAGE(QUERY(SORT(GOOGLEFINANCE(B1029,""price"",TODAY()-365,TODAY()),1,0),""select Col2 limit 120""))"),2176.267916666666)</f>
        <v>2176.267917</v>
      </c>
      <c r="N1029" s="19">
        <f>IFERROR(__xludf.DUMMYFUNCTION("AVERAGE(QUERY(SORT(GOOGLEFINANCE(B1029,""price"",TODAY()-365,TODAY()),1,0),""select Col2 limit 200""))"),2391.2380000000003)</f>
        <v>2391.238</v>
      </c>
      <c r="O1029" s="20" t="str">
        <f t="shared" si="2"/>
        <v>Avoid</v>
      </c>
      <c r="P1029" s="21" t="str">
        <f t="shared" si="3"/>
        <v/>
      </c>
      <c r="Q1029" s="21" t="str">
        <f t="shared" si="4"/>
        <v/>
      </c>
      <c r="R1029" s="22">
        <f>IFERROR(__xludf.DUMMYFUNCTION("GOOGLEFINANCE(B1029, ""pe"")
"),29.42)</f>
        <v>29.42</v>
      </c>
    </row>
    <row r="1030">
      <c r="A1030" s="9" t="s">
        <v>1040</v>
      </c>
      <c r="B1030" s="11" t="str">
        <f t="shared" si="1"/>
        <v>NSE:IKIO</v>
      </c>
      <c r="C1030" s="12">
        <f>IFERROR(__xludf.DUMMYFUNCTION("GOOGLEFINANCE(B1030,""marketcap"")/10000000"),1553.7149361)</f>
        <v>1553.714936</v>
      </c>
      <c r="D1030" s="13">
        <f>IFERROR(__xludf.DUMMYFUNCTION("GOOGLEFINANCE(B1030,""price"")"),202.1)</f>
        <v>202.1</v>
      </c>
      <c r="E1030" s="14">
        <f>IFERROR(__xludf.DUMMYFUNCTION("GOOGLEFINANCE(B1030,""Volume"")"),47748.0)</f>
        <v>47748</v>
      </c>
      <c r="F1030" s="14">
        <f t="array" ref="F1030">F1029</f>
        <v>14</v>
      </c>
      <c r="G1030" s="15" t="str">
        <f>IFERROR(__xludf.DUMMYFUNCTION("IF(E1030&gt;AVERAGE(INDEX(GOOGLEFINANCE(B1030,""volume"",WORKDAY(TODAY(),-$F$1),TODAY()),,2)),""Breakout"","""")"),"")</f>
        <v/>
      </c>
      <c r="H1030" s="16">
        <f>IFERROR(__xludf.DUMMYFUNCTION("GOOGLEFINANCE(B1030,""price"")"),202.1)</f>
        <v>202.1</v>
      </c>
      <c r="I1030" s="17">
        <f>IFERROR(__xludf.DUMMYFUNCTION("AVERAGE(QUERY(SORT(GOOGLEFINANCE(B1030,""price"",TODAY()-365,TODAY()),1,0),""select Col2 limit 10""))"),209.402)</f>
        <v>209.402</v>
      </c>
      <c r="J1030" s="17">
        <f>IFERROR(__xludf.DUMMYFUNCTION("AVERAGE(QUERY(SORT(GOOGLEFINANCE(B1030,""price"",TODAY()-365,TODAY()),1,0),""select Col2 limit 30""))"),212.549)</f>
        <v>212.549</v>
      </c>
      <c r="K1030" s="18">
        <f>IFERROR(__xludf.DUMMYFUNCTION("AVERAGE(QUERY(SORT(GOOGLEFINANCE(B1030,""price"",TODAY()-365,TODAY()),1,0),""select Col2 limit 60""))"),216.64433333333335)</f>
        <v>216.6443333</v>
      </c>
      <c r="L1030" s="17">
        <f>IFERROR(__xludf.DUMMYFUNCTION("AVERAGE(QUERY(SORT(GOOGLEFINANCE(B1030,""price"",TODAY()-365,TODAY()),1,0),""select Col2 limit 90""))"),224.4928888888889)</f>
        <v>224.4928889</v>
      </c>
      <c r="M1030" s="17">
        <f>IFERROR(__xludf.DUMMYFUNCTION("AVERAGE(QUERY(SORT(GOOGLEFINANCE(B1030,""price"",TODAY()-365,TODAY()),1,0),""select Col2 limit 120""))"),219.58100000000002)</f>
        <v>219.581</v>
      </c>
      <c r="N1030" s="19">
        <f>IFERROR(__xludf.DUMMYFUNCTION("AVERAGE(QUERY(SORT(GOOGLEFINANCE(B1030,""price"",TODAY()-365,TODAY()),1,0),""select Col2 limit 200""))"),235.07515)</f>
        <v>235.07515</v>
      </c>
      <c r="O1030" s="20" t="str">
        <f t="shared" si="2"/>
        <v>Avoid</v>
      </c>
      <c r="P1030" s="21" t="str">
        <f t="shared" si="3"/>
        <v/>
      </c>
      <c r="Q1030" s="21" t="str">
        <f t="shared" si="4"/>
        <v/>
      </c>
      <c r="R1030" s="22">
        <f>IFERROR(__xludf.DUMMYFUNCTION("GOOGLEFINANCE(B1030, ""pe"")
"),48.3)</f>
        <v>48.3</v>
      </c>
    </row>
    <row r="1031">
      <c r="A1031" s="9" t="s">
        <v>1041</v>
      </c>
      <c r="B1031" s="11" t="str">
        <f t="shared" si="1"/>
        <v>NSE:SOLARA</v>
      </c>
      <c r="C1031" s="12">
        <f>IFERROR(__xludf.DUMMYFUNCTION("GOOGLEFINANCE(B1031,""marketcap"")/10000000"),2936.1252808)</f>
        <v>2936.125281</v>
      </c>
      <c r="D1031" s="13">
        <f>IFERROR(__xludf.DUMMYFUNCTION("GOOGLEFINANCE(B1031,""price"")"),662.75)</f>
        <v>662.75</v>
      </c>
      <c r="E1031" s="14">
        <f>IFERROR(__xludf.DUMMYFUNCTION("GOOGLEFINANCE(B1031,""Volume"")"),168193.0)</f>
        <v>168193</v>
      </c>
      <c r="F1031" s="14">
        <f t="array" ref="F1031">F1030</f>
        <v>14</v>
      </c>
      <c r="G1031" s="15" t="str">
        <f>IFERROR(__xludf.DUMMYFUNCTION("IF(E1031&gt;AVERAGE(INDEX(GOOGLEFINANCE(B1031,""volume"",WORKDAY(TODAY(),-$F$1),TODAY()),,2)),""Breakout"","""")"),"")</f>
        <v/>
      </c>
      <c r="H1031" s="16">
        <f>IFERROR(__xludf.DUMMYFUNCTION("GOOGLEFINANCE(B1031,""price"")"),662.75)</f>
        <v>662.75</v>
      </c>
      <c r="I1031" s="17">
        <f>IFERROR(__xludf.DUMMYFUNCTION("AVERAGE(QUERY(SORT(GOOGLEFINANCE(B1031,""price"",TODAY()-365,TODAY()),1,0),""select Col2 limit 10""))"),680.9050000000001)</f>
        <v>680.905</v>
      </c>
      <c r="J1031" s="17">
        <f>IFERROR(__xludf.DUMMYFUNCTION("AVERAGE(QUERY(SORT(GOOGLEFINANCE(B1031,""price"",TODAY()-365,TODAY()),1,0),""select Col2 limit 30""))"),625.1650000000001)</f>
        <v>625.165</v>
      </c>
      <c r="K1031" s="18">
        <f>IFERROR(__xludf.DUMMYFUNCTION("AVERAGE(QUERY(SORT(GOOGLEFINANCE(B1031,""price"",TODAY()-365,TODAY()),1,0),""select Col2 limit 60""))"),558.3800000000003)</f>
        <v>558.38</v>
      </c>
      <c r="L1031" s="17">
        <f>IFERROR(__xludf.DUMMYFUNCTION("AVERAGE(QUERY(SORT(GOOGLEFINANCE(B1031,""price"",TODAY()-365,TODAY()),1,0),""select Col2 limit 90""))"),543.3266666666668)</f>
        <v>543.3266667</v>
      </c>
      <c r="M1031" s="17">
        <f>IFERROR(__xludf.DUMMYFUNCTION("AVERAGE(QUERY(SORT(GOOGLEFINANCE(B1031,""price"",TODAY()-365,TODAY()),1,0),""select Col2 limit 120""))"),532.6350000000001)</f>
        <v>532.635</v>
      </c>
      <c r="N1031" s="19">
        <f>IFERROR(__xludf.DUMMYFUNCTION("AVERAGE(QUERY(SORT(GOOGLEFINANCE(B1031,""price"",TODAY()-365,TODAY()),1,0),""select Col2 limit 200""))"),614.3499999999999)</f>
        <v>614.35</v>
      </c>
      <c r="O1031" s="20" t="str">
        <f t="shared" si="2"/>
        <v>Avoid</v>
      </c>
      <c r="P1031" s="21" t="str">
        <f t="shared" si="3"/>
        <v/>
      </c>
      <c r="Q1031" s="21" t="str">
        <f t="shared" si="4"/>
        <v/>
      </c>
      <c r="R1031" s="22">
        <f>IFERROR(__xludf.DUMMYFUNCTION("GOOGLEFINANCE(B1031, ""pe"")
"),4726.07)</f>
        <v>4726.07</v>
      </c>
    </row>
    <row r="1032">
      <c r="A1032" s="9" t="s">
        <v>1042</v>
      </c>
      <c r="B1032" s="11" t="str">
        <f t="shared" si="1"/>
        <v>NSE:PENIND</v>
      </c>
      <c r="C1032" s="12">
        <f>IFERROR(__xludf.DUMMYFUNCTION("GOOGLEFINANCE(B1032,""marketcap"")/10000000"),3314.8184485)</f>
        <v>3314.818449</v>
      </c>
      <c r="D1032" s="13">
        <f>IFERROR(__xludf.DUMMYFUNCTION("GOOGLEFINANCE(B1032,""price"")"),244.68)</f>
        <v>244.68</v>
      </c>
      <c r="E1032" s="14">
        <f>IFERROR(__xludf.DUMMYFUNCTION("GOOGLEFINANCE(B1032,""Volume"")"),978485.0)</f>
        <v>978485</v>
      </c>
      <c r="F1032" s="14">
        <f t="array" ref="F1032">F1031</f>
        <v>14</v>
      </c>
      <c r="G1032" s="15" t="str">
        <f>IFERROR(__xludf.DUMMYFUNCTION("IF(E1032&gt;AVERAGE(INDEX(GOOGLEFINANCE(B1032,""volume"",WORKDAY(TODAY(),-$F$1),TODAY()),,2)),""Breakout"","""")"),"Breakout")</f>
        <v>Breakout</v>
      </c>
      <c r="H1032" s="16">
        <f>IFERROR(__xludf.DUMMYFUNCTION("GOOGLEFINANCE(B1032,""price"")"),244.68)</f>
        <v>244.68</v>
      </c>
      <c r="I1032" s="17">
        <f>IFERROR(__xludf.DUMMYFUNCTION("AVERAGE(QUERY(SORT(GOOGLEFINANCE(B1032,""price"",TODAY()-365,TODAY()),1,0),""select Col2 limit 10""))"),245.789)</f>
        <v>245.789</v>
      </c>
      <c r="J1032" s="17">
        <f>IFERROR(__xludf.DUMMYFUNCTION("AVERAGE(QUERY(SORT(GOOGLEFINANCE(B1032,""price"",TODAY()-365,TODAY()),1,0),""select Col2 limit 30""))"),234.64733333333334)</f>
        <v>234.6473333</v>
      </c>
      <c r="K1032" s="18">
        <f>IFERROR(__xludf.DUMMYFUNCTION("AVERAGE(QUERY(SORT(GOOGLEFINANCE(B1032,""price"",TODAY()-365,TODAY()),1,0),""select Col2 limit 60""))"),224.10500000000005)</f>
        <v>224.105</v>
      </c>
      <c r="L1032" s="17">
        <f>IFERROR(__xludf.DUMMYFUNCTION("AVERAGE(QUERY(SORT(GOOGLEFINANCE(B1032,""price"",TODAY()-365,TODAY()),1,0),""select Col2 limit 90""))"),211.3116666666667)</f>
        <v>211.3116667</v>
      </c>
      <c r="M1032" s="17">
        <f>IFERROR(__xludf.DUMMYFUNCTION("AVERAGE(QUERY(SORT(GOOGLEFINANCE(B1032,""price"",TODAY()-365,TODAY()),1,0),""select Col2 limit 120""))"),199.05116666666672)</f>
        <v>199.0511667</v>
      </c>
      <c r="N1032" s="19">
        <f>IFERROR(__xludf.DUMMYFUNCTION("AVERAGE(QUERY(SORT(GOOGLEFINANCE(B1032,""price"",TODAY()-365,TODAY()),1,0),""select Col2 limit 200""))"),196.29075000000012)</f>
        <v>196.29075</v>
      </c>
      <c r="O1032" s="20" t="str">
        <f t="shared" si="2"/>
        <v>Avoid</v>
      </c>
      <c r="P1032" s="21" t="str">
        <f t="shared" si="3"/>
        <v>10 DMA</v>
      </c>
      <c r="Q1032" s="21" t="str">
        <f t="shared" si="4"/>
        <v/>
      </c>
      <c r="R1032" s="22">
        <f>IFERROR(__xludf.DUMMYFUNCTION("GOOGLEFINANCE(B1032, ""pe"")
"),27.78)</f>
        <v>27.78</v>
      </c>
    </row>
    <row r="1033">
      <c r="A1033" s="9" t="s">
        <v>1043</v>
      </c>
      <c r="B1033" s="11" t="str">
        <f t="shared" si="1"/>
        <v>NSE:PARAGMILK</v>
      </c>
      <c r="C1033" s="12">
        <f>IFERROR(__xludf.DUMMYFUNCTION("GOOGLEFINANCE(B1033,""marketcap"")/10000000"),2981.3121207)</f>
        <v>2981.312121</v>
      </c>
      <c r="D1033" s="13">
        <f>IFERROR(__xludf.DUMMYFUNCTION("GOOGLEFINANCE(B1033,""price"")"),250.65)</f>
        <v>250.65</v>
      </c>
      <c r="E1033" s="14">
        <f>IFERROR(__xludf.DUMMYFUNCTION("GOOGLEFINANCE(B1033,""Volume"")"),500870.0)</f>
        <v>500870</v>
      </c>
      <c r="F1033" s="14">
        <f t="array" ref="F1033">F1032</f>
        <v>14</v>
      </c>
      <c r="G1033" s="15" t="str">
        <f>IFERROR(__xludf.DUMMYFUNCTION("IF(E1033&gt;AVERAGE(INDEX(GOOGLEFINANCE(B1033,""volume"",WORKDAY(TODAY(),-$F$1),TODAY()),,2)),""Breakout"","""")"),"#N/A")</f>
        <v>#N/A</v>
      </c>
      <c r="H1033" s="16">
        <f>IFERROR(__xludf.DUMMYFUNCTION("GOOGLEFINANCE(B1033,""price"")"),250.65)</f>
        <v>250.65</v>
      </c>
      <c r="I1033" s="17">
        <f>IFERROR(__xludf.DUMMYFUNCTION("AVERAGE(QUERY(SORT(GOOGLEFINANCE(B1033,""price"",TODAY()-365,TODAY()),1,0),""select Col2 limit 10""))"),246.471)</f>
        <v>246.471</v>
      </c>
      <c r="J1033" s="17">
        <f>IFERROR(__xludf.DUMMYFUNCTION("AVERAGE(QUERY(SORT(GOOGLEFINANCE(B1033,""price"",TODAY()-365,TODAY()),1,0),""select Col2 limit 30""))"),231.625)</f>
        <v>231.625</v>
      </c>
      <c r="K1033" s="18">
        <f>IFERROR(__xludf.DUMMYFUNCTION("AVERAGE(QUERY(SORT(GOOGLEFINANCE(B1033,""price"",TODAY()-365,TODAY()),1,0),""select Col2 limit 60""))"),220.63583333333335)</f>
        <v>220.6358333</v>
      </c>
      <c r="L1033" s="17">
        <f>IFERROR(__xludf.DUMMYFUNCTION("AVERAGE(QUERY(SORT(GOOGLEFINANCE(B1033,""price"",TODAY()-365,TODAY()),1,0),""select Col2 limit 90""))"),204.5918888888889)</f>
        <v>204.5918889</v>
      </c>
      <c r="M1033" s="17">
        <f>IFERROR(__xludf.DUMMYFUNCTION("AVERAGE(QUERY(SORT(GOOGLEFINANCE(B1033,""price"",TODAY()-365,TODAY()),1,0),""select Col2 limit 120""))"),193.83149999999998)</f>
        <v>193.8315</v>
      </c>
      <c r="N1033" s="19">
        <f>IFERROR(__xludf.DUMMYFUNCTION("AVERAGE(QUERY(SORT(GOOGLEFINANCE(B1033,""price"",TODAY()-365,TODAY()),1,0),""select Col2 limit 200""))"),195.09760000000003)</f>
        <v>195.0976</v>
      </c>
      <c r="O1033" s="20" t="str">
        <f t="shared" si="2"/>
        <v>Avoid</v>
      </c>
      <c r="P1033" s="21" t="str">
        <f t="shared" si="3"/>
        <v/>
      </c>
      <c r="Q1033" s="21" t="str">
        <f t="shared" si="4"/>
        <v/>
      </c>
      <c r="R1033" s="22">
        <f>IFERROR(__xludf.DUMMYFUNCTION("GOOGLEFINANCE(B1033, ""pe"")
"),26.33)</f>
        <v>26.33</v>
      </c>
    </row>
    <row r="1034">
      <c r="A1034" s="9" t="s">
        <v>1044</v>
      </c>
      <c r="B1034" s="11" t="str">
        <f t="shared" si="1"/>
        <v>NSE:PNBGILTS</v>
      </c>
      <c r="C1034" s="12">
        <f>IFERROR(__xludf.DUMMYFUNCTION("GOOGLEFINANCE(B1034,""marketcap"")/10000000"),1908.10706)</f>
        <v>1908.10706</v>
      </c>
      <c r="D1034" s="13">
        <f>IFERROR(__xludf.DUMMYFUNCTION("GOOGLEFINANCE(B1034,""price"")"),106.03)</f>
        <v>106.03</v>
      </c>
      <c r="E1034" s="14">
        <f>IFERROR(__xludf.DUMMYFUNCTION("GOOGLEFINANCE(B1034,""Volume"")"),1168767.0)</f>
        <v>1168767</v>
      </c>
      <c r="F1034" s="14">
        <f t="array" ref="F1034">F1033</f>
        <v>14</v>
      </c>
      <c r="G1034" s="15" t="str">
        <f>IFERROR(__xludf.DUMMYFUNCTION("IF(E1034&gt;AVERAGE(INDEX(GOOGLEFINANCE(B1034,""volume"",WORKDAY(TODAY(),-$F$1),TODAY()),,2)),""Breakout"","""")"),"")</f>
        <v/>
      </c>
      <c r="H1034" s="16">
        <f>IFERROR(__xludf.DUMMYFUNCTION("GOOGLEFINANCE(B1034,""price"")"),106.03)</f>
        <v>106.03</v>
      </c>
      <c r="I1034" s="17">
        <f>IFERROR(__xludf.DUMMYFUNCTION("AVERAGE(QUERY(SORT(GOOGLEFINANCE(B1034,""price"",TODAY()-365,TODAY()),1,0),""select Col2 limit 10""))"),102.684)</f>
        <v>102.684</v>
      </c>
      <c r="J1034" s="17">
        <f>IFERROR(__xludf.DUMMYFUNCTION("AVERAGE(QUERY(SORT(GOOGLEFINANCE(B1034,""price"",TODAY()-365,TODAY()),1,0),""select Col2 limit 30""))"),98.97766666666665)</f>
        <v>98.97766667</v>
      </c>
      <c r="K1034" s="18">
        <f>IFERROR(__xludf.DUMMYFUNCTION("AVERAGE(QUERY(SORT(GOOGLEFINANCE(B1034,""price"",TODAY()-365,TODAY()),1,0),""select Col2 limit 60""))"),98.06066666666666)</f>
        <v>98.06066667</v>
      </c>
      <c r="L1034" s="17">
        <f>IFERROR(__xludf.DUMMYFUNCTION("AVERAGE(QUERY(SORT(GOOGLEFINANCE(B1034,""price"",TODAY()-365,TODAY()),1,0),""select Col2 limit 90""))"),95.132)</f>
        <v>95.132</v>
      </c>
      <c r="M1034" s="17">
        <f>IFERROR(__xludf.DUMMYFUNCTION("AVERAGE(QUERY(SORT(GOOGLEFINANCE(B1034,""price"",TODAY()-365,TODAY()),1,0),""select Col2 limit 120""))"),93.43316666666668)</f>
        <v>93.43316667</v>
      </c>
      <c r="N1034" s="19">
        <f>IFERROR(__xludf.DUMMYFUNCTION("AVERAGE(QUERY(SORT(GOOGLEFINANCE(B1034,""price"",TODAY()-365,TODAY()),1,0),""select Col2 limit 200""))"),101.37659999999998)</f>
        <v>101.3766</v>
      </c>
      <c r="O1034" s="20" t="str">
        <f t="shared" si="2"/>
        <v>Avoid</v>
      </c>
      <c r="P1034" s="21" t="str">
        <f t="shared" si="3"/>
        <v/>
      </c>
      <c r="Q1034" s="21" t="str">
        <f t="shared" si="4"/>
        <v/>
      </c>
      <c r="R1034" s="22">
        <f>IFERROR(__xludf.DUMMYFUNCTION("GOOGLEFINANCE(B1034, ""pe"")
"),5.6)</f>
        <v>5.6</v>
      </c>
    </row>
    <row r="1035">
      <c r="A1035" s="9" t="s">
        <v>1045</v>
      </c>
      <c r="B1035" s="11" t="str">
        <f t="shared" si="1"/>
        <v>NSE:SIYSIL</v>
      </c>
      <c r="C1035" s="12">
        <f>IFERROR(__xludf.DUMMYFUNCTION("GOOGLEFINANCE(B1035,""marketcap"")/10000000"),3106.1097593)</f>
        <v>3106.109759</v>
      </c>
      <c r="D1035" s="13">
        <f>IFERROR(__xludf.DUMMYFUNCTION("GOOGLEFINANCE(B1035,""price"")"),685.5)</f>
        <v>685.5</v>
      </c>
      <c r="E1035" s="14">
        <f>IFERROR(__xludf.DUMMYFUNCTION("GOOGLEFINANCE(B1035,""Volume"")"),29037.0)</f>
        <v>29037</v>
      </c>
      <c r="F1035" s="14">
        <f t="array" ref="F1035">F1034</f>
        <v>14</v>
      </c>
      <c r="G1035" s="15" t="str">
        <f>IFERROR(__xludf.DUMMYFUNCTION("IF(E1035&gt;AVERAGE(INDEX(GOOGLEFINANCE(B1035,""volume"",WORKDAY(TODAY(),-$F$1),TODAY()),,2)),""Breakout"","""")"),"")</f>
        <v/>
      </c>
      <c r="H1035" s="16">
        <f>IFERROR(__xludf.DUMMYFUNCTION("GOOGLEFINANCE(B1035,""price"")"),685.5)</f>
        <v>685.5</v>
      </c>
      <c r="I1035" s="17">
        <f>IFERROR(__xludf.DUMMYFUNCTION("AVERAGE(QUERY(SORT(GOOGLEFINANCE(B1035,""price"",TODAY()-365,TODAY()),1,0),""select Col2 limit 10""))"),715.8099999999998)</f>
        <v>715.81</v>
      </c>
      <c r="J1035" s="17">
        <f>IFERROR(__xludf.DUMMYFUNCTION("AVERAGE(QUERY(SORT(GOOGLEFINANCE(B1035,""price"",TODAY()-365,TODAY()),1,0),""select Col2 limit 30""))"),705.6766666666666)</f>
        <v>705.6766667</v>
      </c>
      <c r="K1035" s="18">
        <f>IFERROR(__xludf.DUMMYFUNCTION("AVERAGE(QUERY(SORT(GOOGLEFINANCE(B1035,""price"",TODAY()-365,TODAY()),1,0),""select Col2 limit 60""))"),711.73)</f>
        <v>711.73</v>
      </c>
      <c r="L1035" s="17">
        <f>IFERROR(__xludf.DUMMYFUNCTION("AVERAGE(QUERY(SORT(GOOGLEFINANCE(B1035,""price"",TODAY()-365,TODAY()),1,0),""select Col2 limit 90""))"),704.992777777778)</f>
        <v>704.9927778</v>
      </c>
      <c r="M1035" s="17">
        <f>IFERROR(__xludf.DUMMYFUNCTION("AVERAGE(QUERY(SORT(GOOGLEFINANCE(B1035,""price"",TODAY()-365,TODAY()),1,0),""select Col2 limit 120""))"),696.1637500000002)</f>
        <v>696.16375</v>
      </c>
      <c r="N1035" s="19">
        <f>IFERROR(__xludf.DUMMYFUNCTION("AVERAGE(QUERY(SORT(GOOGLEFINANCE(B1035,""price"",TODAY()-365,TODAY()),1,0),""select Col2 limit 200""))"),725.0867499999999)</f>
        <v>725.08675</v>
      </c>
      <c r="O1035" s="20" t="str">
        <f t="shared" si="2"/>
        <v>Avoid</v>
      </c>
      <c r="P1035" s="21" t="str">
        <f t="shared" si="3"/>
        <v/>
      </c>
      <c r="Q1035" s="21" t="str">
        <f t="shared" si="4"/>
        <v/>
      </c>
      <c r="R1035" s="22">
        <f>IFERROR(__xludf.DUMMYFUNCTION("GOOGLEFINANCE(B1035, ""pe"")
"),15.79)</f>
        <v>15.79</v>
      </c>
    </row>
    <row r="1036">
      <c r="A1036" s="9" t="s">
        <v>1046</v>
      </c>
      <c r="B1036" s="11" t="str">
        <f t="shared" si="1"/>
        <v>NSE:XPROINDIA</v>
      </c>
      <c r="C1036" s="12">
        <f>IFERROR(__xludf.DUMMYFUNCTION("GOOGLEFINANCE(B1036,""marketcap"")/10000000"),2808.552942)</f>
        <v>2808.552942</v>
      </c>
      <c r="D1036" s="13">
        <f>IFERROR(__xludf.DUMMYFUNCTION("GOOGLEFINANCE(B1036,""price"")"),1209.0)</f>
        <v>1209</v>
      </c>
      <c r="E1036" s="14">
        <f>IFERROR(__xludf.DUMMYFUNCTION("GOOGLEFINANCE(B1036,""Volume"")"),15799.0)</f>
        <v>15799</v>
      </c>
      <c r="F1036" s="14">
        <f t="array" ref="F1036">F1035</f>
        <v>14</v>
      </c>
      <c r="G1036" s="15" t="str">
        <f>IFERROR(__xludf.DUMMYFUNCTION("IF(E1036&gt;AVERAGE(INDEX(GOOGLEFINANCE(B1036,""volume"",WORKDAY(TODAY(),-$F$1),TODAY()),,2)),""Breakout"","""")"),"")</f>
        <v/>
      </c>
      <c r="H1036" s="16">
        <f>IFERROR(__xludf.DUMMYFUNCTION("GOOGLEFINANCE(B1036,""price"")"),1209.0)</f>
        <v>1209</v>
      </c>
      <c r="I1036" s="17">
        <f>IFERROR(__xludf.DUMMYFUNCTION("AVERAGE(QUERY(SORT(GOOGLEFINANCE(B1036,""price"",TODAY()-365,TODAY()),1,0),""select Col2 limit 10""))"),1208.8899999999999)</f>
        <v>1208.89</v>
      </c>
      <c r="J1036" s="17">
        <f>IFERROR(__xludf.DUMMYFUNCTION("AVERAGE(QUERY(SORT(GOOGLEFINANCE(B1036,""price"",TODAY()-365,TODAY()),1,0),""select Col2 limit 30""))"),1208.0166666666669)</f>
        <v>1208.016667</v>
      </c>
      <c r="K1036" s="18">
        <f>IFERROR(__xludf.DUMMYFUNCTION("AVERAGE(QUERY(SORT(GOOGLEFINANCE(B1036,""price"",TODAY()-365,TODAY()),1,0),""select Col2 limit 60""))"),1182.4366666666667)</f>
        <v>1182.436667</v>
      </c>
      <c r="L1036" s="17">
        <f>IFERROR(__xludf.DUMMYFUNCTION("AVERAGE(QUERY(SORT(GOOGLEFINANCE(B1036,""price"",TODAY()-365,TODAY()),1,0),""select Col2 limit 90""))"),1165.9072222222223)</f>
        <v>1165.907222</v>
      </c>
      <c r="M1036" s="17">
        <f>IFERROR(__xludf.DUMMYFUNCTION("AVERAGE(QUERY(SORT(GOOGLEFINANCE(B1036,""price"",TODAY()-365,TODAY()),1,0),""select Col2 limit 120""))"),1163.2949999999998)</f>
        <v>1163.295</v>
      </c>
      <c r="N1036" s="19">
        <f>IFERROR(__xludf.DUMMYFUNCTION("AVERAGE(QUERY(SORT(GOOGLEFINANCE(B1036,""price"",TODAY()-365,TODAY()),1,0),""select Col2 limit 200""))"),1223.9965)</f>
        <v>1223.9965</v>
      </c>
      <c r="O1036" s="20" t="str">
        <f t="shared" si="2"/>
        <v>Buy Above 200 DMA</v>
      </c>
      <c r="P1036" s="21" t="str">
        <f t="shared" si="3"/>
        <v/>
      </c>
      <c r="Q1036" s="21" t="str">
        <f t="shared" si="4"/>
        <v/>
      </c>
      <c r="R1036" s="22">
        <f>IFERROR(__xludf.DUMMYFUNCTION("GOOGLEFINANCE(B1036, ""pe"")
"),71.09)</f>
        <v>71.09</v>
      </c>
    </row>
    <row r="1037">
      <c r="A1037" s="9" t="s">
        <v>1047</v>
      </c>
      <c r="B1037" s="11" t="str">
        <f t="shared" si="1"/>
        <v>NSE:FMGOETZE</v>
      </c>
      <c r="C1037" s="12">
        <f>IFERROR(__xludf.DUMMYFUNCTION("GOOGLEFINANCE(B1037,""marketcap"")/10000000"),3276.4531863)</f>
        <v>3276.453186</v>
      </c>
      <c r="D1037" s="13">
        <f>IFERROR(__xludf.DUMMYFUNCTION("GOOGLEFINANCE(B1037,""price"")"),588.05)</f>
        <v>588.05</v>
      </c>
      <c r="E1037" s="14">
        <f>IFERROR(__xludf.DUMMYFUNCTION("GOOGLEFINANCE(B1037,""Volume"")"),44445.0)</f>
        <v>44445</v>
      </c>
      <c r="F1037" s="14">
        <f t="array" ref="F1037">F1036</f>
        <v>14</v>
      </c>
      <c r="G1037" s="15" t="str">
        <f>IFERROR(__xludf.DUMMYFUNCTION("IF(E1037&gt;AVERAGE(INDEX(GOOGLEFINANCE(B1037,""volume"",WORKDAY(TODAY(),-$F$1),TODAY()),,2)),""Breakout"","""")"),"")</f>
        <v/>
      </c>
      <c r="H1037" s="16">
        <f>IFERROR(__xludf.DUMMYFUNCTION("GOOGLEFINANCE(B1037,""price"")"),588.05)</f>
        <v>588.05</v>
      </c>
      <c r="I1037" s="17">
        <f>IFERROR(__xludf.DUMMYFUNCTION("AVERAGE(QUERY(SORT(GOOGLEFINANCE(B1037,""price"",TODAY()-365,TODAY()),1,0),""select Col2 limit 10""))"),582.89)</f>
        <v>582.89</v>
      </c>
      <c r="J1037" s="17">
        <f>IFERROR(__xludf.DUMMYFUNCTION("AVERAGE(QUERY(SORT(GOOGLEFINANCE(B1037,""price"",TODAY()-365,TODAY()),1,0),""select Col2 limit 30""))"),556.9616666666666)</f>
        <v>556.9616667</v>
      </c>
      <c r="K1037" s="18">
        <f>IFERROR(__xludf.DUMMYFUNCTION("AVERAGE(QUERY(SORT(GOOGLEFINANCE(B1037,""price"",TODAY()-365,TODAY()),1,0),""select Col2 limit 60""))"),478.94416666666655)</f>
        <v>478.9441667</v>
      </c>
      <c r="L1037" s="17">
        <f>IFERROR(__xludf.DUMMYFUNCTION("AVERAGE(QUERY(SORT(GOOGLEFINANCE(B1037,""price"",TODAY()-365,TODAY()),1,0),""select Col2 limit 90""))"),432.4866666666666)</f>
        <v>432.4866667</v>
      </c>
      <c r="M1037" s="17">
        <f>IFERROR(__xludf.DUMMYFUNCTION("AVERAGE(QUERY(SORT(GOOGLEFINANCE(B1037,""price"",TODAY()-365,TODAY()),1,0),""select Col2 limit 120""))"),413.23041666666654)</f>
        <v>413.2304167</v>
      </c>
      <c r="N1037" s="19">
        <f>IFERROR(__xludf.DUMMYFUNCTION("AVERAGE(QUERY(SORT(GOOGLEFINANCE(B1037,""price"",TODAY()-365,TODAY()),1,0),""select Col2 limit 200""))"),408.06525)</f>
        <v>408.06525</v>
      </c>
      <c r="O1037" s="20" t="str">
        <f t="shared" si="2"/>
        <v>Avoid</v>
      </c>
      <c r="P1037" s="21" t="str">
        <f t="shared" si="3"/>
        <v/>
      </c>
      <c r="Q1037" s="21" t="str">
        <f t="shared" si="4"/>
        <v/>
      </c>
      <c r="R1037" s="22">
        <f>IFERROR(__xludf.DUMMYFUNCTION("GOOGLEFINANCE(B1037, ""pe"")
"),20.24)</f>
        <v>20.24</v>
      </c>
    </row>
    <row r="1038">
      <c r="A1038" s="9" t="s">
        <v>1048</v>
      </c>
      <c r="B1038" s="11" t="str">
        <f t="shared" si="1"/>
        <v>NSE:WEBELSOLAR</v>
      </c>
      <c r="C1038" s="12">
        <f>IFERROR(__xludf.DUMMYFUNCTION("GOOGLEFINANCE(B1038,""marketcap"")/10000000"),5772.5609157)</f>
        <v>5772.560916</v>
      </c>
      <c r="D1038" s="13">
        <f>IFERROR(__xludf.DUMMYFUNCTION("GOOGLEFINANCE(B1038,""price"")"),1363.2)</f>
        <v>1363.2</v>
      </c>
      <c r="E1038" s="14">
        <f>IFERROR(__xludf.DUMMYFUNCTION("GOOGLEFINANCE(B1038,""Volume"")"),61336.0)</f>
        <v>61336</v>
      </c>
      <c r="F1038" s="14">
        <f t="array" ref="F1038">F1037</f>
        <v>14</v>
      </c>
      <c r="G1038" s="15" t="str">
        <f>IFERROR(__xludf.DUMMYFUNCTION("IF(E1038&gt;AVERAGE(INDEX(GOOGLEFINANCE(B1038,""volume"",WORKDAY(TODAY(),-$F$1),TODAY()),,2)),""Breakout"","""")"),"#N/A")</f>
        <v>#N/A</v>
      </c>
      <c r="H1038" s="16">
        <f>IFERROR(__xludf.DUMMYFUNCTION("GOOGLEFINANCE(B1038,""price"")"),1363.2)</f>
        <v>1363.2</v>
      </c>
      <c r="I1038" s="17">
        <f>IFERROR(__xludf.DUMMYFUNCTION("AVERAGE(QUERY(SORT(GOOGLEFINANCE(B1038,""price"",TODAY()-365,TODAY()),1,0),""select Col2 limit 10""))"),1386.77)</f>
        <v>1386.77</v>
      </c>
      <c r="J1038" s="17">
        <f>IFERROR(__xludf.DUMMYFUNCTION("AVERAGE(QUERY(SORT(GOOGLEFINANCE(B1038,""price"",TODAY()-365,TODAY()),1,0),""select Col2 limit 30""))"),1319.3766666666668)</f>
        <v>1319.376667</v>
      </c>
      <c r="K1038" s="18">
        <f>IFERROR(__xludf.DUMMYFUNCTION("AVERAGE(QUERY(SORT(GOOGLEFINANCE(B1038,""price"",TODAY()-365,TODAY()),1,0),""select Col2 limit 60""))"),1338.2000000000005)</f>
        <v>1338.2</v>
      </c>
      <c r="L1038" s="17">
        <f>IFERROR(__xludf.DUMMYFUNCTION("AVERAGE(QUERY(SORT(GOOGLEFINANCE(B1038,""price"",TODAY()-365,TODAY()),1,0),""select Col2 limit 90""))"),1299.942777777778)</f>
        <v>1299.942778</v>
      </c>
      <c r="M1038" s="17">
        <f>IFERROR(__xludf.DUMMYFUNCTION("AVERAGE(QUERY(SORT(GOOGLEFINANCE(B1038,""price"",TODAY()-365,TODAY()),1,0),""select Col2 limit 120""))"),1264.1924999999999)</f>
        <v>1264.1925</v>
      </c>
      <c r="N1038" s="19">
        <f>IFERROR(__xludf.DUMMYFUNCTION("AVERAGE(QUERY(SORT(GOOGLEFINANCE(B1038,""price"",TODAY()-365,TODAY()),1,0),""select Col2 limit 200""))"),1334.40375)</f>
        <v>1334.40375</v>
      </c>
      <c r="O1038" s="20" t="str">
        <f t="shared" si="2"/>
        <v>Avoid</v>
      </c>
      <c r="P1038" s="21" t="str">
        <f t="shared" si="3"/>
        <v/>
      </c>
      <c r="Q1038" s="21" t="str">
        <f t="shared" si="4"/>
        <v/>
      </c>
      <c r="R1038" s="22">
        <f>IFERROR(__xludf.DUMMYFUNCTION("GOOGLEFINANCE(B1038, ""pe"")
"),37.88)</f>
        <v>37.88</v>
      </c>
    </row>
    <row r="1039">
      <c r="A1039" s="9" t="s">
        <v>1049</v>
      </c>
      <c r="B1039" s="11" t="str">
        <f t="shared" si="1"/>
        <v>NSE:UDAICEMENT</v>
      </c>
      <c r="C1039" s="12">
        <f>IFERROR(__xludf.DUMMYFUNCTION("GOOGLEFINANCE(B1039,""marketcap"")/10000000"),1970.850193)</f>
        <v>1970.850193</v>
      </c>
      <c r="D1039" s="13">
        <f>IFERROR(__xludf.DUMMYFUNCTION("GOOGLEFINANCE(B1039,""price"")"),35.16)</f>
        <v>35.16</v>
      </c>
      <c r="E1039" s="14">
        <f>IFERROR(__xludf.DUMMYFUNCTION("GOOGLEFINANCE(B1039,""Volume"")"),507787.0)</f>
        <v>507787</v>
      </c>
      <c r="F1039" s="14">
        <f t="array" ref="F1039">F1038</f>
        <v>14</v>
      </c>
      <c r="G1039" s="15" t="str">
        <f>IFERROR(__xludf.DUMMYFUNCTION("IF(E1039&gt;AVERAGE(INDEX(GOOGLEFINANCE(B1039,""volume"",WORKDAY(TODAY(),-$F$1),TODAY()),,2)),""Breakout"","""")"),"")</f>
        <v/>
      </c>
      <c r="H1039" s="16">
        <f>IFERROR(__xludf.DUMMYFUNCTION("GOOGLEFINANCE(B1039,""price"")"),35.16)</f>
        <v>35.16</v>
      </c>
      <c r="I1039" s="17">
        <f>IFERROR(__xludf.DUMMYFUNCTION("AVERAGE(QUERY(SORT(GOOGLEFINANCE(B1039,""price"",TODAY()-365,TODAY()),1,0),""select Col2 limit 10""))"),35.968)</f>
        <v>35.968</v>
      </c>
      <c r="J1039" s="17">
        <f>IFERROR(__xludf.DUMMYFUNCTION("AVERAGE(QUERY(SORT(GOOGLEFINANCE(B1039,""price"",TODAY()-365,TODAY()),1,0),""select Col2 limit 30""))"),33.580999999999996)</f>
        <v>33.581</v>
      </c>
      <c r="K1039" s="18">
        <f>IFERROR(__xludf.DUMMYFUNCTION("AVERAGE(QUERY(SORT(GOOGLEFINANCE(B1039,""price"",TODAY()-365,TODAY()),1,0),""select Col2 limit 60""))"),31.7495)</f>
        <v>31.7495</v>
      </c>
      <c r="L1039" s="17">
        <f>IFERROR(__xludf.DUMMYFUNCTION("AVERAGE(QUERY(SORT(GOOGLEFINANCE(B1039,""price"",TODAY()-365,TODAY()),1,0),""select Col2 limit 90""))"),30.209777777777774)</f>
        <v>30.20977778</v>
      </c>
      <c r="M1039" s="17">
        <f>IFERROR(__xludf.DUMMYFUNCTION("AVERAGE(QUERY(SORT(GOOGLEFINANCE(B1039,""price"",TODAY()-365,TODAY()),1,0),""select Col2 limit 120""))"),29.31275)</f>
        <v>29.31275</v>
      </c>
      <c r="N1039" s="19">
        <f>IFERROR(__xludf.DUMMYFUNCTION("AVERAGE(QUERY(SORT(GOOGLEFINANCE(B1039,""price"",TODAY()-365,TODAY()),1,0),""select Col2 limit 200""))"),29.46945)</f>
        <v>29.46945</v>
      </c>
      <c r="O1039" s="20" t="str">
        <f t="shared" si="2"/>
        <v>Avoid</v>
      </c>
      <c r="P1039" s="21" t="str">
        <f t="shared" si="3"/>
        <v/>
      </c>
      <c r="Q1039" s="21" t="str">
        <f t="shared" si="4"/>
        <v/>
      </c>
      <c r="R1039" s="22">
        <f>IFERROR(__xludf.DUMMYFUNCTION("GOOGLEFINANCE(B1039, ""pe"")
"),195.33)</f>
        <v>195.33</v>
      </c>
    </row>
    <row r="1040">
      <c r="A1040" s="9" t="s">
        <v>1050</v>
      </c>
      <c r="B1040" s="11" t="str">
        <f t="shared" si="1"/>
        <v>NSE:HITECH</v>
      </c>
      <c r="C1040" s="12">
        <f>IFERROR(__xludf.DUMMYFUNCTION("GOOGLEFINANCE(B1040,""marketcap"")/10000000"),1858.6629474)</f>
        <v>1858.662947</v>
      </c>
      <c r="D1040" s="13">
        <f>IFERROR(__xludf.DUMMYFUNCTION("GOOGLEFINANCE(B1040,""price"")"),91.51)</f>
        <v>91.51</v>
      </c>
      <c r="E1040" s="14">
        <f>IFERROR(__xludf.DUMMYFUNCTION("GOOGLEFINANCE(B1040,""Volume"")"),363513.0)</f>
        <v>363513</v>
      </c>
      <c r="F1040" s="14">
        <f t="array" ref="F1040">F1039</f>
        <v>14</v>
      </c>
      <c r="G1040" s="15" t="str">
        <f>IFERROR(__xludf.DUMMYFUNCTION("IF(E1040&gt;AVERAGE(INDEX(GOOGLEFINANCE(B1040,""volume"",WORKDAY(TODAY(),-$F$1),TODAY()),,2)),""Breakout"","""")"),"")</f>
        <v/>
      </c>
      <c r="H1040" s="16">
        <f>IFERROR(__xludf.DUMMYFUNCTION("GOOGLEFINANCE(B1040,""price"")"),91.51)</f>
        <v>91.51</v>
      </c>
      <c r="I1040" s="17">
        <f>IFERROR(__xludf.DUMMYFUNCTION("AVERAGE(QUERY(SORT(GOOGLEFINANCE(B1040,""price"",TODAY()-365,TODAY()),1,0),""select Col2 limit 10""))"),95.588)</f>
        <v>95.588</v>
      </c>
      <c r="J1040" s="17">
        <f>IFERROR(__xludf.DUMMYFUNCTION("AVERAGE(QUERY(SORT(GOOGLEFINANCE(B1040,""price"",TODAY()-365,TODAY()),1,0),""select Col2 limit 30""))"),97.97233333333332)</f>
        <v>97.97233333</v>
      </c>
      <c r="K1040" s="18">
        <f>IFERROR(__xludf.DUMMYFUNCTION("AVERAGE(QUERY(SORT(GOOGLEFINANCE(B1040,""price"",TODAY()-365,TODAY()),1,0),""select Col2 limit 60""))"),96.86916666666664)</f>
        <v>96.86916667</v>
      </c>
      <c r="L1040" s="17">
        <f>IFERROR(__xludf.DUMMYFUNCTION("AVERAGE(QUERY(SORT(GOOGLEFINANCE(B1040,""price"",TODAY()-365,TODAY()),1,0),""select Col2 limit 90""))"),98.2622222222222)</f>
        <v>98.26222222</v>
      </c>
      <c r="M1040" s="17">
        <f>IFERROR(__xludf.DUMMYFUNCTION("AVERAGE(QUERY(SORT(GOOGLEFINANCE(B1040,""price"",TODAY()-365,TODAY()),1,0),""select Col2 limit 120""))"),102.19891666666666)</f>
        <v>102.1989167</v>
      </c>
      <c r="N1040" s="19">
        <f>IFERROR(__xludf.DUMMYFUNCTION("AVERAGE(QUERY(SORT(GOOGLEFINANCE(B1040,""price"",TODAY()-365,TODAY()),1,0),""select Col2 limit 200""))"),127.69279999999995)</f>
        <v>127.6928</v>
      </c>
      <c r="O1040" s="20" t="str">
        <f t="shared" si="2"/>
        <v>Avoid</v>
      </c>
      <c r="P1040" s="21" t="str">
        <f t="shared" si="3"/>
        <v/>
      </c>
      <c r="Q1040" s="21" t="str">
        <f t="shared" si="4"/>
        <v/>
      </c>
      <c r="R1040" s="22">
        <f>IFERROR(__xludf.DUMMYFUNCTION("GOOGLEFINANCE(B1040, ""pe"")
"),23.03)</f>
        <v>23.03</v>
      </c>
    </row>
    <row r="1041">
      <c r="A1041" s="9" t="s">
        <v>1051</v>
      </c>
      <c r="B1041" s="11" t="str">
        <f t="shared" si="1"/>
        <v>NSE:APCOTEXIND</v>
      </c>
      <c r="C1041" s="12">
        <f>IFERROR(__xludf.DUMMYFUNCTION("GOOGLEFINANCE(B1041,""marketcap"")/10000000"),2053.3187854)</f>
        <v>2053.318785</v>
      </c>
      <c r="D1041" s="13">
        <f>IFERROR(__xludf.DUMMYFUNCTION("GOOGLEFINANCE(B1041,""price"")"),396.05)</f>
        <v>396.05</v>
      </c>
      <c r="E1041" s="14">
        <f>IFERROR(__xludf.DUMMYFUNCTION("GOOGLEFINANCE(B1041,""Volume"")"),18257.0)</f>
        <v>18257</v>
      </c>
      <c r="F1041" s="14">
        <f t="array" ref="F1041">F1040</f>
        <v>14</v>
      </c>
      <c r="G1041" s="15" t="str">
        <f>IFERROR(__xludf.DUMMYFUNCTION("IF(E1041&gt;AVERAGE(INDEX(GOOGLEFINANCE(B1041,""volume"",WORKDAY(TODAY(),-$F$1),TODAY()),,2)),""Breakout"","""")"),"#N/A")</f>
        <v>#N/A</v>
      </c>
      <c r="H1041" s="16">
        <f>IFERROR(__xludf.DUMMYFUNCTION("GOOGLEFINANCE(B1041,""price"")"),396.05)</f>
        <v>396.05</v>
      </c>
      <c r="I1041" s="17">
        <f>IFERROR(__xludf.DUMMYFUNCTION("AVERAGE(QUERY(SORT(GOOGLEFINANCE(B1041,""price"",TODAY()-365,TODAY()),1,0),""select Col2 limit 10""))"),397.63)</f>
        <v>397.63</v>
      </c>
      <c r="J1041" s="17">
        <f>IFERROR(__xludf.DUMMYFUNCTION("AVERAGE(QUERY(SORT(GOOGLEFINANCE(B1041,""price"",TODAY()-365,TODAY()),1,0),""select Col2 limit 30""))"),392.0600000000002)</f>
        <v>392.06</v>
      </c>
      <c r="K1041" s="18">
        <f>IFERROR(__xludf.DUMMYFUNCTION("AVERAGE(QUERY(SORT(GOOGLEFINANCE(B1041,""price"",TODAY()-365,TODAY()),1,0),""select Col2 limit 60""))"),367.6383333333334)</f>
        <v>367.6383333</v>
      </c>
      <c r="L1041" s="17">
        <f>IFERROR(__xludf.DUMMYFUNCTION("AVERAGE(QUERY(SORT(GOOGLEFINANCE(B1041,""price"",TODAY()-365,TODAY()),1,0),""select Col2 limit 90""))"),352.52777777777777)</f>
        <v>352.5277778</v>
      </c>
      <c r="M1041" s="17">
        <f>IFERROR(__xludf.DUMMYFUNCTION("AVERAGE(QUERY(SORT(GOOGLEFINANCE(B1041,""price"",TODAY()-365,TODAY()),1,0),""select Col2 limit 120""))"),348.5987500000001)</f>
        <v>348.59875</v>
      </c>
      <c r="N1041" s="19">
        <f>IFERROR(__xludf.DUMMYFUNCTION("AVERAGE(QUERY(SORT(GOOGLEFINANCE(B1041,""price"",TODAY()-365,TODAY()),1,0),""select Col2 limit 200""))"),365.5360000000003)</f>
        <v>365.536</v>
      </c>
      <c r="O1041" s="20" t="str">
        <f t="shared" si="2"/>
        <v>Avoid</v>
      </c>
      <c r="P1041" s="21" t="str">
        <f t="shared" si="3"/>
        <v>10 DMA</v>
      </c>
      <c r="Q1041" s="21" t="str">
        <f t="shared" si="4"/>
        <v/>
      </c>
      <c r="R1041" s="22">
        <f>IFERROR(__xludf.DUMMYFUNCTION("GOOGLEFINANCE(B1041, ""pe"")
"),37.98)</f>
        <v>37.98</v>
      </c>
    </row>
    <row r="1042">
      <c r="A1042" s="9" t="s">
        <v>1052</v>
      </c>
      <c r="B1042" s="11" t="str">
        <f t="shared" si="1"/>
        <v>NSE:HIL</v>
      </c>
      <c r="C1042" s="12" t="str">
        <f>IFERROR(__xludf.DUMMYFUNCTION("GOOGLEFINANCE(B1042,""marketcap"")/10000000"),"#N/A")</f>
        <v>#N/A</v>
      </c>
      <c r="D1042" s="13" t="str">
        <f>IFERROR(__xludf.DUMMYFUNCTION("GOOGLEFINANCE(B1042,""price"")"),"#N/A")</f>
        <v>#N/A</v>
      </c>
      <c r="E1042" s="14" t="str">
        <f>IFERROR(__xludf.DUMMYFUNCTION("GOOGLEFINANCE(B1042,""Volume"")"),"#N/A")</f>
        <v>#N/A</v>
      </c>
      <c r="F1042" s="14">
        <f t="array" ref="F1042">F1041</f>
        <v>14</v>
      </c>
      <c r="G1042" s="15" t="str">
        <f>IFERROR(__xludf.DUMMYFUNCTION("IF(E1042&gt;AVERAGE(INDEX(GOOGLEFINANCE(B1042,""volume"",WORKDAY(TODAY(),-$F$1),TODAY()),,2)),""Breakout"","""")"),"#N/A")</f>
        <v>#N/A</v>
      </c>
      <c r="H1042" s="16" t="str">
        <f>IFERROR(__xludf.DUMMYFUNCTION("GOOGLEFINANCE(B1042,""price"")"),"#N/A")</f>
        <v>#N/A</v>
      </c>
      <c r="I1042" s="17" t="str">
        <f>IFERROR(__xludf.DUMMYFUNCTION("AVERAGE(QUERY(SORT(GOOGLEFINANCE(B1042,""price"",TODAY()-365,TODAY()),1,0),""select Col2 limit 10""))"),"#N/A")</f>
        <v>#N/A</v>
      </c>
      <c r="J1042" s="17" t="str">
        <f>IFERROR(__xludf.DUMMYFUNCTION("AVERAGE(QUERY(SORT(GOOGLEFINANCE(B1042,""price"",TODAY()-365,TODAY()),1,0),""select Col2 limit 30""))"),"#N/A")</f>
        <v>#N/A</v>
      </c>
      <c r="K1042" s="18" t="str">
        <f>IFERROR(__xludf.DUMMYFUNCTION("AVERAGE(QUERY(SORT(GOOGLEFINANCE(B1042,""price"",TODAY()-365,TODAY()),1,0),""select Col2 limit 60""))"),"#N/A")</f>
        <v>#N/A</v>
      </c>
      <c r="L1042" s="17" t="str">
        <f>IFERROR(__xludf.DUMMYFUNCTION("AVERAGE(QUERY(SORT(GOOGLEFINANCE(B1042,""price"",TODAY()-365,TODAY()),1,0),""select Col2 limit 90""))"),"#N/A")</f>
        <v>#N/A</v>
      </c>
      <c r="M1042" s="17" t="str">
        <f>IFERROR(__xludf.DUMMYFUNCTION("AVERAGE(QUERY(SORT(GOOGLEFINANCE(B1042,""price"",TODAY()-365,TODAY()),1,0),""select Col2 limit 120""))"),"#N/A")</f>
        <v>#N/A</v>
      </c>
      <c r="N1042" s="19" t="str">
        <f>IFERROR(__xludf.DUMMYFUNCTION("AVERAGE(QUERY(SORT(GOOGLEFINANCE(B1042,""price"",TODAY()-365,TODAY()),1,0),""select Col2 limit 200""))"),"#N/A")</f>
        <v>#N/A</v>
      </c>
      <c r="O1042" s="20" t="str">
        <f t="shared" si="2"/>
        <v>#N/A</v>
      </c>
      <c r="P1042" s="21" t="str">
        <f t="shared" si="3"/>
        <v>#N/A</v>
      </c>
      <c r="Q1042" s="21" t="str">
        <f t="shared" si="4"/>
        <v>#N/A</v>
      </c>
      <c r="R1042" s="22" t="str">
        <f>IFERROR(__xludf.DUMMYFUNCTION("GOOGLEFINANCE(B1042, ""pe"")
"),"#N/A")</f>
        <v>#N/A</v>
      </c>
    </row>
    <row r="1043">
      <c r="A1043" s="9" t="s">
        <v>1053</v>
      </c>
      <c r="B1043" s="11" t="str">
        <f t="shared" si="1"/>
        <v>NSE:INDIANHUME</v>
      </c>
      <c r="C1043" s="12">
        <f>IFERROR(__xludf.DUMMYFUNCTION("GOOGLEFINANCE(B1043,""marketcap"")/10000000"),2233.707048)</f>
        <v>2233.707048</v>
      </c>
      <c r="D1043" s="13">
        <f>IFERROR(__xludf.DUMMYFUNCTION("GOOGLEFINANCE(B1043,""price"")"),422.7)</f>
        <v>422.7</v>
      </c>
      <c r="E1043" s="14">
        <f>IFERROR(__xludf.DUMMYFUNCTION("GOOGLEFINANCE(B1043,""Volume"")"),15715.0)</f>
        <v>15715</v>
      </c>
      <c r="F1043" s="14">
        <f t="array" ref="F1043">F1042</f>
        <v>14</v>
      </c>
      <c r="G1043" s="15" t="str">
        <f>IFERROR(__xludf.DUMMYFUNCTION("IF(E1043&gt;AVERAGE(INDEX(GOOGLEFINANCE(B1043,""volume"",WORKDAY(TODAY(),-$F$1),TODAY()),,2)),""Breakout"","""")"),"")</f>
        <v/>
      </c>
      <c r="H1043" s="16">
        <f>IFERROR(__xludf.DUMMYFUNCTION("GOOGLEFINANCE(B1043,""price"")"),422.7)</f>
        <v>422.7</v>
      </c>
      <c r="I1043" s="17">
        <f>IFERROR(__xludf.DUMMYFUNCTION("AVERAGE(QUERY(SORT(GOOGLEFINANCE(B1043,""price"",TODAY()-365,TODAY()),1,0),""select Col2 limit 10""))"),438.4200000000001)</f>
        <v>438.42</v>
      </c>
      <c r="J1043" s="17">
        <f>IFERROR(__xludf.DUMMYFUNCTION("AVERAGE(QUERY(SORT(GOOGLEFINANCE(B1043,""price"",TODAY()-365,TODAY()),1,0),""select Col2 limit 30""))"),433.575)</f>
        <v>433.575</v>
      </c>
      <c r="K1043" s="18">
        <f>IFERROR(__xludf.DUMMYFUNCTION("AVERAGE(QUERY(SORT(GOOGLEFINANCE(B1043,""price"",TODAY()-365,TODAY()),1,0),""select Col2 limit 60""))"),426.34083333333325)</f>
        <v>426.3408333</v>
      </c>
      <c r="L1043" s="17">
        <f>IFERROR(__xludf.DUMMYFUNCTION("AVERAGE(QUERY(SORT(GOOGLEFINANCE(B1043,""price"",TODAY()-365,TODAY()),1,0),""select Col2 limit 90""))"),410.03277777777777)</f>
        <v>410.0327778</v>
      </c>
      <c r="M1043" s="17">
        <f>IFERROR(__xludf.DUMMYFUNCTION("AVERAGE(QUERY(SORT(GOOGLEFINANCE(B1043,""price"",TODAY()-365,TODAY()),1,0),""select Col2 limit 120""))"),388.2637499999999)</f>
        <v>388.26375</v>
      </c>
      <c r="N1043" s="19">
        <f>IFERROR(__xludf.DUMMYFUNCTION("AVERAGE(QUERY(SORT(GOOGLEFINANCE(B1043,""price"",TODAY()-365,TODAY()),1,0),""select Col2 limit 200""))"),395.0377500000001)</f>
        <v>395.03775</v>
      </c>
      <c r="O1043" s="20" t="str">
        <f t="shared" si="2"/>
        <v>Avoid</v>
      </c>
      <c r="P1043" s="21" t="str">
        <f t="shared" si="3"/>
        <v>60 DMA</v>
      </c>
      <c r="Q1043" s="21" t="str">
        <f t="shared" si="4"/>
        <v/>
      </c>
      <c r="R1043" s="22">
        <f>IFERROR(__xludf.DUMMYFUNCTION("GOOGLEFINANCE(B1043, ""pe"")
"),4.0)</f>
        <v>4</v>
      </c>
    </row>
    <row r="1044">
      <c r="A1044" s="9" t="s">
        <v>1054</v>
      </c>
      <c r="B1044" s="11" t="str">
        <f t="shared" si="1"/>
        <v>NSE:IFGLEXPOR</v>
      </c>
      <c r="C1044" s="12">
        <f>IFERROR(__xludf.DUMMYFUNCTION("GOOGLEFINANCE(B1044,""marketcap"")/10000000"),1751.510466)</f>
        <v>1751.510466</v>
      </c>
      <c r="D1044" s="13">
        <f>IFERROR(__xludf.DUMMYFUNCTION("GOOGLEFINANCE(B1044,""price"")"),242.45)</f>
        <v>242.45</v>
      </c>
      <c r="E1044" s="14">
        <f>IFERROR(__xludf.DUMMYFUNCTION("GOOGLEFINANCE(B1044,""Volume"")"),13134.0)</f>
        <v>13134</v>
      </c>
      <c r="F1044" s="14">
        <f t="array" ref="F1044">F1043</f>
        <v>14</v>
      </c>
      <c r="G1044" s="15" t="str">
        <f>IFERROR(__xludf.DUMMYFUNCTION("IF(E1044&gt;AVERAGE(INDEX(GOOGLEFINANCE(B1044,""volume"",WORKDAY(TODAY(),-$F$1),TODAY()),,2)),""Breakout"","""")"),"#N/A")</f>
        <v>#N/A</v>
      </c>
      <c r="H1044" s="16">
        <f>IFERROR(__xludf.DUMMYFUNCTION("GOOGLEFINANCE(B1044,""price"")"),242.45)</f>
        <v>242.45</v>
      </c>
      <c r="I1044" s="17">
        <f>IFERROR(__xludf.DUMMYFUNCTION("AVERAGE(QUERY(SORT(GOOGLEFINANCE(B1044,""price"",TODAY()-365,TODAY()),1,0),""select Col2 limit 10""))"),270.915)</f>
        <v>270.915</v>
      </c>
      <c r="J1044" s="17">
        <f>IFERROR(__xludf.DUMMYFUNCTION("AVERAGE(QUERY(SORT(GOOGLEFINANCE(B1044,""price"",TODAY()-365,TODAY()),1,0),""select Col2 limit 30""))"),265.7323333333333)</f>
        <v>265.7323333</v>
      </c>
      <c r="K1044" s="18">
        <f>IFERROR(__xludf.DUMMYFUNCTION("AVERAGE(QUERY(SORT(GOOGLEFINANCE(B1044,""price"",TODAY()-365,TODAY()),1,0),""select Col2 limit 60""))"),252.79249999999993)</f>
        <v>252.7925</v>
      </c>
      <c r="L1044" s="17">
        <f>IFERROR(__xludf.DUMMYFUNCTION("AVERAGE(QUERY(SORT(GOOGLEFINANCE(B1044,""price"",TODAY()-365,TODAY()),1,0),""select Col2 limit 90""))"),228.64833333333323)</f>
        <v>228.6483333</v>
      </c>
      <c r="M1044" s="17">
        <f>IFERROR(__xludf.DUMMYFUNCTION("AVERAGE(QUERY(SORT(GOOGLEFINANCE(B1044,""price"",TODAY()-365,TODAY()),1,0),""select Col2 limit 120""))"),217.43666666666664)</f>
        <v>217.4366667</v>
      </c>
      <c r="N1044" s="19">
        <f>IFERROR(__xludf.DUMMYFUNCTION("AVERAGE(QUERY(SORT(GOOGLEFINANCE(B1044,""price"",TODAY()-365,TODAY()),1,0),""select Col2 limit 200""))"),229.56435000000005)</f>
        <v>229.56435</v>
      </c>
      <c r="O1044" s="20" t="str">
        <f t="shared" si="2"/>
        <v>Avoid</v>
      </c>
      <c r="P1044" s="21" t="str">
        <f t="shared" si="3"/>
        <v/>
      </c>
      <c r="Q1044" s="21" t="str">
        <f t="shared" si="4"/>
        <v/>
      </c>
      <c r="R1044" s="22">
        <f>IFERROR(__xludf.DUMMYFUNCTION("GOOGLEFINANCE(B1044, ""pe"")
"),40.74)</f>
        <v>40.74</v>
      </c>
    </row>
    <row r="1045">
      <c r="A1045" s="9" t="s">
        <v>1055</v>
      </c>
      <c r="B1045" s="11" t="str">
        <f t="shared" si="1"/>
        <v>NSE:OMAXE</v>
      </c>
      <c r="C1045" s="12">
        <f>IFERROR(__xludf.DUMMYFUNCTION("GOOGLEFINANCE(B1045,""marketcap"")/10000000"),1821.8708955)</f>
        <v>1821.870896</v>
      </c>
      <c r="D1045" s="13">
        <f>IFERROR(__xludf.DUMMYFUNCTION("GOOGLEFINANCE(B1045,""price"")"),99.96)</f>
        <v>99.96</v>
      </c>
      <c r="E1045" s="14">
        <f>IFERROR(__xludf.DUMMYFUNCTION("GOOGLEFINANCE(B1045,""Volume"")"),1001033.0)</f>
        <v>1001033</v>
      </c>
      <c r="F1045" s="14">
        <f t="array" ref="F1045">F1044</f>
        <v>14</v>
      </c>
      <c r="G1045" s="15" t="str">
        <f>IFERROR(__xludf.DUMMYFUNCTION("IF(E1045&gt;AVERAGE(INDEX(GOOGLEFINANCE(B1045,""volume"",WORKDAY(TODAY(),-$F$1),TODAY()),,2)),""Breakout"","""")"),"Breakout")</f>
        <v>Breakout</v>
      </c>
      <c r="H1045" s="16">
        <f>IFERROR(__xludf.DUMMYFUNCTION("GOOGLEFINANCE(B1045,""price"")"),99.96)</f>
        <v>99.96</v>
      </c>
      <c r="I1045" s="17">
        <f>IFERROR(__xludf.DUMMYFUNCTION("AVERAGE(QUERY(SORT(GOOGLEFINANCE(B1045,""price"",TODAY()-365,TODAY()),1,0),""select Col2 limit 10""))"),102.43299999999999)</f>
        <v>102.433</v>
      </c>
      <c r="J1045" s="17">
        <f>IFERROR(__xludf.DUMMYFUNCTION("AVERAGE(QUERY(SORT(GOOGLEFINANCE(B1045,""price"",TODAY()-365,TODAY()),1,0),""select Col2 limit 30""))"),102.63933333333333)</f>
        <v>102.6393333</v>
      </c>
      <c r="K1045" s="18">
        <f>IFERROR(__xludf.DUMMYFUNCTION("AVERAGE(QUERY(SORT(GOOGLEFINANCE(B1045,""price"",TODAY()-365,TODAY()),1,0),""select Col2 limit 60""))"),94.07983333333335)</f>
        <v>94.07983333</v>
      </c>
      <c r="L1045" s="17">
        <f>IFERROR(__xludf.DUMMYFUNCTION("AVERAGE(QUERY(SORT(GOOGLEFINANCE(B1045,""price"",TODAY()-365,TODAY()),1,0),""select Col2 limit 90""))"),88.32244444444446)</f>
        <v>88.32244444</v>
      </c>
      <c r="M1045" s="17">
        <f>IFERROR(__xludf.DUMMYFUNCTION("AVERAGE(QUERY(SORT(GOOGLEFINANCE(B1045,""price"",TODAY()-365,TODAY()),1,0),""select Col2 limit 120""))"),87.24691666666668)</f>
        <v>87.24691667</v>
      </c>
      <c r="N1045" s="19">
        <f>IFERROR(__xludf.DUMMYFUNCTION("AVERAGE(QUERY(SORT(GOOGLEFINANCE(B1045,""price"",TODAY()-365,TODAY()),1,0),""select Col2 limit 200""))"),95.78125000000001)</f>
        <v>95.78125</v>
      </c>
      <c r="O1045" s="20" t="str">
        <f t="shared" si="2"/>
        <v>Avoid</v>
      </c>
      <c r="P1045" s="21" t="str">
        <f t="shared" si="3"/>
        <v/>
      </c>
      <c r="Q1045" s="21" t="str">
        <f t="shared" si="4"/>
        <v/>
      </c>
      <c r="R1045" s="22" t="str">
        <f>IFERROR(__xludf.DUMMYFUNCTION("GOOGLEFINANCE(B1045, ""pe"")
"),"#N/A")</f>
        <v>#N/A</v>
      </c>
    </row>
    <row r="1046">
      <c r="A1046" s="9" t="s">
        <v>1056</v>
      </c>
      <c r="B1046" s="11" t="str">
        <f t="shared" si="1"/>
        <v>NSE:NITINSPIN</v>
      </c>
      <c r="C1046" s="12">
        <f>IFERROR(__xludf.DUMMYFUNCTION("GOOGLEFINANCE(B1046,""marketcap"")/10000000"),2152.3827343)</f>
        <v>2152.382734</v>
      </c>
      <c r="D1046" s="13">
        <f>IFERROR(__xludf.DUMMYFUNCTION("GOOGLEFINANCE(B1046,""price"")"),382.85)</f>
        <v>382.85</v>
      </c>
      <c r="E1046" s="14">
        <f>IFERROR(__xludf.DUMMYFUNCTION("GOOGLEFINANCE(B1046,""Volume"")"),27378.0)</f>
        <v>27378</v>
      </c>
      <c r="F1046" s="14">
        <f t="array" ref="F1046">F1045</f>
        <v>14</v>
      </c>
      <c r="G1046" s="15" t="str">
        <f>IFERROR(__xludf.DUMMYFUNCTION("IF(E1046&gt;AVERAGE(INDEX(GOOGLEFINANCE(B1046,""volume"",WORKDAY(TODAY(),-$F$1),TODAY()),,2)),""Breakout"","""")"),"")</f>
        <v/>
      </c>
      <c r="H1046" s="16">
        <f>IFERROR(__xludf.DUMMYFUNCTION("GOOGLEFINANCE(B1046,""price"")"),382.85)</f>
        <v>382.85</v>
      </c>
      <c r="I1046" s="17">
        <f>IFERROR(__xludf.DUMMYFUNCTION("AVERAGE(QUERY(SORT(GOOGLEFINANCE(B1046,""price"",TODAY()-365,TODAY()),1,0),""select Col2 limit 10""))"),391.06000000000006)</f>
        <v>391.06</v>
      </c>
      <c r="J1046" s="17">
        <f>IFERROR(__xludf.DUMMYFUNCTION("AVERAGE(QUERY(SORT(GOOGLEFINANCE(B1046,""price"",TODAY()-365,TODAY()),1,0),""select Col2 limit 30""))"),388.63)</f>
        <v>388.63</v>
      </c>
      <c r="K1046" s="18">
        <f>IFERROR(__xludf.DUMMYFUNCTION("AVERAGE(QUERY(SORT(GOOGLEFINANCE(B1046,""price"",TODAY()-365,TODAY()),1,0),""select Col2 limit 60""))"),389.32)</f>
        <v>389.32</v>
      </c>
      <c r="L1046" s="17">
        <f>IFERROR(__xludf.DUMMYFUNCTION("AVERAGE(QUERY(SORT(GOOGLEFINANCE(B1046,""price"",TODAY()-365,TODAY()),1,0),""select Col2 limit 90""))"),376.12888888888887)</f>
        <v>376.1288889</v>
      </c>
      <c r="M1046" s="17">
        <f>IFERROR(__xludf.DUMMYFUNCTION("AVERAGE(QUERY(SORT(GOOGLEFINANCE(B1046,""price"",TODAY()-365,TODAY()),1,0),""select Col2 limit 120""))"),368.8545833333332)</f>
        <v>368.8545833</v>
      </c>
      <c r="N1046" s="19">
        <f>IFERROR(__xludf.DUMMYFUNCTION("AVERAGE(QUERY(SORT(GOOGLEFINANCE(B1046,""price"",TODAY()-365,TODAY()),1,0),""select Col2 limit 200""))"),387.35475000000014)</f>
        <v>387.35475</v>
      </c>
      <c r="O1046" s="20" t="str">
        <f t="shared" si="2"/>
        <v>Avoid</v>
      </c>
      <c r="P1046" s="21" t="str">
        <f t="shared" si="3"/>
        <v/>
      </c>
      <c r="Q1046" s="21" t="str">
        <f t="shared" si="4"/>
        <v/>
      </c>
      <c r="R1046" s="22">
        <f>IFERROR(__xludf.DUMMYFUNCTION("GOOGLEFINANCE(B1046, ""pe"")
"),12.27)</f>
        <v>12.27</v>
      </c>
    </row>
    <row r="1047">
      <c r="A1047" s="9" t="s">
        <v>1057</v>
      </c>
      <c r="B1047" s="11" t="str">
        <f t="shared" si="1"/>
        <v>NSE:GOCLCORP</v>
      </c>
      <c r="C1047" s="12">
        <f>IFERROR(__xludf.DUMMYFUNCTION("GOOGLEFINANCE(B1047,""marketcap"")/10000000"),1801.7118461)</f>
        <v>1801.711846</v>
      </c>
      <c r="D1047" s="13">
        <f>IFERROR(__xludf.DUMMYFUNCTION("GOOGLEFINANCE(B1047,""price"")"),364.5)</f>
        <v>364.5</v>
      </c>
      <c r="E1047" s="14">
        <f>IFERROR(__xludf.DUMMYFUNCTION("GOOGLEFINANCE(B1047,""Volume"")"),29241.0)</f>
        <v>29241</v>
      </c>
      <c r="F1047" s="14">
        <f t="array" ref="F1047">F1046</f>
        <v>14</v>
      </c>
      <c r="G1047" s="15" t="str">
        <f>IFERROR(__xludf.DUMMYFUNCTION("IF(E1047&gt;AVERAGE(INDEX(GOOGLEFINANCE(B1047,""volume"",WORKDAY(TODAY(),-$F$1),TODAY()),,2)),""Breakout"","""")"),"#N/A")</f>
        <v>#N/A</v>
      </c>
      <c r="H1047" s="16">
        <f>IFERROR(__xludf.DUMMYFUNCTION("GOOGLEFINANCE(B1047,""price"")"),364.5)</f>
        <v>364.5</v>
      </c>
      <c r="I1047" s="17">
        <f>IFERROR(__xludf.DUMMYFUNCTION("AVERAGE(QUERY(SORT(GOOGLEFINANCE(B1047,""price"",TODAY()-365,TODAY()),1,0),""select Col2 limit 10""))"),393.015)</f>
        <v>393.015</v>
      </c>
      <c r="J1047" s="17">
        <f>IFERROR(__xludf.DUMMYFUNCTION("AVERAGE(QUERY(SORT(GOOGLEFINANCE(B1047,""price"",TODAY()-365,TODAY()),1,0),""select Col2 limit 30""))"),378.69999999999993)</f>
        <v>378.7</v>
      </c>
      <c r="K1047" s="18">
        <f>IFERROR(__xludf.DUMMYFUNCTION("AVERAGE(QUERY(SORT(GOOGLEFINANCE(B1047,""price"",TODAY()-365,TODAY()),1,0),""select Col2 limit 60""))"),346.2916666666666)</f>
        <v>346.2916667</v>
      </c>
      <c r="L1047" s="17">
        <f>IFERROR(__xludf.DUMMYFUNCTION("AVERAGE(QUERY(SORT(GOOGLEFINANCE(B1047,""price"",TODAY()-365,TODAY()),1,0),""select Col2 limit 90""))"),323.72888888888883)</f>
        <v>323.7288889</v>
      </c>
      <c r="M1047" s="17">
        <f>IFERROR(__xludf.DUMMYFUNCTION("AVERAGE(QUERY(SORT(GOOGLEFINANCE(B1047,""price"",TODAY()-365,TODAY()),1,0),""select Col2 limit 120""))"),321.2570833333332)</f>
        <v>321.2570833</v>
      </c>
      <c r="N1047" s="19">
        <f>IFERROR(__xludf.DUMMYFUNCTION("AVERAGE(QUERY(SORT(GOOGLEFINANCE(B1047,""price"",TODAY()-365,TODAY()),1,0),""select Col2 limit 200""))"),348.24174999999974)</f>
        <v>348.24175</v>
      </c>
      <c r="O1047" s="20" t="str">
        <f t="shared" si="2"/>
        <v>Avoid</v>
      </c>
      <c r="P1047" s="21" t="str">
        <f t="shared" si="3"/>
        <v/>
      </c>
      <c r="Q1047" s="21" t="str">
        <f t="shared" si="4"/>
        <v/>
      </c>
      <c r="R1047" s="22">
        <f>IFERROR(__xludf.DUMMYFUNCTION("GOOGLEFINANCE(B1047, ""pe"")
"),19.43)</f>
        <v>19.43</v>
      </c>
    </row>
    <row r="1048">
      <c r="A1048" s="9" t="s">
        <v>1058</v>
      </c>
      <c r="B1048" s="11" t="str">
        <f t="shared" si="1"/>
        <v>NSE:ANDHRAPAP</v>
      </c>
      <c r="C1048" s="12">
        <f>IFERROR(__xludf.DUMMYFUNCTION("GOOGLEFINANCE(B1048,""marketcap"")/10000000"),1551.03078)</f>
        <v>1551.03078</v>
      </c>
      <c r="D1048" s="13">
        <f>IFERROR(__xludf.DUMMYFUNCTION("GOOGLEFINANCE(B1048,""price"")"),78.0)</f>
        <v>78</v>
      </c>
      <c r="E1048" s="14">
        <f>IFERROR(__xludf.DUMMYFUNCTION("GOOGLEFINANCE(B1048,""Volume"")"),52795.0)</f>
        <v>52795</v>
      </c>
      <c r="F1048" s="14">
        <f t="array" ref="F1048">F1047</f>
        <v>14</v>
      </c>
      <c r="G1048" s="15" t="str">
        <f>IFERROR(__xludf.DUMMYFUNCTION("IF(E1048&gt;AVERAGE(INDEX(GOOGLEFINANCE(B1048,""volume"",WORKDAY(TODAY(),-$F$1),TODAY()),,2)),""Breakout"","""")"),"")</f>
        <v/>
      </c>
      <c r="H1048" s="16">
        <f>IFERROR(__xludf.DUMMYFUNCTION("GOOGLEFINANCE(B1048,""price"")"),78.0)</f>
        <v>78</v>
      </c>
      <c r="I1048" s="17" t="str">
        <f>IFERROR(__xludf.DUMMYFUNCTION("AVERAGE(QUERY(SORT(GOOGLEFINANCE(B1048,""price"",TODAY()-365,TODAY()),1,0),""select Col2 limit 10""))"),"#N/A")</f>
        <v>#N/A</v>
      </c>
      <c r="J1048" s="17" t="str">
        <f>IFERROR(__xludf.DUMMYFUNCTION("AVERAGE(QUERY(SORT(GOOGLEFINANCE(B1048,""price"",TODAY()-365,TODAY()),1,0),""select Col2 limit 30""))"),"#N/A")</f>
        <v>#N/A</v>
      </c>
      <c r="K1048" s="18" t="str">
        <f>IFERROR(__xludf.DUMMYFUNCTION("AVERAGE(QUERY(SORT(GOOGLEFINANCE(B1048,""price"",TODAY()-365,TODAY()),1,0),""select Col2 limit 60""))"),"#N/A")</f>
        <v>#N/A</v>
      </c>
      <c r="L1048" s="17" t="str">
        <f>IFERROR(__xludf.DUMMYFUNCTION("AVERAGE(QUERY(SORT(GOOGLEFINANCE(B1048,""price"",TODAY()-365,TODAY()),1,0),""select Col2 limit 90""))"),"#N/A")</f>
        <v>#N/A</v>
      </c>
      <c r="M1048" s="17" t="str">
        <f>IFERROR(__xludf.DUMMYFUNCTION("AVERAGE(QUERY(SORT(GOOGLEFINANCE(B1048,""price"",TODAY()-365,TODAY()),1,0),""select Col2 limit 120""))"),"#N/A")</f>
        <v>#N/A</v>
      </c>
      <c r="N1048" s="19" t="str">
        <f>IFERROR(__xludf.DUMMYFUNCTION("AVERAGE(QUERY(SORT(GOOGLEFINANCE(B1048,""price"",TODAY()-365,TODAY()),1,0),""select Col2 limit 200""))"),"#N/A")</f>
        <v>#N/A</v>
      </c>
      <c r="O1048" s="20" t="str">
        <f t="shared" si="2"/>
        <v>#N/A</v>
      </c>
      <c r="P1048" s="21" t="str">
        <f t="shared" si="3"/>
        <v>#N/A</v>
      </c>
      <c r="Q1048" s="21" t="str">
        <f t="shared" si="4"/>
        <v>#N/A</v>
      </c>
      <c r="R1048" s="22">
        <f>IFERROR(__xludf.DUMMYFUNCTION("GOOGLEFINANCE(B1048, ""pe"")
"),17.43)</f>
        <v>17.43</v>
      </c>
    </row>
    <row r="1049">
      <c r="A1049" s="9" t="s">
        <v>1059</v>
      </c>
      <c r="B1049" s="11" t="str">
        <f t="shared" si="1"/>
        <v>NSE:COSMOFIRST</v>
      </c>
      <c r="C1049" s="12">
        <f>IFERROR(__xludf.DUMMYFUNCTION("GOOGLEFINANCE(B1049,""marketcap"")/10000000"),2781.956)</f>
        <v>2781.956</v>
      </c>
      <c r="D1049" s="13">
        <f>IFERROR(__xludf.DUMMYFUNCTION("GOOGLEFINANCE(B1049,""price"")"),1058.9)</f>
        <v>1058.9</v>
      </c>
      <c r="E1049" s="14">
        <f>IFERROR(__xludf.DUMMYFUNCTION("GOOGLEFINANCE(B1049,""Volume"")"),32714.0)</f>
        <v>32714</v>
      </c>
      <c r="F1049" s="14">
        <f t="array" ref="F1049">F1048</f>
        <v>14</v>
      </c>
      <c r="G1049" s="15" t="str">
        <f>IFERROR(__xludf.DUMMYFUNCTION("IF(E1049&gt;AVERAGE(INDEX(GOOGLEFINANCE(B1049,""volume"",WORKDAY(TODAY(),-$F$1),TODAY()),,2)),""Breakout"","""")"),"")</f>
        <v/>
      </c>
      <c r="H1049" s="16">
        <f>IFERROR(__xludf.DUMMYFUNCTION("GOOGLEFINANCE(B1049,""price"")"),1058.9)</f>
        <v>1058.9</v>
      </c>
      <c r="I1049" s="17">
        <f>IFERROR(__xludf.DUMMYFUNCTION("AVERAGE(QUERY(SORT(GOOGLEFINANCE(B1049,""price"",TODAY()-365,TODAY()),1,0),""select Col2 limit 10""))"),1119.7)</f>
        <v>1119.7</v>
      </c>
      <c r="J1049" s="17">
        <f>IFERROR(__xludf.DUMMYFUNCTION("AVERAGE(QUERY(SORT(GOOGLEFINANCE(B1049,""price"",TODAY()-365,TODAY()),1,0),""select Col2 limit 30""))"),1163.003333333333)</f>
        <v>1163.003333</v>
      </c>
      <c r="K1049" s="18">
        <f>IFERROR(__xludf.DUMMYFUNCTION("AVERAGE(QUERY(SORT(GOOGLEFINANCE(B1049,""price"",TODAY()-365,TODAY()),1,0),""select Col2 limit 60""))"),1035.080833333333)</f>
        <v>1035.080833</v>
      </c>
      <c r="L1049" s="17">
        <f>IFERROR(__xludf.DUMMYFUNCTION("AVERAGE(QUERY(SORT(GOOGLEFINANCE(B1049,""price"",TODAY()-365,TODAY()),1,0),""select Col2 limit 90""))"),891.5938888888885)</f>
        <v>891.5938889</v>
      </c>
      <c r="M1049" s="17">
        <f>IFERROR(__xludf.DUMMYFUNCTION("AVERAGE(QUERY(SORT(GOOGLEFINANCE(B1049,""price"",TODAY()-365,TODAY()),1,0),""select Col2 limit 120""))"),834.5679166666661)</f>
        <v>834.5679167</v>
      </c>
      <c r="N1049" s="19">
        <f>IFERROR(__xludf.DUMMYFUNCTION("AVERAGE(QUERY(SORT(GOOGLEFINANCE(B1049,""price"",TODAY()-365,TODAY()),1,0),""select Col2 limit 200""))"),830.6939999999995)</f>
        <v>830.694</v>
      </c>
      <c r="O1049" s="20" t="str">
        <f t="shared" si="2"/>
        <v>Avoid</v>
      </c>
      <c r="P1049" s="21" t="str">
        <f t="shared" si="3"/>
        <v/>
      </c>
      <c r="Q1049" s="21" t="str">
        <f t="shared" si="4"/>
        <v/>
      </c>
      <c r="R1049" s="22">
        <f>IFERROR(__xludf.DUMMYFUNCTION("GOOGLEFINANCE(B1049, ""pe"")
"),6.67)</f>
        <v>6.67</v>
      </c>
    </row>
    <row r="1050">
      <c r="A1050" s="9" t="s">
        <v>1060</v>
      </c>
      <c r="B1050" s="11" t="str">
        <f t="shared" si="1"/>
        <v>NSE:BLKASHYAP</v>
      </c>
      <c r="C1050" s="12">
        <f>IFERROR(__xludf.DUMMYFUNCTION("GOOGLEFINANCE(B1050,""marketcap"")/10000000"),1623.3934881)</f>
        <v>1623.393488</v>
      </c>
      <c r="D1050" s="13">
        <f>IFERROR(__xludf.DUMMYFUNCTION("GOOGLEFINANCE(B1050,""price"")"),72.01)</f>
        <v>72.01</v>
      </c>
      <c r="E1050" s="14">
        <f>IFERROR(__xludf.DUMMYFUNCTION("GOOGLEFINANCE(B1050,""Volume"")"),278515.0)</f>
        <v>278515</v>
      </c>
      <c r="F1050" s="14">
        <f t="array" ref="F1050">F1049</f>
        <v>14</v>
      </c>
      <c r="G1050" s="15" t="str">
        <f>IFERROR(__xludf.DUMMYFUNCTION("IF(E1050&gt;AVERAGE(INDEX(GOOGLEFINANCE(B1050,""volume"",WORKDAY(TODAY(),-$F$1),TODAY()),,2)),""Breakout"","""")"),"")</f>
        <v/>
      </c>
      <c r="H1050" s="16">
        <f>IFERROR(__xludf.DUMMYFUNCTION("GOOGLEFINANCE(B1050,""price"")"),72.01)</f>
        <v>72.01</v>
      </c>
      <c r="I1050" s="17">
        <f>IFERROR(__xludf.DUMMYFUNCTION("AVERAGE(QUERY(SORT(GOOGLEFINANCE(B1050,""price"",TODAY()-365,TODAY()),1,0),""select Col2 limit 10""))"),70.053)</f>
        <v>70.053</v>
      </c>
      <c r="J1050" s="17">
        <f>IFERROR(__xludf.DUMMYFUNCTION("AVERAGE(QUERY(SORT(GOOGLEFINANCE(B1050,""price"",TODAY()-365,TODAY()),1,0),""select Col2 limit 30""))"),67.94333333333333)</f>
        <v>67.94333333</v>
      </c>
      <c r="K1050" s="18">
        <f>IFERROR(__xludf.DUMMYFUNCTION("AVERAGE(QUERY(SORT(GOOGLEFINANCE(B1050,""price"",TODAY()-365,TODAY()),1,0),""select Col2 limit 60""))"),68.463)</f>
        <v>68.463</v>
      </c>
      <c r="L1050" s="17">
        <f>IFERROR(__xludf.DUMMYFUNCTION("AVERAGE(QUERY(SORT(GOOGLEFINANCE(B1050,""price"",TODAY()-365,TODAY()),1,0),""select Col2 limit 90""))"),64.4418888888889)</f>
        <v>64.44188889</v>
      </c>
      <c r="M1050" s="17">
        <f>IFERROR(__xludf.DUMMYFUNCTION("AVERAGE(QUERY(SORT(GOOGLEFINANCE(B1050,""price"",TODAY()-365,TODAY()),1,0),""select Col2 limit 120""))"),62.035499999999985)</f>
        <v>62.0355</v>
      </c>
      <c r="N1050" s="19">
        <f>IFERROR(__xludf.DUMMYFUNCTION("AVERAGE(QUERY(SORT(GOOGLEFINANCE(B1050,""price"",TODAY()-365,TODAY()),1,0),""select Col2 limit 200""))"),68.39829999999996)</f>
        <v>68.3983</v>
      </c>
      <c r="O1050" s="20" t="str">
        <f t="shared" si="2"/>
        <v>Avoid</v>
      </c>
      <c r="P1050" s="21" t="str">
        <f t="shared" si="3"/>
        <v/>
      </c>
      <c r="Q1050" s="21" t="str">
        <f t="shared" si="4"/>
        <v/>
      </c>
      <c r="R1050" s="22">
        <f>IFERROR(__xludf.DUMMYFUNCTION("GOOGLEFINANCE(B1050, ""pe"")
"),59.02)</f>
        <v>59.02</v>
      </c>
    </row>
    <row r="1051">
      <c r="A1051" s="9" t="s">
        <v>1061</v>
      </c>
      <c r="B1051" s="11" t="str">
        <f t="shared" si="1"/>
        <v>NSE:NSIL</v>
      </c>
      <c r="C1051" s="12">
        <f>IFERROR(__xludf.DUMMYFUNCTION("GOOGLEFINANCE(B1051,""marketcap"")/10000000"),3523.407132)</f>
        <v>3523.407132</v>
      </c>
      <c r="D1051" s="13">
        <f>IFERROR(__xludf.DUMMYFUNCTION("GOOGLEFINANCE(B1051,""price"")"),6860.0)</f>
        <v>6860</v>
      </c>
      <c r="E1051" s="14">
        <f>IFERROR(__xludf.DUMMYFUNCTION("GOOGLEFINANCE(B1051,""Volume"")"),2899.0)</f>
        <v>2899</v>
      </c>
      <c r="F1051" s="14">
        <f t="array" ref="F1051">F1050</f>
        <v>14</v>
      </c>
      <c r="G1051" s="15" t="str">
        <f>IFERROR(__xludf.DUMMYFUNCTION("IF(E1051&gt;AVERAGE(INDEX(GOOGLEFINANCE(B1051,""volume"",WORKDAY(TODAY(),-$F$1),TODAY()),,2)),""Breakout"","""")"),"")</f>
        <v/>
      </c>
      <c r="H1051" s="16">
        <f>IFERROR(__xludf.DUMMYFUNCTION("GOOGLEFINANCE(B1051,""price"")"),6860.0)</f>
        <v>6860</v>
      </c>
      <c r="I1051" s="17">
        <f>IFERROR(__xludf.DUMMYFUNCTION("AVERAGE(QUERY(SORT(GOOGLEFINANCE(B1051,""price"",TODAY()-365,TODAY()),1,0),""select Col2 limit 10""))"),7159.15)</f>
        <v>7159.15</v>
      </c>
      <c r="J1051" s="17">
        <f>IFERROR(__xludf.DUMMYFUNCTION("AVERAGE(QUERY(SORT(GOOGLEFINANCE(B1051,""price"",TODAY()-365,TODAY()),1,0),""select Col2 limit 30""))"),7042.283333333334)</f>
        <v>7042.283333</v>
      </c>
      <c r="K1051" s="18">
        <f>IFERROR(__xludf.DUMMYFUNCTION("AVERAGE(QUERY(SORT(GOOGLEFINANCE(B1051,""price"",TODAY()-365,TODAY()),1,0),""select Col2 limit 60""))"),6950.008333333333)</f>
        <v>6950.008333</v>
      </c>
      <c r="L1051" s="17">
        <f>IFERROR(__xludf.DUMMYFUNCTION("AVERAGE(QUERY(SORT(GOOGLEFINANCE(B1051,""price"",TODAY()-365,TODAY()),1,0),""select Col2 limit 90""))"),6883.267777777782)</f>
        <v>6883.267778</v>
      </c>
      <c r="M1051" s="17">
        <f>IFERROR(__xludf.DUMMYFUNCTION("AVERAGE(QUERY(SORT(GOOGLEFINANCE(B1051,""price"",TODAY()-365,TODAY()),1,0),""select Col2 limit 120""))"),6516.344583333335)</f>
        <v>6516.344583</v>
      </c>
      <c r="N1051" s="19">
        <f>IFERROR(__xludf.DUMMYFUNCTION("AVERAGE(QUERY(SORT(GOOGLEFINANCE(B1051,""price"",TODAY()-365,TODAY()),1,0),""select Col2 limit 200""))"),6792.162000000002)</f>
        <v>6792.162</v>
      </c>
      <c r="O1051" s="20" t="str">
        <f t="shared" si="2"/>
        <v>Avoid</v>
      </c>
      <c r="P1051" s="21" t="str">
        <f t="shared" si="3"/>
        <v>90 DMA</v>
      </c>
      <c r="Q1051" s="21" t="str">
        <f t="shared" si="4"/>
        <v/>
      </c>
      <c r="R1051" s="22">
        <f>IFERROR(__xludf.DUMMYFUNCTION("GOOGLEFINANCE(B1051, ""pe"")
"),76.67)</f>
        <v>76.67</v>
      </c>
    </row>
    <row r="1052">
      <c r="A1052" s="9" t="s">
        <v>1062</v>
      </c>
      <c r="B1052" s="11" t="str">
        <f t="shared" si="1"/>
        <v>NSE:INSECTICID</v>
      </c>
      <c r="C1052" s="12">
        <f>IFERROR(__xludf.DUMMYFUNCTION("GOOGLEFINANCE(B1052,""marketcap"")/10000000"),3052.9452307)</f>
        <v>3052.945231</v>
      </c>
      <c r="D1052" s="13">
        <f>IFERROR(__xludf.DUMMYFUNCTION("GOOGLEFINANCE(B1052,""price"")"),1051.25)</f>
        <v>1051.25</v>
      </c>
      <c r="E1052" s="14">
        <f>IFERROR(__xludf.DUMMYFUNCTION("GOOGLEFINANCE(B1052,""Volume"")"),97974.0)</f>
        <v>97974</v>
      </c>
      <c r="F1052" s="14">
        <f t="array" ref="F1052">F1051</f>
        <v>14</v>
      </c>
      <c r="G1052" s="15" t="str">
        <f>IFERROR(__xludf.DUMMYFUNCTION("IF(E1052&gt;AVERAGE(INDEX(GOOGLEFINANCE(B1052,""volume"",WORKDAY(TODAY(),-$F$1),TODAY()),,2)),""Breakout"","""")"),"Breakout")</f>
        <v>Breakout</v>
      </c>
      <c r="H1052" s="16">
        <f>IFERROR(__xludf.DUMMYFUNCTION("GOOGLEFINANCE(B1052,""price"")"),1051.25)</f>
        <v>1051.25</v>
      </c>
      <c r="I1052" s="17">
        <f>IFERROR(__xludf.DUMMYFUNCTION("AVERAGE(QUERY(SORT(GOOGLEFINANCE(B1052,""price"",TODAY()-365,TODAY()),1,0),""select Col2 limit 10""))"),998.585)</f>
        <v>998.585</v>
      </c>
      <c r="J1052" s="17">
        <f>IFERROR(__xludf.DUMMYFUNCTION("AVERAGE(QUERY(SORT(GOOGLEFINANCE(B1052,""price"",TODAY()-365,TODAY()),1,0),""select Col2 limit 30""))"),963.6200000000002)</f>
        <v>963.62</v>
      </c>
      <c r="K1052" s="18">
        <f>IFERROR(__xludf.DUMMYFUNCTION("AVERAGE(QUERY(SORT(GOOGLEFINANCE(B1052,""price"",TODAY()-365,TODAY()),1,0),""select Col2 limit 60""))"),872.4450000000003)</f>
        <v>872.445</v>
      </c>
      <c r="L1052" s="17">
        <f>IFERROR(__xludf.DUMMYFUNCTION("AVERAGE(QUERY(SORT(GOOGLEFINANCE(B1052,""price"",TODAY()-365,TODAY()),1,0),""select Col2 limit 90""))"),797.2600000000004)</f>
        <v>797.26</v>
      </c>
      <c r="M1052" s="17">
        <f>IFERROR(__xludf.DUMMYFUNCTION("AVERAGE(QUERY(SORT(GOOGLEFINANCE(B1052,""price"",TODAY()-365,TODAY()),1,0),""select Col2 limit 120""))"),746.1558333333337)</f>
        <v>746.1558333</v>
      </c>
      <c r="N1052" s="19">
        <f>IFERROR(__xludf.DUMMYFUNCTION("AVERAGE(QUERY(SORT(GOOGLEFINANCE(B1052,""price"",TODAY()-365,TODAY()),1,0),""select Col2 limit 200""))"),743.4065000000003)</f>
        <v>743.4065</v>
      </c>
      <c r="O1052" s="20" t="str">
        <f t="shared" si="2"/>
        <v>Avoid</v>
      </c>
      <c r="P1052" s="21" t="str">
        <f t="shared" si="3"/>
        <v/>
      </c>
      <c r="Q1052" s="21" t="str">
        <f t="shared" si="4"/>
        <v/>
      </c>
      <c r="R1052" s="22">
        <f>IFERROR(__xludf.DUMMYFUNCTION("GOOGLEFINANCE(B1052, ""pe"")
"),21.73)</f>
        <v>21.73</v>
      </c>
    </row>
    <row r="1053">
      <c r="A1053" s="9" t="s">
        <v>1063</v>
      </c>
      <c r="B1053" s="11" t="str">
        <f t="shared" si="1"/>
        <v>NSE:UNIPARTS</v>
      </c>
      <c r="C1053" s="12">
        <f>IFERROR(__xludf.DUMMYFUNCTION("GOOGLEFINANCE(B1053,""marketcap"")/10000000"),1627.333128)</f>
        <v>1627.333128</v>
      </c>
      <c r="D1053" s="13">
        <f>IFERROR(__xludf.DUMMYFUNCTION("GOOGLEFINANCE(B1053,""price"")"),361.9)</f>
        <v>361.9</v>
      </c>
      <c r="E1053" s="14">
        <f>IFERROR(__xludf.DUMMYFUNCTION("GOOGLEFINANCE(B1053,""Volume"")"),21098.0)</f>
        <v>21098</v>
      </c>
      <c r="F1053" s="14">
        <f t="array" ref="F1053">F1052</f>
        <v>14</v>
      </c>
      <c r="G1053" s="15" t="str">
        <f>IFERROR(__xludf.DUMMYFUNCTION("IF(E1053&gt;AVERAGE(INDEX(GOOGLEFINANCE(B1053,""volume"",WORKDAY(TODAY(),-$F$1),TODAY()),,2)),""Breakout"","""")"),"")</f>
        <v/>
      </c>
      <c r="H1053" s="16">
        <f>IFERROR(__xludf.DUMMYFUNCTION("GOOGLEFINANCE(B1053,""price"")"),361.9)</f>
        <v>361.9</v>
      </c>
      <c r="I1053" s="17">
        <f>IFERROR(__xludf.DUMMYFUNCTION("AVERAGE(QUERY(SORT(GOOGLEFINANCE(B1053,""price"",TODAY()-365,TODAY()),1,0),""select Col2 limit 10""))"),383.75000000000006)</f>
        <v>383.75</v>
      </c>
      <c r="J1053" s="17">
        <f>IFERROR(__xludf.DUMMYFUNCTION("AVERAGE(QUERY(SORT(GOOGLEFINANCE(B1053,""price"",TODAY()-365,TODAY()),1,0),""select Col2 limit 30""))"),388.20833333333326)</f>
        <v>388.2083333</v>
      </c>
      <c r="K1053" s="18">
        <f>IFERROR(__xludf.DUMMYFUNCTION("AVERAGE(QUERY(SORT(GOOGLEFINANCE(B1053,""price"",TODAY()-365,TODAY()),1,0),""select Col2 limit 60""))"),368.52333333333337)</f>
        <v>368.5233333</v>
      </c>
      <c r="L1053" s="17">
        <f>IFERROR(__xludf.DUMMYFUNCTION("AVERAGE(QUERY(SORT(GOOGLEFINANCE(B1053,""price"",TODAY()-365,TODAY()),1,0),""select Col2 limit 90""))"),352.59777777777776)</f>
        <v>352.5977778</v>
      </c>
      <c r="M1053" s="17">
        <f>IFERROR(__xludf.DUMMYFUNCTION("AVERAGE(QUERY(SORT(GOOGLEFINANCE(B1053,""price"",TODAY()-365,TODAY()),1,0),""select Col2 limit 120""))"),348.0941666666665)</f>
        <v>348.0941667</v>
      </c>
      <c r="N1053" s="19">
        <f>IFERROR(__xludf.DUMMYFUNCTION("AVERAGE(QUERY(SORT(GOOGLEFINANCE(B1053,""price"",TODAY()-365,TODAY()),1,0),""select Col2 limit 200""))"),377.0335)</f>
        <v>377.0335</v>
      </c>
      <c r="O1053" s="20" t="str">
        <f t="shared" si="2"/>
        <v>Avoid</v>
      </c>
      <c r="P1053" s="21" t="str">
        <f t="shared" si="3"/>
        <v/>
      </c>
      <c r="Q1053" s="21" t="str">
        <f t="shared" si="4"/>
        <v/>
      </c>
      <c r="R1053" s="22">
        <f>IFERROR(__xludf.DUMMYFUNCTION("GOOGLEFINANCE(B1053, ""pe"")
"),18.51)</f>
        <v>18.51</v>
      </c>
    </row>
    <row r="1054">
      <c r="A1054" s="9" t="s">
        <v>1064</v>
      </c>
      <c r="B1054" s="11" t="str">
        <f t="shared" si="1"/>
        <v>NSE:JUBLINDS</v>
      </c>
      <c r="C1054" s="12" t="str">
        <f>IFERROR(__xludf.DUMMYFUNCTION("GOOGLEFINANCE(B1054,""marketcap"")/10000000"),"#N/A")</f>
        <v>#N/A</v>
      </c>
      <c r="D1054" s="13" t="str">
        <f>IFERROR(__xludf.DUMMYFUNCTION("GOOGLEFINANCE(B1054,""price"")"),"#N/A")</f>
        <v>#N/A</v>
      </c>
      <c r="E1054" s="14" t="str">
        <f>IFERROR(__xludf.DUMMYFUNCTION("GOOGLEFINANCE(B1054,""Volume"")"),"#N/A")</f>
        <v>#N/A</v>
      </c>
      <c r="F1054" s="14">
        <f t="array" ref="F1054">F1053</f>
        <v>14</v>
      </c>
      <c r="G1054" s="15" t="str">
        <f>IFERROR(__xludf.DUMMYFUNCTION("IF(E1054&gt;AVERAGE(INDEX(GOOGLEFINANCE(B1054,""volume"",WORKDAY(TODAY(),-$F$1),TODAY()),,2)),""Breakout"","""")"),"#N/A")</f>
        <v>#N/A</v>
      </c>
      <c r="H1054" s="16" t="str">
        <f>IFERROR(__xludf.DUMMYFUNCTION("GOOGLEFINANCE(B1054,""price"")"),"#N/A")</f>
        <v>#N/A</v>
      </c>
      <c r="I1054" s="17" t="str">
        <f>IFERROR(__xludf.DUMMYFUNCTION("AVERAGE(QUERY(SORT(GOOGLEFINANCE(B1054,""price"",TODAY()-365,TODAY()),1,0),""select Col2 limit 10""))"),"#N/A")</f>
        <v>#N/A</v>
      </c>
      <c r="J1054" s="17" t="str">
        <f>IFERROR(__xludf.DUMMYFUNCTION("AVERAGE(QUERY(SORT(GOOGLEFINANCE(B1054,""price"",TODAY()-365,TODAY()),1,0),""select Col2 limit 30""))"),"#N/A")</f>
        <v>#N/A</v>
      </c>
      <c r="K1054" s="18" t="str">
        <f>IFERROR(__xludf.DUMMYFUNCTION("AVERAGE(QUERY(SORT(GOOGLEFINANCE(B1054,""price"",TODAY()-365,TODAY()),1,0),""select Col2 limit 60""))"),"#N/A")</f>
        <v>#N/A</v>
      </c>
      <c r="L1054" s="17" t="str">
        <f>IFERROR(__xludf.DUMMYFUNCTION("AVERAGE(QUERY(SORT(GOOGLEFINANCE(B1054,""price"",TODAY()-365,TODAY()),1,0),""select Col2 limit 90""))"),"#N/A")</f>
        <v>#N/A</v>
      </c>
      <c r="M1054" s="17" t="str">
        <f>IFERROR(__xludf.DUMMYFUNCTION("AVERAGE(QUERY(SORT(GOOGLEFINANCE(B1054,""price"",TODAY()-365,TODAY()),1,0),""select Col2 limit 120""))"),"#N/A")</f>
        <v>#N/A</v>
      </c>
      <c r="N1054" s="19" t="str">
        <f>IFERROR(__xludf.DUMMYFUNCTION("AVERAGE(QUERY(SORT(GOOGLEFINANCE(B1054,""price"",TODAY()-365,TODAY()),1,0),""select Col2 limit 200""))"),"#N/A")</f>
        <v>#N/A</v>
      </c>
      <c r="O1054" s="20" t="str">
        <f t="shared" si="2"/>
        <v>#N/A</v>
      </c>
      <c r="P1054" s="21" t="str">
        <f t="shared" si="3"/>
        <v>#N/A</v>
      </c>
      <c r="Q1054" s="21" t="str">
        <f t="shared" si="4"/>
        <v>#N/A</v>
      </c>
      <c r="R1054" s="22" t="str">
        <f>IFERROR(__xludf.DUMMYFUNCTION("GOOGLEFINANCE(B1054, ""pe"")
"),"#N/A")</f>
        <v>#N/A</v>
      </c>
    </row>
    <row r="1055">
      <c r="A1055" s="9" t="s">
        <v>1065</v>
      </c>
      <c r="B1055" s="11" t="str">
        <f t="shared" si="1"/>
        <v>NSE:AXISCADES</v>
      </c>
      <c r="C1055" s="12">
        <f>IFERROR(__xludf.DUMMYFUNCTION("GOOGLEFINANCE(B1055,""marketcap"")/10000000"),5630.938625)</f>
        <v>5630.938625</v>
      </c>
      <c r="D1055" s="13">
        <f>IFERROR(__xludf.DUMMYFUNCTION("GOOGLEFINANCE(B1055,""price"")"),1325.0)</f>
        <v>1325</v>
      </c>
      <c r="E1055" s="14">
        <f>IFERROR(__xludf.DUMMYFUNCTION("GOOGLEFINANCE(B1055,""Volume"")"),38875.0)</f>
        <v>38875</v>
      </c>
      <c r="F1055" s="14">
        <f t="array" ref="F1055">F1054</f>
        <v>14</v>
      </c>
      <c r="G1055" s="15" t="str">
        <f>IFERROR(__xludf.DUMMYFUNCTION("IF(E1055&gt;AVERAGE(INDEX(GOOGLEFINANCE(B1055,""volume"",WORKDAY(TODAY(),-$F$1),TODAY()),,2)),""Breakout"","""")"),"")</f>
        <v/>
      </c>
      <c r="H1055" s="16">
        <f>IFERROR(__xludf.DUMMYFUNCTION("GOOGLEFINANCE(B1055,""price"")"),1325.0)</f>
        <v>1325</v>
      </c>
      <c r="I1055" s="17">
        <f>IFERROR(__xludf.DUMMYFUNCTION("AVERAGE(QUERY(SORT(GOOGLEFINANCE(B1055,""price"",TODAY()-365,TODAY()),1,0),""select Col2 limit 10""))"),1378.5099999999998)</f>
        <v>1378.51</v>
      </c>
      <c r="J1055" s="17">
        <f>IFERROR(__xludf.DUMMYFUNCTION("AVERAGE(QUERY(SORT(GOOGLEFINANCE(B1055,""price"",TODAY()-365,TODAY()),1,0),""select Col2 limit 30""))"),1391.2866666666669)</f>
        <v>1391.286667</v>
      </c>
      <c r="K1055" s="18">
        <f>IFERROR(__xludf.DUMMYFUNCTION("AVERAGE(QUERY(SORT(GOOGLEFINANCE(B1055,""price"",TODAY()-365,TODAY()),1,0),""select Col2 limit 60""))"),1185.3583333333333)</f>
        <v>1185.358333</v>
      </c>
      <c r="L1055" s="17">
        <f>IFERROR(__xludf.DUMMYFUNCTION("AVERAGE(QUERY(SORT(GOOGLEFINANCE(B1055,""price"",TODAY()-365,TODAY()),1,0),""select Col2 limit 90""))"),1076.9772222222223)</f>
        <v>1076.977222</v>
      </c>
      <c r="M1055" s="17">
        <f>IFERROR(__xludf.DUMMYFUNCTION("AVERAGE(QUERY(SORT(GOOGLEFINANCE(B1055,""price"",TODAY()-365,TODAY()),1,0),""select Col2 limit 120""))"),993.6549999999999)</f>
        <v>993.655</v>
      </c>
      <c r="N1055" s="19">
        <f>IFERROR(__xludf.DUMMYFUNCTION("AVERAGE(QUERY(SORT(GOOGLEFINANCE(B1055,""price"",TODAY()-365,TODAY()),1,0),""select Col2 limit 200""))"),826.4405000000002)</f>
        <v>826.4405</v>
      </c>
      <c r="O1055" s="20" t="str">
        <f t="shared" si="2"/>
        <v>Avoid</v>
      </c>
      <c r="P1055" s="21" t="str">
        <f t="shared" si="3"/>
        <v/>
      </c>
      <c r="Q1055" s="21" t="str">
        <f t="shared" si="4"/>
        <v/>
      </c>
      <c r="R1055" s="22">
        <f>IFERROR(__xludf.DUMMYFUNCTION("GOOGLEFINANCE(B1055, ""pe"")
"),76.95)</f>
        <v>76.95</v>
      </c>
    </row>
    <row r="1056">
      <c r="A1056" s="9" t="s">
        <v>1066</v>
      </c>
      <c r="B1056" s="11" t="str">
        <f t="shared" si="1"/>
        <v>NSE:VAKRANGEE</v>
      </c>
      <c r="C1056" s="12">
        <f>IFERROR(__xludf.DUMMYFUNCTION("GOOGLEFINANCE(B1056,""marketcap"")/10000000"),1034.4474256)</f>
        <v>1034.447426</v>
      </c>
      <c r="D1056" s="13">
        <f>IFERROR(__xludf.DUMMYFUNCTION("GOOGLEFINANCE(B1056,""price"")"),9.55)</f>
        <v>9.55</v>
      </c>
      <c r="E1056" s="14">
        <f>IFERROR(__xludf.DUMMYFUNCTION("GOOGLEFINANCE(B1056,""Volume"")"),1064911.0)</f>
        <v>1064911</v>
      </c>
      <c r="F1056" s="14">
        <f t="array" ref="F1056">F1055</f>
        <v>14</v>
      </c>
      <c r="G1056" s="15" t="str">
        <f>IFERROR(__xludf.DUMMYFUNCTION("IF(E1056&gt;AVERAGE(INDEX(GOOGLEFINANCE(B1056,""volume"",WORKDAY(TODAY(),-$F$1),TODAY()),,2)),""Breakout"","""")"),"")</f>
        <v/>
      </c>
      <c r="H1056" s="16">
        <f>IFERROR(__xludf.DUMMYFUNCTION("GOOGLEFINANCE(B1056,""price"")"),9.55)</f>
        <v>9.55</v>
      </c>
      <c r="I1056" s="17">
        <f>IFERROR(__xludf.DUMMYFUNCTION("AVERAGE(QUERY(SORT(GOOGLEFINANCE(B1056,""price"",TODAY()-365,TODAY()),1,0),""select Col2 limit 10""))"),9.863)</f>
        <v>9.863</v>
      </c>
      <c r="J1056" s="17">
        <f>IFERROR(__xludf.DUMMYFUNCTION("AVERAGE(QUERY(SORT(GOOGLEFINANCE(B1056,""price"",TODAY()-365,TODAY()),1,0),""select Col2 limit 30""))"),9.818999999999999)</f>
        <v>9.819</v>
      </c>
      <c r="K1056" s="18">
        <f>IFERROR(__xludf.DUMMYFUNCTION("AVERAGE(QUERY(SORT(GOOGLEFINANCE(B1056,""price"",TODAY()-365,TODAY()),1,0),""select Col2 limit 60""))"),9.937166666666664)</f>
        <v>9.937166667</v>
      </c>
      <c r="L1056" s="17">
        <f>IFERROR(__xludf.DUMMYFUNCTION("AVERAGE(QUERY(SORT(GOOGLEFINANCE(B1056,""price"",TODAY()-365,TODAY()),1,0),""select Col2 limit 90""))"),10.126666666666663)</f>
        <v>10.12666667</v>
      </c>
      <c r="M1056" s="17">
        <f>IFERROR(__xludf.DUMMYFUNCTION("AVERAGE(QUERY(SORT(GOOGLEFINANCE(B1056,""price"",TODAY()-365,TODAY()),1,0),""select Col2 limit 120""))"),11.584249999999992)</f>
        <v>11.58425</v>
      </c>
      <c r="N1056" s="19">
        <f>IFERROR(__xludf.DUMMYFUNCTION("AVERAGE(QUERY(SORT(GOOGLEFINANCE(B1056,""price"",TODAY()-365,TODAY()),1,0),""select Col2 limit 200""))"),18.455699999999982)</f>
        <v>18.4557</v>
      </c>
      <c r="O1056" s="20" t="str">
        <f t="shared" si="2"/>
        <v>Avoid</v>
      </c>
      <c r="P1056" s="21" t="str">
        <f t="shared" si="3"/>
        <v/>
      </c>
      <c r="Q1056" s="21" t="str">
        <f t="shared" si="4"/>
        <v/>
      </c>
      <c r="R1056" s="22">
        <f>IFERROR(__xludf.DUMMYFUNCTION("GOOGLEFINANCE(B1056, ""pe"")
"),159.17)</f>
        <v>159.17</v>
      </c>
    </row>
    <row r="1057">
      <c r="A1057" s="9" t="s">
        <v>1067</v>
      </c>
      <c r="B1057" s="11" t="str">
        <f t="shared" si="1"/>
        <v>NSE:TCPLPACK</v>
      </c>
      <c r="C1057" s="12">
        <f>IFERROR(__xludf.DUMMYFUNCTION("GOOGLEFINANCE(B1057,""marketcap"")/10000000"),3263.3369052)</f>
        <v>3263.336905</v>
      </c>
      <c r="D1057" s="13">
        <f>IFERROR(__xludf.DUMMYFUNCTION("GOOGLEFINANCE(B1057,""price"")"),3596.0)</f>
        <v>3596</v>
      </c>
      <c r="E1057" s="14">
        <f>IFERROR(__xludf.DUMMYFUNCTION("GOOGLEFINANCE(B1057,""Volume"")"),3373.0)</f>
        <v>3373</v>
      </c>
      <c r="F1057" s="14">
        <f t="array" ref="F1057">F1056</f>
        <v>14</v>
      </c>
      <c r="G1057" s="15" t="str">
        <f>IFERROR(__xludf.DUMMYFUNCTION("IF(E1057&gt;AVERAGE(INDEX(GOOGLEFINANCE(B1057,""volume"",WORKDAY(TODAY(),-$F$1),TODAY()),,2)),""Breakout"","""")"),"#N/A")</f>
        <v>#N/A</v>
      </c>
      <c r="H1057" s="16">
        <f>IFERROR(__xludf.DUMMYFUNCTION("GOOGLEFINANCE(B1057,""price"")"),3596.0)</f>
        <v>3596</v>
      </c>
      <c r="I1057" s="17">
        <f>IFERROR(__xludf.DUMMYFUNCTION("AVERAGE(QUERY(SORT(GOOGLEFINANCE(B1057,""price"",TODAY()-365,TODAY()),1,0),""select Col2 limit 10""))"),3753.6899999999996)</f>
        <v>3753.69</v>
      </c>
      <c r="J1057" s="17">
        <f>IFERROR(__xludf.DUMMYFUNCTION("AVERAGE(QUERY(SORT(GOOGLEFINANCE(B1057,""price"",TODAY()-365,TODAY()),1,0),""select Col2 limit 30""))"),3719.56)</f>
        <v>3719.56</v>
      </c>
      <c r="K1057" s="18">
        <f>IFERROR(__xludf.DUMMYFUNCTION("AVERAGE(QUERY(SORT(GOOGLEFINANCE(B1057,""price"",TODAY()-365,TODAY()),1,0),""select Col2 limit 60""))"),3799.889999999999)</f>
        <v>3799.89</v>
      </c>
      <c r="L1057" s="17">
        <f>IFERROR(__xludf.DUMMYFUNCTION("AVERAGE(QUERY(SORT(GOOGLEFINANCE(B1057,""price"",TODAY()-365,TODAY()),1,0),""select Col2 limit 90""))"),3915.6627777777767)</f>
        <v>3915.662778</v>
      </c>
      <c r="M1057" s="17">
        <f>IFERROR(__xludf.DUMMYFUNCTION("AVERAGE(QUERY(SORT(GOOGLEFINANCE(B1057,""price"",TODAY()-365,TODAY()),1,0),""select Col2 limit 120""))"),3873.1637499999997)</f>
        <v>3873.16375</v>
      </c>
      <c r="N1057" s="19">
        <f>IFERROR(__xludf.DUMMYFUNCTION("AVERAGE(QUERY(SORT(GOOGLEFINANCE(B1057,""price"",TODAY()-365,TODAY()),1,0),""select Col2 limit 200""))"),3615.77025)</f>
        <v>3615.77025</v>
      </c>
      <c r="O1057" s="20" t="str">
        <f t="shared" si="2"/>
        <v>Avoid</v>
      </c>
      <c r="P1057" s="21" t="str">
        <f t="shared" si="3"/>
        <v>200 DMA</v>
      </c>
      <c r="Q1057" s="21" t="str">
        <f t="shared" si="4"/>
        <v/>
      </c>
      <c r="R1057" s="22">
        <f>IFERROR(__xludf.DUMMYFUNCTION("GOOGLEFINANCE(B1057, ""pe"")
"),22.89)</f>
        <v>22.89</v>
      </c>
    </row>
    <row r="1058">
      <c r="A1058" s="9" t="s">
        <v>1068</v>
      </c>
      <c r="B1058" s="11" t="str">
        <f t="shared" si="1"/>
        <v>NSE:ROSSELLIND</v>
      </c>
      <c r="C1058" s="12">
        <f>IFERROR(__xludf.DUMMYFUNCTION("GOOGLEFINANCE(B1058,""marketcap"")/10000000"),255.2427949)</f>
        <v>255.2427949</v>
      </c>
      <c r="D1058" s="13">
        <f>IFERROR(__xludf.DUMMYFUNCTION("GOOGLEFINANCE(B1058,""price"")"),67.78)</f>
        <v>67.78</v>
      </c>
      <c r="E1058" s="14">
        <f>IFERROR(__xludf.DUMMYFUNCTION("GOOGLEFINANCE(B1058,""Volume"")"),6429.0)</f>
        <v>6429</v>
      </c>
      <c r="F1058" s="14">
        <f t="array" ref="F1058">F1057</f>
        <v>14</v>
      </c>
      <c r="G1058" s="15" t="str">
        <f>IFERROR(__xludf.DUMMYFUNCTION("IF(E1058&gt;AVERAGE(INDEX(GOOGLEFINANCE(B1058,""volume"",WORKDAY(TODAY(),-$F$1),TODAY()),,2)),""Breakout"","""")"),"")</f>
        <v/>
      </c>
      <c r="H1058" s="16">
        <f>IFERROR(__xludf.DUMMYFUNCTION("GOOGLEFINANCE(B1058,""price"")"),67.78)</f>
        <v>67.78</v>
      </c>
      <c r="I1058" s="17">
        <f>IFERROR(__xludf.DUMMYFUNCTION("AVERAGE(QUERY(SORT(GOOGLEFINANCE(B1058,""price"",TODAY()-365,TODAY()),1,0),""select Col2 limit 10""))"),69.075)</f>
        <v>69.075</v>
      </c>
      <c r="J1058" s="17">
        <f>IFERROR(__xludf.DUMMYFUNCTION("AVERAGE(QUERY(SORT(GOOGLEFINANCE(B1058,""price"",TODAY()-365,TODAY()),1,0),""select Col2 limit 30""))"),70.23099999999998)</f>
        <v>70.231</v>
      </c>
      <c r="K1058" s="18">
        <f>IFERROR(__xludf.DUMMYFUNCTION("AVERAGE(QUERY(SORT(GOOGLEFINANCE(B1058,""price"",TODAY()-365,TODAY()),1,0),""select Col2 limit 60""))"),70.90883333333333)</f>
        <v>70.90883333</v>
      </c>
      <c r="L1058" s="17">
        <f>IFERROR(__xludf.DUMMYFUNCTION("AVERAGE(QUERY(SORT(GOOGLEFINANCE(B1058,""price"",TODAY()-365,TODAY()),1,0),""select Col2 limit 90""))"),69.85655555555554)</f>
        <v>69.85655556</v>
      </c>
      <c r="M1058" s="17">
        <f>IFERROR(__xludf.DUMMYFUNCTION("AVERAGE(QUERY(SORT(GOOGLEFINANCE(B1058,""price"",TODAY()-365,TODAY()),1,0),""select Col2 limit 120""))"),68.17574999999998)</f>
        <v>68.17575</v>
      </c>
      <c r="N1058" s="19">
        <f>IFERROR(__xludf.DUMMYFUNCTION("AVERAGE(QUERY(SORT(GOOGLEFINANCE(B1058,""price"",TODAY()-365,TODAY()),1,0),""select Col2 limit 200""))"),74.47804999999998)</f>
        <v>74.47805</v>
      </c>
      <c r="O1058" s="20" t="str">
        <f t="shared" si="2"/>
        <v>Avoid</v>
      </c>
      <c r="P1058" s="21" t="str">
        <f t="shared" si="3"/>
        <v>120 DMA</v>
      </c>
      <c r="Q1058" s="21" t="str">
        <f t="shared" si="4"/>
        <v/>
      </c>
      <c r="R1058" s="22">
        <f>IFERROR(__xludf.DUMMYFUNCTION("GOOGLEFINANCE(B1058, ""pe"")
"),12.97)</f>
        <v>12.97</v>
      </c>
    </row>
    <row r="1059">
      <c r="A1059" s="9" t="s">
        <v>1069</v>
      </c>
      <c r="B1059" s="11" t="str">
        <f t="shared" si="1"/>
        <v>NSE:SESHAPAPER</v>
      </c>
      <c r="C1059" s="12">
        <f>IFERROR(__xludf.DUMMYFUNCTION("GOOGLEFINANCE(B1059,""marketcap"")/10000000"),1771.2690312)</f>
        <v>1771.269031</v>
      </c>
      <c r="D1059" s="13">
        <f>IFERROR(__xludf.DUMMYFUNCTION("GOOGLEFINANCE(B1059,""price"")"),280.85)</f>
        <v>280.85</v>
      </c>
      <c r="E1059" s="14">
        <f>IFERROR(__xludf.DUMMYFUNCTION("GOOGLEFINANCE(B1059,""Volume"")"),3309.0)</f>
        <v>3309</v>
      </c>
      <c r="F1059" s="14">
        <f t="array" ref="F1059">F1058</f>
        <v>14</v>
      </c>
      <c r="G1059" s="15" t="str">
        <f>IFERROR(__xludf.DUMMYFUNCTION("IF(E1059&gt;AVERAGE(INDEX(GOOGLEFINANCE(B1059,""volume"",WORKDAY(TODAY(),-$F$1),TODAY()),,2)),""Breakout"","""")"),"")</f>
        <v/>
      </c>
      <c r="H1059" s="16">
        <f>IFERROR(__xludf.DUMMYFUNCTION("GOOGLEFINANCE(B1059,""price"")"),280.85)</f>
        <v>280.85</v>
      </c>
      <c r="I1059" s="17">
        <f>IFERROR(__xludf.DUMMYFUNCTION("AVERAGE(QUERY(SORT(GOOGLEFINANCE(B1059,""price"",TODAY()-365,TODAY()),1,0),""select Col2 limit 10""))"),290.51)</f>
        <v>290.51</v>
      </c>
      <c r="J1059" s="17">
        <f>IFERROR(__xludf.DUMMYFUNCTION("AVERAGE(QUERY(SORT(GOOGLEFINANCE(B1059,""price"",TODAY()-365,TODAY()),1,0),""select Col2 limit 30""))"),296.055)</f>
        <v>296.055</v>
      </c>
      <c r="K1059" s="18">
        <f>IFERROR(__xludf.DUMMYFUNCTION("AVERAGE(QUERY(SORT(GOOGLEFINANCE(B1059,""price"",TODAY()-365,TODAY()),1,0),""select Col2 limit 60""))"),288.7925000000001)</f>
        <v>288.7925</v>
      </c>
      <c r="L1059" s="17">
        <f>IFERROR(__xludf.DUMMYFUNCTION("AVERAGE(QUERY(SORT(GOOGLEFINANCE(B1059,""price"",TODAY()-365,TODAY()),1,0),""select Col2 limit 90""))"),282.16166666666675)</f>
        <v>282.1616667</v>
      </c>
      <c r="M1059" s="17">
        <f>IFERROR(__xludf.DUMMYFUNCTION("AVERAGE(QUERY(SORT(GOOGLEFINANCE(B1059,""price"",TODAY()-365,TODAY()),1,0),""select Col2 limit 120""))"),283.02833333333336)</f>
        <v>283.0283333</v>
      </c>
      <c r="N1059" s="19">
        <f>IFERROR(__xludf.DUMMYFUNCTION("AVERAGE(QUERY(SORT(GOOGLEFINANCE(B1059,""price"",TODAY()-365,TODAY()),1,0),""select Col2 limit 200""))"),292.65075)</f>
        <v>292.65075</v>
      </c>
      <c r="O1059" s="20" t="str">
        <f t="shared" si="2"/>
        <v>Avoid</v>
      </c>
      <c r="P1059" s="21" t="str">
        <f t="shared" si="3"/>
        <v>90 DMA</v>
      </c>
      <c r="Q1059" s="21" t="str">
        <f t="shared" si="4"/>
        <v/>
      </c>
      <c r="R1059" s="22">
        <f>IFERROR(__xludf.DUMMYFUNCTION("GOOGLEFINANCE(B1059, ""pe"")
"),19.31)</f>
        <v>19.31</v>
      </c>
    </row>
    <row r="1060">
      <c r="A1060" s="9" t="s">
        <v>1070</v>
      </c>
      <c r="B1060" s="11" t="str">
        <f t="shared" si="1"/>
        <v>NSE:PARACABLES</v>
      </c>
      <c r="C1060" s="12">
        <f>IFERROR(__xludf.DUMMYFUNCTION("GOOGLEFINANCE(B1060,""marketcap"")/10000000"),1737.4431001)</f>
        <v>1737.4431</v>
      </c>
      <c r="D1060" s="13">
        <f>IFERROR(__xludf.DUMMYFUNCTION("GOOGLEFINANCE(B1060,""price"")"),56.85)</f>
        <v>56.85</v>
      </c>
      <c r="E1060" s="14">
        <f>IFERROR(__xludf.DUMMYFUNCTION("GOOGLEFINANCE(B1060,""Volume"")"),513695.0)</f>
        <v>513695</v>
      </c>
      <c r="F1060" s="14">
        <f t="array" ref="F1060">F1059</f>
        <v>14</v>
      </c>
      <c r="G1060" s="15" t="str">
        <f>IFERROR(__xludf.DUMMYFUNCTION("IF(E1060&gt;AVERAGE(INDEX(GOOGLEFINANCE(B1060,""volume"",WORKDAY(TODAY(),-$F$1),TODAY()),,2)),""Breakout"","""")"),"#N/A")</f>
        <v>#N/A</v>
      </c>
      <c r="H1060" s="16">
        <f>IFERROR(__xludf.DUMMYFUNCTION("GOOGLEFINANCE(B1060,""price"")"),56.85)</f>
        <v>56.85</v>
      </c>
      <c r="I1060" s="17">
        <f>IFERROR(__xludf.DUMMYFUNCTION("AVERAGE(QUERY(SORT(GOOGLEFINANCE(B1060,""price"",TODAY()-365,TODAY()),1,0),""select Col2 limit 10""))"),59.55400000000001)</f>
        <v>59.554</v>
      </c>
      <c r="J1060" s="17">
        <f>IFERROR(__xludf.DUMMYFUNCTION("AVERAGE(QUERY(SORT(GOOGLEFINANCE(B1060,""price"",TODAY()-365,TODAY()),1,0),""select Col2 limit 30""))"),57.849333333333334)</f>
        <v>57.84933333</v>
      </c>
      <c r="K1060" s="18">
        <f>IFERROR(__xludf.DUMMYFUNCTION("AVERAGE(QUERY(SORT(GOOGLEFINANCE(B1060,""price"",TODAY()-365,TODAY()),1,0),""select Col2 limit 60""))"),56.043833333333346)</f>
        <v>56.04383333</v>
      </c>
      <c r="L1060" s="17">
        <f>IFERROR(__xludf.DUMMYFUNCTION("AVERAGE(QUERY(SORT(GOOGLEFINANCE(B1060,""price"",TODAY()-365,TODAY()),1,0),""select Col2 limit 90""))"),54.42533333333332)</f>
        <v>54.42533333</v>
      </c>
      <c r="M1060" s="17">
        <f>IFERROR(__xludf.DUMMYFUNCTION("AVERAGE(QUERY(SORT(GOOGLEFINANCE(B1060,""price"",TODAY()-365,TODAY()),1,0),""select Col2 limit 120""))"),55.89891666666665)</f>
        <v>55.89891667</v>
      </c>
      <c r="N1060" s="19">
        <f>IFERROR(__xludf.DUMMYFUNCTION("AVERAGE(QUERY(SORT(GOOGLEFINANCE(B1060,""price"",TODAY()-365,TODAY()),1,0),""select Col2 limit 200""))"),63.68610000000002)</f>
        <v>63.6861</v>
      </c>
      <c r="O1060" s="20" t="str">
        <f t="shared" si="2"/>
        <v>Avoid</v>
      </c>
      <c r="P1060" s="21" t="str">
        <f t="shared" si="3"/>
        <v/>
      </c>
      <c r="Q1060" s="21" t="str">
        <f t="shared" si="4"/>
        <v/>
      </c>
      <c r="R1060" s="22">
        <f>IFERROR(__xludf.DUMMYFUNCTION("GOOGLEFINANCE(B1060, ""pe"")
"),19.97)</f>
        <v>19.97</v>
      </c>
    </row>
    <row r="1061">
      <c r="A1061" s="9" t="s">
        <v>1071</v>
      </c>
      <c r="B1061" s="11" t="str">
        <f t="shared" si="1"/>
        <v>NSE:SPAL</v>
      </c>
      <c r="C1061" s="12">
        <f>IFERROR(__xludf.DUMMYFUNCTION("GOOGLEFINANCE(B1061,""marketcap"")/10000000"),2127.0997326)</f>
        <v>2127.099733</v>
      </c>
      <c r="D1061" s="13">
        <f>IFERROR(__xludf.DUMMYFUNCTION("GOOGLEFINANCE(B1061,""price"")"),847.7)</f>
        <v>847.7</v>
      </c>
      <c r="E1061" s="14">
        <f>IFERROR(__xludf.DUMMYFUNCTION("GOOGLEFINANCE(B1061,""Volume"")"),33426.0)</f>
        <v>33426</v>
      </c>
      <c r="F1061" s="14">
        <f t="array" ref="F1061">F1060</f>
        <v>14</v>
      </c>
      <c r="G1061" s="15" t="str">
        <f>IFERROR(__xludf.DUMMYFUNCTION("IF(E1061&gt;AVERAGE(INDEX(GOOGLEFINANCE(B1061,""volume"",WORKDAY(TODAY(),-$F$1),TODAY()),,2)),""Breakout"","""")"),"")</f>
        <v/>
      </c>
      <c r="H1061" s="16">
        <f>IFERROR(__xludf.DUMMYFUNCTION("GOOGLEFINANCE(B1061,""price"")"),847.7)</f>
        <v>847.7</v>
      </c>
      <c r="I1061" s="17">
        <f>IFERROR(__xludf.DUMMYFUNCTION("AVERAGE(QUERY(SORT(GOOGLEFINANCE(B1061,""price"",TODAY()-365,TODAY()),1,0),""select Col2 limit 10""))"),820.6899999999999)</f>
        <v>820.69</v>
      </c>
      <c r="J1061" s="17">
        <f>IFERROR(__xludf.DUMMYFUNCTION("AVERAGE(QUERY(SORT(GOOGLEFINANCE(B1061,""price"",TODAY()-365,TODAY()),1,0),""select Col2 limit 30""))"),829.9299999999998)</f>
        <v>829.93</v>
      </c>
      <c r="K1061" s="18">
        <f>IFERROR(__xludf.DUMMYFUNCTION("AVERAGE(QUERY(SORT(GOOGLEFINANCE(B1061,""price"",TODAY()-365,TODAY()),1,0),""select Col2 limit 60""))"),839.5391666666667)</f>
        <v>839.5391667</v>
      </c>
      <c r="L1061" s="17">
        <f>IFERROR(__xludf.DUMMYFUNCTION("AVERAGE(QUERY(SORT(GOOGLEFINANCE(B1061,""price"",TODAY()-365,TODAY()),1,0),""select Col2 limit 90""))"),796.1644444444445)</f>
        <v>796.1644444</v>
      </c>
      <c r="M1061" s="17">
        <f>IFERROR(__xludf.DUMMYFUNCTION("AVERAGE(QUERY(SORT(GOOGLEFINANCE(B1061,""price"",TODAY()-365,TODAY()),1,0),""select Col2 limit 120""))"),791.862083333333)</f>
        <v>791.8620833</v>
      </c>
      <c r="N1061" s="19">
        <f>IFERROR(__xludf.DUMMYFUNCTION("AVERAGE(QUERY(SORT(GOOGLEFINANCE(B1061,""price"",TODAY()-365,TODAY()),1,0),""select Col2 limit 200""))"),834.2422499999994)</f>
        <v>834.24225</v>
      </c>
      <c r="O1061" s="20" t="str">
        <f t="shared" si="2"/>
        <v>Avoid</v>
      </c>
      <c r="P1061" s="21" t="str">
        <f t="shared" si="3"/>
        <v/>
      </c>
      <c r="Q1061" s="21" t="str">
        <f t="shared" si="4"/>
        <v/>
      </c>
      <c r="R1061" s="22">
        <f>IFERROR(__xludf.DUMMYFUNCTION("GOOGLEFINANCE(B1061, ""pe"")
"),22.41)</f>
        <v>22.41</v>
      </c>
    </row>
    <row r="1062">
      <c r="A1062" s="9" t="s">
        <v>1072</v>
      </c>
      <c r="B1062" s="11" t="str">
        <f t="shared" si="1"/>
        <v>NSE:DOLATALGO</v>
      </c>
      <c r="C1062" s="12">
        <f>IFERROR(__xludf.DUMMYFUNCTION("GOOGLEFINANCE(B1062,""marketcap"")/10000000"),1593.855957)</f>
        <v>1593.855957</v>
      </c>
      <c r="D1062" s="13">
        <f>IFERROR(__xludf.DUMMYFUNCTION("GOOGLEFINANCE(B1062,""price"")"),90.76)</f>
        <v>90.76</v>
      </c>
      <c r="E1062" s="14">
        <f>IFERROR(__xludf.DUMMYFUNCTION("GOOGLEFINANCE(B1062,""Volume"")"),123388.0)</f>
        <v>123388</v>
      </c>
      <c r="F1062" s="14">
        <f t="array" ref="F1062">F1061</f>
        <v>14</v>
      </c>
      <c r="G1062" s="15" t="str">
        <f>IFERROR(__xludf.DUMMYFUNCTION("IF(E1062&gt;AVERAGE(INDEX(GOOGLEFINANCE(B1062,""volume"",WORKDAY(TODAY(),-$F$1),TODAY()),,2)),""Breakout"","""")"),"")</f>
        <v/>
      </c>
      <c r="H1062" s="16">
        <f>IFERROR(__xludf.DUMMYFUNCTION("GOOGLEFINANCE(B1062,""price"")"),90.76)</f>
        <v>90.76</v>
      </c>
      <c r="I1062" s="17">
        <f>IFERROR(__xludf.DUMMYFUNCTION("AVERAGE(QUERY(SORT(GOOGLEFINANCE(B1062,""price"",TODAY()-365,TODAY()),1,0),""select Col2 limit 10""))"),95.62899999999999)</f>
        <v>95.629</v>
      </c>
      <c r="J1062" s="17">
        <f>IFERROR(__xludf.DUMMYFUNCTION("AVERAGE(QUERY(SORT(GOOGLEFINANCE(B1062,""price"",TODAY()-365,TODAY()),1,0),""select Col2 limit 30""))"),97.80733333333335)</f>
        <v>97.80733333</v>
      </c>
      <c r="K1062" s="18">
        <f>IFERROR(__xludf.DUMMYFUNCTION("AVERAGE(QUERY(SORT(GOOGLEFINANCE(B1062,""price"",TODAY()-365,TODAY()),1,0),""select Col2 limit 60""))"),96.27449999999999)</f>
        <v>96.2745</v>
      </c>
      <c r="L1062" s="17">
        <f>IFERROR(__xludf.DUMMYFUNCTION("AVERAGE(QUERY(SORT(GOOGLEFINANCE(B1062,""price"",TODAY()-365,TODAY()),1,0),""select Col2 limit 90""))"),93.1118888888889)</f>
        <v>93.11188889</v>
      </c>
      <c r="M1062" s="17">
        <f>IFERROR(__xludf.DUMMYFUNCTION("AVERAGE(QUERY(SORT(GOOGLEFINANCE(B1062,""price"",TODAY()-365,TODAY()),1,0),""select Col2 limit 120""))"),91.41016666666665)</f>
        <v>91.41016667</v>
      </c>
      <c r="N1062" s="19">
        <f>IFERROR(__xludf.DUMMYFUNCTION("AVERAGE(QUERY(SORT(GOOGLEFINANCE(B1062,""price"",TODAY()-365,TODAY()),1,0),""select Col2 limit 200""))"),106.05980000000001)</f>
        <v>106.0598</v>
      </c>
      <c r="O1062" s="20" t="str">
        <f t="shared" si="2"/>
        <v>Avoid</v>
      </c>
      <c r="P1062" s="21" t="str">
        <f t="shared" si="3"/>
        <v>120 DMA</v>
      </c>
      <c r="Q1062" s="21" t="str">
        <f t="shared" si="4"/>
        <v/>
      </c>
      <c r="R1062" s="22">
        <f>IFERROR(__xludf.DUMMYFUNCTION("GOOGLEFINANCE(B1062, ""pe"")
"),7.42)</f>
        <v>7.42</v>
      </c>
    </row>
    <row r="1063">
      <c r="A1063" s="9" t="s">
        <v>1073</v>
      </c>
      <c r="B1063" s="11" t="str">
        <f t="shared" si="1"/>
        <v>NSE:HESTERBIO</v>
      </c>
      <c r="C1063" s="12">
        <f>IFERROR(__xludf.DUMMYFUNCTION("GOOGLEFINANCE(B1063,""marketcap"")/10000000"),1545.2718456)</f>
        <v>1545.271846</v>
      </c>
      <c r="D1063" s="13">
        <f>IFERROR(__xludf.DUMMYFUNCTION("GOOGLEFINANCE(B1063,""price"")"),1816.5)</f>
        <v>1816.5</v>
      </c>
      <c r="E1063" s="14">
        <f>IFERROR(__xludf.DUMMYFUNCTION("GOOGLEFINANCE(B1063,""Volume"")"),1068.0)</f>
        <v>1068</v>
      </c>
      <c r="F1063" s="14">
        <f t="array" ref="F1063">F1062</f>
        <v>14</v>
      </c>
      <c r="G1063" s="15" t="str">
        <f>IFERROR(__xludf.DUMMYFUNCTION("IF(E1063&gt;AVERAGE(INDEX(GOOGLEFINANCE(B1063,""volume"",WORKDAY(TODAY(),-$F$1),TODAY()),,2)),""Breakout"","""")"),"")</f>
        <v/>
      </c>
      <c r="H1063" s="16">
        <f>IFERROR(__xludf.DUMMYFUNCTION("GOOGLEFINANCE(B1063,""price"")"),1816.5)</f>
        <v>1816.5</v>
      </c>
      <c r="I1063" s="17">
        <f>IFERROR(__xludf.DUMMYFUNCTION("AVERAGE(QUERY(SORT(GOOGLEFINANCE(B1063,""price"",TODAY()-365,TODAY()),1,0),""select Col2 limit 10""))"),1877.7099999999996)</f>
        <v>1877.71</v>
      </c>
      <c r="J1063" s="17">
        <f>IFERROR(__xludf.DUMMYFUNCTION("AVERAGE(QUERY(SORT(GOOGLEFINANCE(B1063,""price"",TODAY()-365,TODAY()),1,0),""select Col2 limit 30""))"),1830.8500000000001)</f>
        <v>1830.85</v>
      </c>
      <c r="K1063" s="18">
        <f>IFERROR(__xludf.DUMMYFUNCTION("AVERAGE(QUERY(SORT(GOOGLEFINANCE(B1063,""price"",TODAY()-365,TODAY()),1,0),""select Col2 limit 60""))"),1815.7450000000003)</f>
        <v>1815.745</v>
      </c>
      <c r="L1063" s="17">
        <f>IFERROR(__xludf.DUMMYFUNCTION("AVERAGE(QUERY(SORT(GOOGLEFINANCE(B1063,""price"",TODAY()-365,TODAY()),1,0),""select Col2 limit 90""))"),1755.3727777777785)</f>
        <v>1755.372778</v>
      </c>
      <c r="M1063" s="17">
        <f>IFERROR(__xludf.DUMMYFUNCTION("AVERAGE(QUERY(SORT(GOOGLEFINANCE(B1063,""price"",TODAY()-365,TODAY()),1,0),""select Col2 limit 120""))"),1732.2570833333343)</f>
        <v>1732.257083</v>
      </c>
      <c r="N1063" s="19">
        <f>IFERROR(__xludf.DUMMYFUNCTION("AVERAGE(QUERY(SORT(GOOGLEFINANCE(B1063,""price"",TODAY()-365,TODAY()),1,0),""select Col2 limit 200""))"),1994.5810000000001)</f>
        <v>1994.581</v>
      </c>
      <c r="O1063" s="20" t="str">
        <f t="shared" si="2"/>
        <v>Avoid</v>
      </c>
      <c r="P1063" s="21" t="str">
        <f t="shared" si="3"/>
        <v>30 DMA</v>
      </c>
      <c r="Q1063" s="21" t="str">
        <f t="shared" si="4"/>
        <v/>
      </c>
      <c r="R1063" s="22">
        <f>IFERROR(__xludf.DUMMYFUNCTION("GOOGLEFINANCE(B1063, ""pe"")
"),56.22)</f>
        <v>56.22</v>
      </c>
    </row>
    <row r="1064">
      <c r="A1064" s="9" t="s">
        <v>1074</v>
      </c>
      <c r="B1064" s="11" t="str">
        <f t="shared" si="1"/>
        <v>NSE:63MOONS</v>
      </c>
      <c r="C1064" s="12">
        <f>IFERROR(__xludf.DUMMYFUNCTION("GOOGLEFINANCE(B1064,""marketcap"")/10000000"),4730.8824501)</f>
        <v>4730.88245</v>
      </c>
      <c r="D1064" s="13">
        <f>IFERROR(__xludf.DUMMYFUNCTION("GOOGLEFINANCE(B1064,""price"")"),1026.4)</f>
        <v>1026.4</v>
      </c>
      <c r="E1064" s="14">
        <f>IFERROR(__xludf.DUMMYFUNCTION("GOOGLEFINANCE(B1064,""Volume"")"),58906.0)</f>
        <v>58906</v>
      </c>
      <c r="F1064" s="14">
        <f t="array" ref="F1064">F1063</f>
        <v>14</v>
      </c>
      <c r="G1064" s="15" t="str">
        <f>IFERROR(__xludf.DUMMYFUNCTION("IF(E1064&gt;AVERAGE(INDEX(GOOGLEFINANCE(B1064,""volume"",WORKDAY(TODAY(),-$F$1),TODAY()),,2)),""Breakout"","""")"),"")</f>
        <v/>
      </c>
      <c r="H1064" s="16">
        <f>IFERROR(__xludf.DUMMYFUNCTION("GOOGLEFINANCE(B1064,""price"")"),1026.4)</f>
        <v>1026.4</v>
      </c>
      <c r="I1064" s="17">
        <f>IFERROR(__xludf.DUMMYFUNCTION("AVERAGE(QUERY(SORT(GOOGLEFINANCE(B1064,""price"",TODAY()-365,TODAY()),1,0),""select Col2 limit 10""))"),1068.35)</f>
        <v>1068.35</v>
      </c>
      <c r="J1064" s="17">
        <f>IFERROR(__xludf.DUMMYFUNCTION("AVERAGE(QUERY(SORT(GOOGLEFINANCE(B1064,""price"",TODAY()-365,TODAY()),1,0),""select Col2 limit 30""))"),1011.1850000000001)</f>
        <v>1011.185</v>
      </c>
      <c r="K1064" s="18">
        <f>IFERROR(__xludf.DUMMYFUNCTION("AVERAGE(QUERY(SORT(GOOGLEFINANCE(B1064,""price"",TODAY()-365,TODAY()),1,0),""select Col2 limit 60""))"),906.6841666666667)</f>
        <v>906.6841667</v>
      </c>
      <c r="L1064" s="17">
        <f>IFERROR(__xludf.DUMMYFUNCTION("AVERAGE(QUERY(SORT(GOOGLEFINANCE(B1064,""price"",TODAY()-365,TODAY()),1,0),""select Col2 limit 90""))"),852.0222222222222)</f>
        <v>852.0222222</v>
      </c>
      <c r="M1064" s="17">
        <f>IFERROR(__xludf.DUMMYFUNCTION("AVERAGE(QUERY(SORT(GOOGLEFINANCE(B1064,""price"",TODAY()-365,TODAY()),1,0),""select Col2 limit 120""))"),816.7970833333335)</f>
        <v>816.7970833</v>
      </c>
      <c r="N1064" s="19">
        <f>IFERROR(__xludf.DUMMYFUNCTION("AVERAGE(QUERY(SORT(GOOGLEFINANCE(B1064,""price"",TODAY()-365,TODAY()),1,0),""select Col2 limit 200""))"),767.6822500000005)</f>
        <v>767.68225</v>
      </c>
      <c r="O1064" s="20" t="str">
        <f t="shared" si="2"/>
        <v>Avoid</v>
      </c>
      <c r="P1064" s="21" t="str">
        <f t="shared" si="3"/>
        <v/>
      </c>
      <c r="Q1064" s="21" t="str">
        <f t="shared" si="4"/>
        <v/>
      </c>
      <c r="R1064" s="22" t="str">
        <f>IFERROR(__xludf.DUMMYFUNCTION("GOOGLEFINANCE(B1064, ""pe"")
"),"#N/A")</f>
        <v>#N/A</v>
      </c>
    </row>
    <row r="1065">
      <c r="A1065" s="9" t="s">
        <v>1075</v>
      </c>
      <c r="B1065" s="11" t="str">
        <f t="shared" si="1"/>
        <v>NSE:RUPA</v>
      </c>
      <c r="C1065" s="12">
        <f>IFERROR(__xludf.DUMMYFUNCTION("GOOGLEFINANCE(B1065,""marketcap"")/10000000"),1716.6927731)</f>
        <v>1716.692773</v>
      </c>
      <c r="D1065" s="13">
        <f>IFERROR(__xludf.DUMMYFUNCTION("GOOGLEFINANCE(B1065,""price"")"),215.26)</f>
        <v>215.26</v>
      </c>
      <c r="E1065" s="14">
        <f>IFERROR(__xludf.DUMMYFUNCTION("GOOGLEFINANCE(B1065,""Volume"")"),99190.0)</f>
        <v>99190</v>
      </c>
      <c r="F1065" s="14">
        <f t="array" ref="F1065">F1064</f>
        <v>14</v>
      </c>
      <c r="G1065" s="15" t="str">
        <f>IFERROR(__xludf.DUMMYFUNCTION("IF(E1065&gt;AVERAGE(INDEX(GOOGLEFINANCE(B1065,""volume"",WORKDAY(TODAY(),-$F$1),TODAY()),,2)),""Breakout"","""")"),"")</f>
        <v/>
      </c>
      <c r="H1065" s="16">
        <f>IFERROR(__xludf.DUMMYFUNCTION("GOOGLEFINANCE(B1065,""price"")"),215.26)</f>
        <v>215.26</v>
      </c>
      <c r="I1065" s="17">
        <f>IFERROR(__xludf.DUMMYFUNCTION("AVERAGE(QUERY(SORT(GOOGLEFINANCE(B1065,""price"",TODAY()-365,TODAY()),1,0),""select Col2 limit 10""))"),220.13199999999998)</f>
        <v>220.132</v>
      </c>
      <c r="J1065" s="17">
        <f>IFERROR(__xludf.DUMMYFUNCTION("AVERAGE(QUERY(SORT(GOOGLEFINANCE(B1065,""price"",TODAY()-365,TODAY()),1,0),""select Col2 limit 30""))"),215.99566666666664)</f>
        <v>215.9956667</v>
      </c>
      <c r="K1065" s="18">
        <f>IFERROR(__xludf.DUMMYFUNCTION("AVERAGE(QUERY(SORT(GOOGLEFINANCE(B1065,""price"",TODAY()-365,TODAY()),1,0),""select Col2 limit 60""))"),211.671)</f>
        <v>211.671</v>
      </c>
      <c r="L1065" s="17">
        <f>IFERROR(__xludf.DUMMYFUNCTION("AVERAGE(QUERY(SORT(GOOGLEFINANCE(B1065,""price"",TODAY()-365,TODAY()),1,0),""select Col2 limit 90""))"),203.9606666666667)</f>
        <v>203.9606667</v>
      </c>
      <c r="M1065" s="17">
        <f>IFERROR(__xludf.DUMMYFUNCTION("AVERAGE(QUERY(SORT(GOOGLEFINANCE(B1065,""price"",TODAY()-365,TODAY()),1,0),""select Col2 limit 120""))"),204.64658333333324)</f>
        <v>204.6465833</v>
      </c>
      <c r="N1065" s="19">
        <f>IFERROR(__xludf.DUMMYFUNCTION("AVERAGE(QUERY(SORT(GOOGLEFINANCE(B1065,""price"",TODAY()-365,TODAY()),1,0),""select Col2 limit 200""))"),225.50834999999995)</f>
        <v>225.50835</v>
      </c>
      <c r="O1065" s="20" t="str">
        <f t="shared" si="2"/>
        <v>Avoid</v>
      </c>
      <c r="P1065" s="21" t="str">
        <f t="shared" si="3"/>
        <v>30 DMA</v>
      </c>
      <c r="Q1065" s="21" t="str">
        <f t="shared" si="4"/>
        <v/>
      </c>
      <c r="R1065" s="22">
        <f>IFERROR(__xludf.DUMMYFUNCTION("GOOGLEFINANCE(B1065, ""pe"")
"),20.64)</f>
        <v>20.64</v>
      </c>
    </row>
    <row r="1066">
      <c r="A1066" s="9" t="s">
        <v>1076</v>
      </c>
      <c r="B1066" s="11" t="str">
        <f t="shared" si="1"/>
        <v>NSE:JYOTISTRUC</v>
      </c>
      <c r="C1066" s="12">
        <f>IFERROR(__xludf.DUMMYFUNCTION("GOOGLEFINANCE(B1066,""marketcap"")/10000000"),2026.6429385)</f>
        <v>2026.642939</v>
      </c>
      <c r="D1066" s="13">
        <f>IFERROR(__xludf.DUMMYFUNCTION("GOOGLEFINANCE(B1066,""price"")"),17.01)</f>
        <v>17.01</v>
      </c>
      <c r="E1066" s="14">
        <f>IFERROR(__xludf.DUMMYFUNCTION("GOOGLEFINANCE(B1066,""Volume"")"),3500083.0)</f>
        <v>3500083</v>
      </c>
      <c r="F1066" s="14">
        <f t="array" ref="F1066">F1065</f>
        <v>14</v>
      </c>
      <c r="G1066" s="15" t="str">
        <f>IFERROR(__xludf.DUMMYFUNCTION("IF(E1066&gt;AVERAGE(INDEX(GOOGLEFINANCE(B1066,""volume"",WORKDAY(TODAY(),-$F$1),TODAY()),,2)),""Breakout"","""")"),"")</f>
        <v/>
      </c>
      <c r="H1066" s="16">
        <f>IFERROR(__xludf.DUMMYFUNCTION("GOOGLEFINANCE(B1066,""price"")"),17.01)</f>
        <v>17.01</v>
      </c>
      <c r="I1066" s="17">
        <f>IFERROR(__xludf.DUMMYFUNCTION("AVERAGE(QUERY(SORT(GOOGLEFINANCE(B1066,""price"",TODAY()-365,TODAY()),1,0),""select Col2 limit 10""))"),18.46)</f>
        <v>18.46</v>
      </c>
      <c r="J1066" s="17">
        <f>IFERROR(__xludf.DUMMYFUNCTION("AVERAGE(QUERY(SORT(GOOGLEFINANCE(B1066,""price"",TODAY()-365,TODAY()),1,0),""select Col2 limit 30""))"),18.569)</f>
        <v>18.569</v>
      </c>
      <c r="K1066" s="18">
        <f>IFERROR(__xludf.DUMMYFUNCTION("AVERAGE(QUERY(SORT(GOOGLEFINANCE(B1066,""price"",TODAY()-365,TODAY()),1,0),""select Col2 limit 60""))"),18.974666666666668)</f>
        <v>18.97466667</v>
      </c>
      <c r="L1066" s="17">
        <f>IFERROR(__xludf.DUMMYFUNCTION("AVERAGE(QUERY(SORT(GOOGLEFINANCE(B1066,""price"",TODAY()-365,TODAY()),1,0),""select Col2 limit 90""))"),18.54466666666667)</f>
        <v>18.54466667</v>
      </c>
      <c r="M1066" s="17">
        <f>IFERROR(__xludf.DUMMYFUNCTION("AVERAGE(QUERY(SORT(GOOGLEFINANCE(B1066,""price"",TODAY()-365,TODAY()),1,0),""select Col2 limit 120""))"),18.91208333333334)</f>
        <v>18.91208333</v>
      </c>
      <c r="N1066" s="19">
        <f>IFERROR(__xludf.DUMMYFUNCTION("AVERAGE(QUERY(SORT(GOOGLEFINANCE(B1066,""price"",TODAY()-365,TODAY()),1,0),""select Col2 limit 200""))"),22.03295000000001)</f>
        <v>22.03295</v>
      </c>
      <c r="O1066" s="20" t="str">
        <f t="shared" si="2"/>
        <v>Avoid</v>
      </c>
      <c r="P1066" s="21" t="str">
        <f t="shared" si="3"/>
        <v/>
      </c>
      <c r="Q1066" s="21" t="str">
        <f t="shared" si="4"/>
        <v/>
      </c>
      <c r="R1066" s="22">
        <f>IFERROR(__xludf.DUMMYFUNCTION("GOOGLEFINANCE(B1066, ""pe"")
"),43.28)</f>
        <v>43.28</v>
      </c>
    </row>
    <row r="1067">
      <c r="A1067" s="9" t="s">
        <v>1077</v>
      </c>
      <c r="B1067" s="11" t="str">
        <f t="shared" si="1"/>
        <v>NSE:TALBROAUTO</v>
      </c>
      <c r="C1067" s="12">
        <f>IFERROR(__xludf.DUMMYFUNCTION("GOOGLEFINANCE(B1067,""marketcap"")/10000000"),1770.980012)</f>
        <v>1770.980012</v>
      </c>
      <c r="D1067" s="13">
        <f>IFERROR(__xludf.DUMMYFUNCTION("GOOGLEFINANCE(B1067,""price"")"),286.9)</f>
        <v>286.9</v>
      </c>
      <c r="E1067" s="14">
        <f>IFERROR(__xludf.DUMMYFUNCTION("GOOGLEFINANCE(B1067,""Volume"")"),51970.0)</f>
        <v>51970</v>
      </c>
      <c r="F1067" s="14">
        <f t="array" ref="F1067">F1066</f>
        <v>14</v>
      </c>
      <c r="G1067" s="15" t="str">
        <f>IFERROR(__xludf.DUMMYFUNCTION("IF(E1067&gt;AVERAGE(INDEX(GOOGLEFINANCE(B1067,""volume"",WORKDAY(TODAY(),-$F$1),TODAY()),,2)),""Breakout"","""")"),"")</f>
        <v/>
      </c>
      <c r="H1067" s="16">
        <f>IFERROR(__xludf.DUMMYFUNCTION("GOOGLEFINANCE(B1067,""price"")"),286.9)</f>
        <v>286.9</v>
      </c>
      <c r="I1067" s="17">
        <f>IFERROR(__xludf.DUMMYFUNCTION("AVERAGE(QUERY(SORT(GOOGLEFINANCE(B1067,""price"",TODAY()-365,TODAY()),1,0),""select Col2 limit 10""))"),288.21500000000003)</f>
        <v>288.215</v>
      </c>
      <c r="J1067" s="17">
        <f>IFERROR(__xludf.DUMMYFUNCTION("AVERAGE(QUERY(SORT(GOOGLEFINANCE(B1067,""price"",TODAY()-365,TODAY()),1,0),""select Col2 limit 30""))"),292.17833333333334)</f>
        <v>292.1783333</v>
      </c>
      <c r="K1067" s="18">
        <f>IFERROR(__xludf.DUMMYFUNCTION("AVERAGE(QUERY(SORT(GOOGLEFINANCE(B1067,""price"",TODAY()-365,TODAY()),1,0),""select Col2 limit 60""))"),287.0116666666666)</f>
        <v>287.0116667</v>
      </c>
      <c r="L1067" s="17">
        <f>IFERROR(__xludf.DUMMYFUNCTION("AVERAGE(QUERY(SORT(GOOGLEFINANCE(B1067,""price"",TODAY()-365,TODAY()),1,0),""select Col2 limit 90""))"),275.724)</f>
        <v>275.724</v>
      </c>
      <c r="M1067" s="17">
        <f>IFERROR(__xludf.DUMMYFUNCTION("AVERAGE(QUERY(SORT(GOOGLEFINANCE(B1067,""price"",TODAY()-365,TODAY()),1,0),""select Col2 limit 120""))"),268.0988333333333)</f>
        <v>268.0988333</v>
      </c>
      <c r="N1067" s="19">
        <f>IFERROR(__xludf.DUMMYFUNCTION("AVERAGE(QUERY(SORT(GOOGLEFINANCE(B1067,""price"",TODAY()-365,TODAY()),1,0),""select Col2 limit 200""))"),283.92729999999995)</f>
        <v>283.9273</v>
      </c>
      <c r="O1067" s="20" t="str">
        <f t="shared" si="2"/>
        <v>Avoid</v>
      </c>
      <c r="P1067" s="21" t="str">
        <f t="shared" si="3"/>
        <v>10 DMA</v>
      </c>
      <c r="Q1067" s="21" t="str">
        <f t="shared" si="4"/>
        <v/>
      </c>
      <c r="R1067" s="22">
        <f>IFERROR(__xludf.DUMMYFUNCTION("GOOGLEFINANCE(B1067, ""pe"")
"),18.75)</f>
        <v>18.75</v>
      </c>
    </row>
    <row r="1068">
      <c r="A1068" s="9" t="s">
        <v>1078</v>
      </c>
      <c r="B1068" s="11" t="str">
        <f t="shared" si="1"/>
        <v>NSE:INDRAMEDCO</v>
      </c>
      <c r="C1068" s="12">
        <f>IFERROR(__xludf.DUMMYFUNCTION("GOOGLEFINANCE(B1068,""marketcap"")/10000000"),4152.7869)</f>
        <v>4152.7869</v>
      </c>
      <c r="D1068" s="13">
        <f>IFERROR(__xludf.DUMMYFUNCTION("GOOGLEFINANCE(B1068,""price"")"),452.2)</f>
        <v>452.2</v>
      </c>
      <c r="E1068" s="14">
        <f>IFERROR(__xludf.DUMMYFUNCTION("GOOGLEFINANCE(B1068,""Volume"")"),53580.0)</f>
        <v>53580</v>
      </c>
      <c r="F1068" s="14">
        <f t="array" ref="F1068">F1067</f>
        <v>14</v>
      </c>
      <c r="G1068" s="15" t="str">
        <f>IFERROR(__xludf.DUMMYFUNCTION("IF(E1068&gt;AVERAGE(INDEX(GOOGLEFINANCE(B1068,""volume"",WORKDAY(TODAY(),-$F$1),TODAY()),,2)),""Breakout"","""")"),"")</f>
        <v/>
      </c>
      <c r="H1068" s="16">
        <f>IFERROR(__xludf.DUMMYFUNCTION("GOOGLEFINANCE(B1068,""price"")"),452.2)</f>
        <v>452.2</v>
      </c>
      <c r="I1068" s="17">
        <f>IFERROR(__xludf.DUMMYFUNCTION("AVERAGE(QUERY(SORT(GOOGLEFINANCE(B1068,""price"",TODAY()-365,TODAY()),1,0),""select Col2 limit 10""))"),480.23)</f>
        <v>480.23</v>
      </c>
      <c r="J1068" s="17">
        <f>IFERROR(__xludf.DUMMYFUNCTION("AVERAGE(QUERY(SORT(GOOGLEFINANCE(B1068,""price"",TODAY()-365,TODAY()),1,0),""select Col2 limit 30""))"),460.49166666666673)</f>
        <v>460.4916667</v>
      </c>
      <c r="K1068" s="18">
        <f>IFERROR(__xludf.DUMMYFUNCTION("AVERAGE(QUERY(SORT(GOOGLEFINANCE(B1068,""price"",TODAY()-365,TODAY()),1,0),""select Col2 limit 60""))"),439.86333333333334)</f>
        <v>439.8633333</v>
      </c>
      <c r="L1068" s="17">
        <f>IFERROR(__xludf.DUMMYFUNCTION("AVERAGE(QUERY(SORT(GOOGLEFINANCE(B1068,""price"",TODAY()-365,TODAY()),1,0),""select Col2 limit 90""))"),425.9422222222221)</f>
        <v>425.9422222</v>
      </c>
      <c r="M1068" s="17">
        <f>IFERROR(__xludf.DUMMYFUNCTION("AVERAGE(QUERY(SORT(GOOGLEFINANCE(B1068,""price"",TODAY()-365,TODAY()),1,0),""select Col2 limit 120""))"),418.8212499999999)</f>
        <v>418.82125</v>
      </c>
      <c r="N1068" s="19">
        <f>IFERROR(__xludf.DUMMYFUNCTION("AVERAGE(QUERY(SORT(GOOGLEFINANCE(B1068,""price"",TODAY()-365,TODAY()),1,0),""select Col2 limit 200""))"),435.9017499999998)</f>
        <v>435.90175</v>
      </c>
      <c r="O1068" s="20" t="str">
        <f t="shared" si="2"/>
        <v>Avoid</v>
      </c>
      <c r="P1068" s="21" t="str">
        <f t="shared" si="3"/>
        <v/>
      </c>
      <c r="Q1068" s="21" t="str">
        <f t="shared" si="4"/>
        <v/>
      </c>
      <c r="R1068" s="22">
        <f>IFERROR(__xludf.DUMMYFUNCTION("GOOGLEFINANCE(B1068, ""pe"")
"),25.75)</f>
        <v>25.75</v>
      </c>
    </row>
    <row r="1069">
      <c r="A1069" s="9" t="s">
        <v>1079</v>
      </c>
      <c r="B1069" s="11" t="str">
        <f t="shared" si="1"/>
        <v>NSE:VIDHIING</v>
      </c>
      <c r="C1069" s="12">
        <f>IFERROR(__xludf.DUMMYFUNCTION("GOOGLEFINANCE(B1069,""marketcap"")/10000000"),2030.5135074)</f>
        <v>2030.513507</v>
      </c>
      <c r="D1069" s="13">
        <f>IFERROR(__xludf.DUMMYFUNCTION("GOOGLEFINANCE(B1069,""price"")"),406.75)</f>
        <v>406.75</v>
      </c>
      <c r="E1069" s="14">
        <f>IFERROR(__xludf.DUMMYFUNCTION("GOOGLEFINANCE(B1069,""Volume"")"),34470.0)</f>
        <v>34470</v>
      </c>
      <c r="F1069" s="14">
        <f t="array" ref="F1069">F1068</f>
        <v>14</v>
      </c>
      <c r="G1069" s="15" t="str">
        <f>IFERROR(__xludf.DUMMYFUNCTION("IF(E1069&gt;AVERAGE(INDEX(GOOGLEFINANCE(B1069,""volume"",WORKDAY(TODAY(),-$F$1),TODAY()),,2)),""Breakout"","""")"),"")</f>
        <v/>
      </c>
      <c r="H1069" s="16">
        <f>IFERROR(__xludf.DUMMYFUNCTION("GOOGLEFINANCE(B1069,""price"")"),406.75)</f>
        <v>406.75</v>
      </c>
      <c r="I1069" s="17">
        <f>IFERROR(__xludf.DUMMYFUNCTION("AVERAGE(QUERY(SORT(GOOGLEFINANCE(B1069,""price"",TODAY()-365,TODAY()),1,0),""select Col2 limit 10""))"),403.775)</f>
        <v>403.775</v>
      </c>
      <c r="J1069" s="17">
        <f>IFERROR(__xludf.DUMMYFUNCTION("AVERAGE(QUERY(SORT(GOOGLEFINANCE(B1069,""price"",TODAY()-365,TODAY()),1,0),""select Col2 limit 30""))"),414.7133333333335)</f>
        <v>414.7133333</v>
      </c>
      <c r="K1069" s="18">
        <f>IFERROR(__xludf.DUMMYFUNCTION("AVERAGE(QUERY(SORT(GOOGLEFINANCE(B1069,""price"",TODAY()-365,TODAY()),1,0),""select Col2 limit 60""))"),425.7675)</f>
        <v>425.7675</v>
      </c>
      <c r="L1069" s="17">
        <f>IFERROR(__xludf.DUMMYFUNCTION("AVERAGE(QUERY(SORT(GOOGLEFINANCE(B1069,""price"",TODAY()-365,TODAY()),1,0),""select Col2 limit 90""))"),428.8294444444444)</f>
        <v>428.8294444</v>
      </c>
      <c r="M1069" s="17">
        <f>IFERROR(__xludf.DUMMYFUNCTION("AVERAGE(QUERY(SORT(GOOGLEFINANCE(B1069,""price"",TODAY()-365,TODAY()),1,0),""select Col2 limit 120""))"),436.68375)</f>
        <v>436.68375</v>
      </c>
      <c r="N1069" s="19">
        <f>IFERROR(__xludf.DUMMYFUNCTION("AVERAGE(QUERY(SORT(GOOGLEFINANCE(B1069,""price"",TODAY()-365,TODAY()),1,0),""select Col2 limit 200""))"),460.30874999999986)</f>
        <v>460.30875</v>
      </c>
      <c r="O1069" s="20" t="str">
        <f t="shared" si="2"/>
        <v>Avoid</v>
      </c>
      <c r="P1069" s="21" t="str">
        <f t="shared" si="3"/>
        <v/>
      </c>
      <c r="Q1069" s="21" t="str">
        <f t="shared" si="4"/>
        <v/>
      </c>
      <c r="R1069" s="22">
        <f>IFERROR(__xludf.DUMMYFUNCTION("GOOGLEFINANCE(B1069, ""pe"")
"),47.0)</f>
        <v>47</v>
      </c>
    </row>
    <row r="1070">
      <c r="A1070" s="9" t="s">
        <v>1080</v>
      </c>
      <c r="B1070" s="11" t="str">
        <f t="shared" si="1"/>
        <v>NSE:JAGRAN</v>
      </c>
      <c r="C1070" s="12">
        <f>IFERROR(__xludf.DUMMYFUNCTION("GOOGLEFINANCE(B1070,""marketcap"")/10000000"),1556.0098293)</f>
        <v>1556.009829</v>
      </c>
      <c r="D1070" s="13">
        <f>IFERROR(__xludf.DUMMYFUNCTION("GOOGLEFINANCE(B1070,""price"")"),71.3)</f>
        <v>71.3</v>
      </c>
      <c r="E1070" s="14">
        <f>IFERROR(__xludf.DUMMYFUNCTION("GOOGLEFINANCE(B1070,""Volume"")"),90662.0)</f>
        <v>90662</v>
      </c>
      <c r="F1070" s="14">
        <f t="array" ref="F1070">F1069</f>
        <v>14</v>
      </c>
      <c r="G1070" s="15" t="str">
        <f>IFERROR(__xludf.DUMMYFUNCTION("IF(E1070&gt;AVERAGE(INDEX(GOOGLEFINANCE(B1070,""volume"",WORKDAY(TODAY(),-$F$1),TODAY()),,2)),""Breakout"","""")"),"")</f>
        <v/>
      </c>
      <c r="H1070" s="16">
        <f>IFERROR(__xludf.DUMMYFUNCTION("GOOGLEFINANCE(B1070,""price"")"),71.3)</f>
        <v>71.3</v>
      </c>
      <c r="I1070" s="17">
        <f>IFERROR(__xludf.DUMMYFUNCTION("AVERAGE(QUERY(SORT(GOOGLEFINANCE(B1070,""price"",TODAY()-365,TODAY()),1,0),""select Col2 limit 10""))"),72.99600000000001)</f>
        <v>72.996</v>
      </c>
      <c r="J1070" s="17">
        <f>IFERROR(__xludf.DUMMYFUNCTION("AVERAGE(QUERY(SORT(GOOGLEFINANCE(B1070,""price"",TODAY()-365,TODAY()),1,0),""select Col2 limit 30""))"),72.11233333333334)</f>
        <v>72.11233333</v>
      </c>
      <c r="K1070" s="18">
        <f>IFERROR(__xludf.DUMMYFUNCTION("AVERAGE(QUERY(SORT(GOOGLEFINANCE(B1070,""price"",TODAY()-365,TODAY()),1,0),""select Col2 limit 60""))"),73.0281666666667)</f>
        <v>73.02816667</v>
      </c>
      <c r="L1070" s="17">
        <f>IFERROR(__xludf.DUMMYFUNCTION("AVERAGE(QUERY(SORT(GOOGLEFINANCE(B1070,""price"",TODAY()-365,TODAY()),1,0),""select Col2 limit 90""))"),72.61611111111114)</f>
        <v>72.61611111</v>
      </c>
      <c r="M1070" s="17">
        <f>IFERROR(__xludf.DUMMYFUNCTION("AVERAGE(QUERY(SORT(GOOGLEFINANCE(B1070,""price"",TODAY()-365,TODAY()),1,0),""select Col2 limit 120""))"),72.41483333333333)</f>
        <v>72.41483333</v>
      </c>
      <c r="N1070" s="19">
        <f>IFERROR(__xludf.DUMMYFUNCTION("AVERAGE(QUERY(SORT(GOOGLEFINANCE(B1070,""price"",TODAY()-365,TODAY()),1,0),""select Col2 limit 200""))"),77.50150000000004)</f>
        <v>77.5015</v>
      </c>
      <c r="O1070" s="20" t="str">
        <f t="shared" si="2"/>
        <v>Avoid</v>
      </c>
      <c r="P1070" s="21" t="str">
        <f t="shared" si="3"/>
        <v/>
      </c>
      <c r="Q1070" s="21" t="str">
        <f t="shared" si="4"/>
        <v/>
      </c>
      <c r="R1070" s="22">
        <f>IFERROR(__xludf.DUMMYFUNCTION("GOOGLEFINANCE(B1070, ""pe"")
"),11.84)</f>
        <v>11.84</v>
      </c>
    </row>
    <row r="1071">
      <c r="A1071" s="9" t="s">
        <v>1081</v>
      </c>
      <c r="B1071" s="11" t="str">
        <f t="shared" si="1"/>
        <v>NSE:SDBL</v>
      </c>
      <c r="C1071" s="12">
        <f>IFERROR(__xludf.DUMMYFUNCTION("GOOGLEFINANCE(B1071,""marketcap"")/10000000"),3200.64045)</f>
        <v>3200.64045</v>
      </c>
      <c r="D1071" s="13">
        <f>IFERROR(__xludf.DUMMYFUNCTION("GOOGLEFINANCE(B1071,""price"")"),154.13)</f>
        <v>154.13</v>
      </c>
      <c r="E1071" s="14">
        <f>IFERROR(__xludf.DUMMYFUNCTION("GOOGLEFINANCE(B1071,""Volume"")"),745881.0)</f>
        <v>745881</v>
      </c>
      <c r="F1071" s="14">
        <f t="array" ref="F1071">F1070</f>
        <v>14</v>
      </c>
      <c r="G1071" s="15" t="str">
        <f>IFERROR(__xludf.DUMMYFUNCTION("IF(E1071&gt;AVERAGE(INDEX(GOOGLEFINANCE(B1071,""volume"",WORKDAY(TODAY(),-$F$1),TODAY()),,2)),""Breakout"","""")"),"")</f>
        <v/>
      </c>
      <c r="H1071" s="16">
        <f>IFERROR(__xludf.DUMMYFUNCTION("GOOGLEFINANCE(B1071,""price"")"),154.13)</f>
        <v>154.13</v>
      </c>
      <c r="I1071" s="17">
        <f>IFERROR(__xludf.DUMMYFUNCTION("AVERAGE(QUERY(SORT(GOOGLEFINANCE(B1071,""price"",TODAY()-365,TODAY()),1,0),""select Col2 limit 10""))"),158.145)</f>
        <v>158.145</v>
      </c>
      <c r="J1071" s="17">
        <f>IFERROR(__xludf.DUMMYFUNCTION("AVERAGE(QUERY(SORT(GOOGLEFINANCE(B1071,""price"",TODAY()-365,TODAY()),1,0),""select Col2 limit 30""))"),159.13833333333335)</f>
        <v>159.1383333</v>
      </c>
      <c r="K1071" s="18">
        <f>IFERROR(__xludf.DUMMYFUNCTION("AVERAGE(QUERY(SORT(GOOGLEFINANCE(B1071,""price"",TODAY()-365,TODAY()),1,0),""select Col2 limit 60""))"),152.01950000000002)</f>
        <v>152.0195</v>
      </c>
      <c r="L1071" s="17">
        <f>IFERROR(__xludf.DUMMYFUNCTION("AVERAGE(QUERY(SORT(GOOGLEFINANCE(B1071,""price"",TODAY()-365,TODAY()),1,0),""select Col2 limit 90""))"),144.49777777777777)</f>
        <v>144.4977778</v>
      </c>
      <c r="M1071" s="17">
        <f>IFERROR(__xludf.DUMMYFUNCTION("AVERAGE(QUERY(SORT(GOOGLEFINANCE(B1071,""price"",TODAY()-365,TODAY()),1,0),""select Col2 limit 120""))"),136.72808333333333)</f>
        <v>136.7280833</v>
      </c>
      <c r="N1071" s="19">
        <f>IFERROR(__xludf.DUMMYFUNCTION("AVERAGE(QUERY(SORT(GOOGLEFINANCE(B1071,""price"",TODAY()-365,TODAY()),1,0),""select Col2 limit 200""))"),125.20290000000001)</f>
        <v>125.2029</v>
      </c>
      <c r="O1071" s="20" t="str">
        <f t="shared" si="2"/>
        <v>Avoid</v>
      </c>
      <c r="P1071" s="21" t="str">
        <f t="shared" si="3"/>
        <v/>
      </c>
      <c r="Q1071" s="21" t="str">
        <f t="shared" si="4"/>
        <v/>
      </c>
      <c r="R1071" s="22">
        <f>IFERROR(__xludf.DUMMYFUNCTION("GOOGLEFINANCE(B1071, ""pe"")
"),29.19)</f>
        <v>29.19</v>
      </c>
    </row>
    <row r="1072">
      <c r="A1072" s="9" t="s">
        <v>1082</v>
      </c>
      <c r="B1072" s="11" t="str">
        <f t="shared" si="1"/>
        <v>NSE:POKARNA</v>
      </c>
      <c r="C1072" s="12">
        <f>IFERROR(__xludf.DUMMYFUNCTION("GOOGLEFINANCE(B1072,""marketcap"")/10000000"),2979.6496975)</f>
        <v>2979.649698</v>
      </c>
      <c r="D1072" s="13">
        <f>IFERROR(__xludf.DUMMYFUNCTION("GOOGLEFINANCE(B1072,""price"")"),963.4)</f>
        <v>963.4</v>
      </c>
      <c r="E1072" s="14">
        <f>IFERROR(__xludf.DUMMYFUNCTION("GOOGLEFINANCE(B1072,""Volume"")"),24740.0)</f>
        <v>24740</v>
      </c>
      <c r="F1072" s="14">
        <f t="array" ref="F1072">F1071</f>
        <v>14</v>
      </c>
      <c r="G1072" s="15" t="str">
        <f>IFERROR(__xludf.DUMMYFUNCTION("IF(E1072&gt;AVERAGE(INDEX(GOOGLEFINANCE(B1072,""volume"",WORKDAY(TODAY(),-$F$1),TODAY()),,2)),""Breakout"","""")"),"")</f>
        <v/>
      </c>
      <c r="H1072" s="16">
        <f>IFERROR(__xludf.DUMMYFUNCTION("GOOGLEFINANCE(B1072,""price"")"),963.4)</f>
        <v>963.4</v>
      </c>
      <c r="I1072" s="17">
        <f>IFERROR(__xludf.DUMMYFUNCTION("AVERAGE(QUERY(SORT(GOOGLEFINANCE(B1072,""price"",TODAY()-365,TODAY()),1,0),""select Col2 limit 10""))"),1031.29)</f>
        <v>1031.29</v>
      </c>
      <c r="J1072" s="17">
        <f>IFERROR(__xludf.DUMMYFUNCTION("AVERAGE(QUERY(SORT(GOOGLEFINANCE(B1072,""price"",TODAY()-365,TODAY()),1,0),""select Col2 limit 30""))"),1044.3633333333335)</f>
        <v>1044.363333</v>
      </c>
      <c r="K1072" s="18">
        <f>IFERROR(__xludf.DUMMYFUNCTION("AVERAGE(QUERY(SORT(GOOGLEFINANCE(B1072,""price"",TODAY()-365,TODAY()),1,0),""select Col2 limit 60""))"),1031.8466666666668)</f>
        <v>1031.846667</v>
      </c>
      <c r="L1072" s="17">
        <f>IFERROR(__xludf.DUMMYFUNCTION("AVERAGE(QUERY(SORT(GOOGLEFINANCE(B1072,""price"",TODAY()-365,TODAY()),1,0),""select Col2 limit 90""))"),1029.140555555556)</f>
        <v>1029.140556</v>
      </c>
      <c r="M1072" s="17">
        <f>IFERROR(__xludf.DUMMYFUNCTION("AVERAGE(QUERY(SORT(GOOGLEFINANCE(B1072,""price"",TODAY()-365,TODAY()),1,0),""select Col2 limit 120""))"),1069.8150000000003)</f>
        <v>1069.815</v>
      </c>
      <c r="N1072" s="19">
        <f>IFERROR(__xludf.DUMMYFUNCTION("AVERAGE(QUERY(SORT(GOOGLEFINANCE(B1072,""price"",TODAY()-365,TODAY()),1,0),""select Col2 limit 200""))"),1092.8587499999996)</f>
        <v>1092.85875</v>
      </c>
      <c r="O1072" s="20" t="str">
        <f t="shared" si="2"/>
        <v>Avoid</v>
      </c>
      <c r="P1072" s="21" t="str">
        <f t="shared" si="3"/>
        <v/>
      </c>
      <c r="Q1072" s="21" t="str">
        <f t="shared" si="4"/>
        <v/>
      </c>
      <c r="R1072" s="22">
        <f>IFERROR(__xludf.DUMMYFUNCTION("GOOGLEFINANCE(B1072, ""pe"")
"),15.93)</f>
        <v>15.93</v>
      </c>
    </row>
    <row r="1073">
      <c r="A1073" s="9" t="s">
        <v>1083</v>
      </c>
      <c r="B1073" s="11" t="str">
        <f t="shared" si="1"/>
        <v>NSE:AMRUTANJAN</v>
      </c>
      <c r="C1073" s="12">
        <f>IFERROR(__xludf.DUMMYFUNCTION("GOOGLEFINANCE(B1073,""marketcap"")/10000000"),1913.1986752)</f>
        <v>1913.198675</v>
      </c>
      <c r="D1073" s="13">
        <f>IFERROR(__xludf.DUMMYFUNCTION("GOOGLEFINANCE(B1073,""price"")"),662.95)</f>
        <v>662.95</v>
      </c>
      <c r="E1073" s="14">
        <f>IFERROR(__xludf.DUMMYFUNCTION("GOOGLEFINANCE(B1073,""Volume"")"),16480.0)</f>
        <v>16480</v>
      </c>
      <c r="F1073" s="14">
        <f t="array" ref="F1073">F1072</f>
        <v>14</v>
      </c>
      <c r="G1073" s="15" t="str">
        <f>IFERROR(__xludf.DUMMYFUNCTION("IF(E1073&gt;AVERAGE(INDEX(GOOGLEFINANCE(B1073,""volume"",WORKDAY(TODAY(),-$F$1),TODAY()),,2)),""Breakout"","""")"),"")</f>
        <v/>
      </c>
      <c r="H1073" s="16">
        <f>IFERROR(__xludf.DUMMYFUNCTION("GOOGLEFINANCE(B1073,""price"")"),662.95)</f>
        <v>662.95</v>
      </c>
      <c r="I1073" s="17">
        <f>IFERROR(__xludf.DUMMYFUNCTION("AVERAGE(QUERY(SORT(GOOGLEFINANCE(B1073,""price"",TODAY()-365,TODAY()),1,0),""select Col2 limit 10""))"),699.885)</f>
        <v>699.885</v>
      </c>
      <c r="J1073" s="17">
        <f>IFERROR(__xludf.DUMMYFUNCTION("AVERAGE(QUERY(SORT(GOOGLEFINANCE(B1073,""price"",TODAY()-365,TODAY()),1,0),""select Col2 limit 30""))"),713.7516666666667)</f>
        <v>713.7516667</v>
      </c>
      <c r="K1073" s="18">
        <f>IFERROR(__xludf.DUMMYFUNCTION("AVERAGE(QUERY(SORT(GOOGLEFINANCE(B1073,""price"",TODAY()-365,TODAY()),1,0),""select Col2 limit 60""))"),711.6841666666668)</f>
        <v>711.6841667</v>
      </c>
      <c r="L1073" s="17">
        <f>IFERROR(__xludf.DUMMYFUNCTION("AVERAGE(QUERY(SORT(GOOGLEFINANCE(B1073,""price"",TODAY()-365,TODAY()),1,0),""select Col2 limit 90""))"),690.8861111111114)</f>
        <v>690.8861111</v>
      </c>
      <c r="M1073" s="17">
        <f>IFERROR(__xludf.DUMMYFUNCTION("AVERAGE(QUERY(SORT(GOOGLEFINANCE(B1073,""price"",TODAY()-365,TODAY()),1,0),""select Col2 limit 120""))"),674.0541666666668)</f>
        <v>674.0541667</v>
      </c>
      <c r="N1073" s="19">
        <f>IFERROR(__xludf.DUMMYFUNCTION("AVERAGE(QUERY(SORT(GOOGLEFINANCE(B1073,""price"",TODAY()-365,TODAY()),1,0),""select Col2 limit 200""))"),695.2109999999998)</f>
        <v>695.211</v>
      </c>
      <c r="O1073" s="20" t="str">
        <f t="shared" si="2"/>
        <v>Avoid</v>
      </c>
      <c r="P1073" s="21" t="str">
        <f t="shared" si="3"/>
        <v/>
      </c>
      <c r="Q1073" s="21" t="str">
        <f t="shared" si="4"/>
        <v/>
      </c>
      <c r="R1073" s="22">
        <f>IFERROR(__xludf.DUMMYFUNCTION("GOOGLEFINANCE(B1073, ""pe"")
"),37.62)</f>
        <v>37.62</v>
      </c>
    </row>
    <row r="1074">
      <c r="A1074" s="9" t="s">
        <v>1084</v>
      </c>
      <c r="B1074" s="11" t="str">
        <f t="shared" si="1"/>
        <v>NSE:YASHO</v>
      </c>
      <c r="C1074" s="12">
        <f>IFERROR(__xludf.DUMMYFUNCTION("GOOGLEFINANCE(B1074,""marketcap"")/10000000"),2348.480049)</f>
        <v>2348.480049</v>
      </c>
      <c r="D1074" s="13">
        <f>IFERROR(__xludf.DUMMYFUNCTION("GOOGLEFINANCE(B1074,""price"")"),1937.2)</f>
        <v>1937.2</v>
      </c>
      <c r="E1074" s="14">
        <f>IFERROR(__xludf.DUMMYFUNCTION("GOOGLEFINANCE(B1074,""Volume"")"),5666.0)</f>
        <v>5666</v>
      </c>
      <c r="F1074" s="14">
        <f t="array" ref="F1074">F1073</f>
        <v>14</v>
      </c>
      <c r="G1074" s="15" t="str">
        <f>IFERROR(__xludf.DUMMYFUNCTION("IF(E1074&gt;AVERAGE(INDEX(GOOGLEFINANCE(B1074,""volume"",WORKDAY(TODAY(),-$F$1),TODAY()),,2)),""Breakout"","""")"),"Breakout")</f>
        <v>Breakout</v>
      </c>
      <c r="H1074" s="16">
        <f>IFERROR(__xludf.DUMMYFUNCTION("GOOGLEFINANCE(B1074,""price"")"),1937.2)</f>
        <v>1937.2</v>
      </c>
      <c r="I1074" s="17">
        <f>IFERROR(__xludf.DUMMYFUNCTION("AVERAGE(QUERY(SORT(GOOGLEFINANCE(B1074,""price"",TODAY()-365,TODAY()),1,0),""select Col2 limit 10""))"),1971.45)</f>
        <v>1971.45</v>
      </c>
      <c r="J1074" s="17">
        <f>IFERROR(__xludf.DUMMYFUNCTION("AVERAGE(QUERY(SORT(GOOGLEFINANCE(B1074,""price"",TODAY()-365,TODAY()),1,0),""select Col2 limit 30""))"),2001.5600000000002)</f>
        <v>2001.56</v>
      </c>
      <c r="K1074" s="18">
        <f>IFERROR(__xludf.DUMMYFUNCTION("AVERAGE(QUERY(SORT(GOOGLEFINANCE(B1074,""price"",TODAY()-365,TODAY()),1,0),""select Col2 limit 60""))"),1947.6883333333337)</f>
        <v>1947.688333</v>
      </c>
      <c r="L1074" s="17">
        <f>IFERROR(__xludf.DUMMYFUNCTION("AVERAGE(QUERY(SORT(GOOGLEFINANCE(B1074,""price"",TODAY()-365,TODAY()),1,0),""select Col2 limit 90""))"),1874.8233333333328)</f>
        <v>1874.823333</v>
      </c>
      <c r="M1074" s="17">
        <f>IFERROR(__xludf.DUMMYFUNCTION("AVERAGE(QUERY(SORT(GOOGLEFINANCE(B1074,""price"",TODAY()-365,TODAY()),1,0),""select Col2 limit 120""))"),1876.6270833333324)</f>
        <v>1876.627083</v>
      </c>
      <c r="N1074" s="19">
        <f>IFERROR(__xludf.DUMMYFUNCTION("AVERAGE(QUERY(SORT(GOOGLEFINANCE(B1074,""price"",TODAY()-365,TODAY()),1,0),""select Col2 limit 200""))"),1893.5009999999995)</f>
        <v>1893.501</v>
      </c>
      <c r="O1074" s="20" t="str">
        <f t="shared" si="2"/>
        <v>Avoid</v>
      </c>
      <c r="P1074" s="21" t="str">
        <f t="shared" si="3"/>
        <v>60 DMA</v>
      </c>
      <c r="Q1074" s="21" t="str">
        <f t="shared" si="4"/>
        <v/>
      </c>
      <c r="R1074" s="22">
        <f>IFERROR(__xludf.DUMMYFUNCTION("GOOGLEFINANCE(B1074, ""pe"")
"),364.14)</f>
        <v>364.14</v>
      </c>
    </row>
    <row r="1075">
      <c r="A1075" s="9" t="s">
        <v>1085</v>
      </c>
      <c r="B1075" s="11" t="str">
        <f t="shared" si="1"/>
        <v>NSE:CARYSIL</v>
      </c>
      <c r="C1075" s="12">
        <f>IFERROR(__xludf.DUMMYFUNCTION("GOOGLEFINANCE(B1075,""marketcap"")/10000000"),2497.26028)</f>
        <v>2497.26028</v>
      </c>
      <c r="D1075" s="13">
        <f>IFERROR(__xludf.DUMMYFUNCTION("GOOGLEFINANCE(B1075,""price"")"),877.2)</f>
        <v>877.2</v>
      </c>
      <c r="E1075" s="14">
        <f>IFERROR(__xludf.DUMMYFUNCTION("GOOGLEFINANCE(B1075,""Volume"")"),45231.0)</f>
        <v>45231</v>
      </c>
      <c r="F1075" s="14">
        <f t="array" ref="F1075">F1074</f>
        <v>14</v>
      </c>
      <c r="G1075" s="15" t="str">
        <f>IFERROR(__xludf.DUMMYFUNCTION("IF(E1075&gt;AVERAGE(INDEX(GOOGLEFINANCE(B1075,""volume"",WORKDAY(TODAY(),-$F$1),TODAY()),,2)),""Breakout"","""")"),"")</f>
        <v/>
      </c>
      <c r="H1075" s="16">
        <f>IFERROR(__xludf.DUMMYFUNCTION("GOOGLEFINANCE(B1075,""price"")"),877.2)</f>
        <v>877.2</v>
      </c>
      <c r="I1075" s="17">
        <f>IFERROR(__xludf.DUMMYFUNCTION("AVERAGE(QUERY(SORT(GOOGLEFINANCE(B1075,""price"",TODAY()-365,TODAY()),1,0),""select Col2 limit 10""))"),885.4849999999999)</f>
        <v>885.485</v>
      </c>
      <c r="J1075" s="17">
        <f>IFERROR(__xludf.DUMMYFUNCTION("AVERAGE(QUERY(SORT(GOOGLEFINANCE(B1075,""price"",TODAY()-365,TODAY()),1,0),""select Col2 limit 30""))"),873.4066666666664)</f>
        <v>873.4066667</v>
      </c>
      <c r="K1075" s="18">
        <f>IFERROR(__xludf.DUMMYFUNCTION("AVERAGE(QUERY(SORT(GOOGLEFINANCE(B1075,""price"",TODAY()-365,TODAY()),1,0),""select Col2 limit 60""))"),815.8224999999999)</f>
        <v>815.8225</v>
      </c>
      <c r="L1075" s="17">
        <f>IFERROR(__xludf.DUMMYFUNCTION("AVERAGE(QUERY(SORT(GOOGLEFINANCE(B1075,""price"",TODAY()-365,TODAY()),1,0),""select Col2 limit 90""))"),753.5494444444444)</f>
        <v>753.5494444</v>
      </c>
      <c r="M1075" s="17">
        <f>IFERROR(__xludf.DUMMYFUNCTION("AVERAGE(QUERY(SORT(GOOGLEFINANCE(B1075,""price"",TODAY()-365,TODAY()),1,0),""select Col2 limit 120""))"),712.2033333333335)</f>
        <v>712.2033333</v>
      </c>
      <c r="N1075" s="19">
        <f>IFERROR(__xludf.DUMMYFUNCTION("AVERAGE(QUERY(SORT(GOOGLEFINANCE(B1075,""price"",TODAY()-365,TODAY()),1,0),""select Col2 limit 200""))"),732.3747500000006)</f>
        <v>732.37475</v>
      </c>
      <c r="O1075" s="20" t="str">
        <f t="shared" si="2"/>
        <v>Avoid</v>
      </c>
      <c r="P1075" s="21" t="str">
        <f t="shared" si="3"/>
        <v>10 DMA</v>
      </c>
      <c r="Q1075" s="21" t="str">
        <f t="shared" si="4"/>
        <v/>
      </c>
      <c r="R1075" s="22">
        <f>IFERROR(__xludf.DUMMYFUNCTION("GOOGLEFINANCE(B1075, ""pe"")
"),39.14)</f>
        <v>39.14</v>
      </c>
    </row>
    <row r="1076">
      <c r="A1076" s="9" t="s">
        <v>1086</v>
      </c>
      <c r="B1076" s="11" t="str">
        <f t="shared" si="1"/>
        <v>NSE:KRSNAA</v>
      </c>
      <c r="C1076" s="12">
        <f>IFERROR(__xludf.DUMMYFUNCTION("GOOGLEFINANCE(B1076,""marketcap"")/10000000"),2768.3153235)</f>
        <v>2768.315324</v>
      </c>
      <c r="D1076" s="13">
        <f>IFERROR(__xludf.DUMMYFUNCTION("GOOGLEFINANCE(B1076,""price"")"),854.1)</f>
        <v>854.1</v>
      </c>
      <c r="E1076" s="14">
        <f>IFERROR(__xludf.DUMMYFUNCTION("GOOGLEFINANCE(B1076,""Volume"")"),30632.0)</f>
        <v>30632</v>
      </c>
      <c r="F1076" s="14">
        <f t="array" ref="F1076">F1075</f>
        <v>14</v>
      </c>
      <c r="G1076" s="15" t="str">
        <f>IFERROR(__xludf.DUMMYFUNCTION("IF(E1076&gt;AVERAGE(INDEX(GOOGLEFINANCE(B1076,""volume"",WORKDAY(TODAY(),-$F$1),TODAY()),,2)),""Breakout"","""")"),"")</f>
        <v/>
      </c>
      <c r="H1076" s="16">
        <f>IFERROR(__xludf.DUMMYFUNCTION("GOOGLEFINANCE(B1076,""price"")"),854.1)</f>
        <v>854.1</v>
      </c>
      <c r="I1076" s="17">
        <f>IFERROR(__xludf.DUMMYFUNCTION("AVERAGE(QUERY(SORT(GOOGLEFINANCE(B1076,""price"",TODAY()-365,TODAY()),1,0),""select Col2 limit 10""))"),842.6650000000002)</f>
        <v>842.665</v>
      </c>
      <c r="J1076" s="17">
        <f>IFERROR(__xludf.DUMMYFUNCTION("AVERAGE(QUERY(SORT(GOOGLEFINANCE(B1076,""price"",TODAY()-365,TODAY()),1,0),""select Col2 limit 30""))"),761.1200000000001)</f>
        <v>761.12</v>
      </c>
      <c r="K1076" s="18">
        <f>IFERROR(__xludf.DUMMYFUNCTION("AVERAGE(QUERY(SORT(GOOGLEFINANCE(B1076,""price"",TODAY()-365,TODAY()),1,0),""select Col2 limit 60""))"),715.6975000000002)</f>
        <v>715.6975</v>
      </c>
      <c r="L1076" s="17">
        <f>IFERROR(__xludf.DUMMYFUNCTION("AVERAGE(QUERY(SORT(GOOGLEFINANCE(B1076,""price"",TODAY()-365,TODAY()),1,0),""select Col2 limit 90""))"),735.0422222222224)</f>
        <v>735.0422222</v>
      </c>
      <c r="M1076" s="17">
        <f>IFERROR(__xludf.DUMMYFUNCTION("AVERAGE(QUERY(SORT(GOOGLEFINANCE(B1076,""price"",TODAY()-365,TODAY()),1,0),""select Col2 limit 120""))"),744.83)</f>
        <v>744.83</v>
      </c>
      <c r="N1076" s="19">
        <f>IFERROR(__xludf.DUMMYFUNCTION("AVERAGE(QUERY(SORT(GOOGLEFINANCE(B1076,""price"",TODAY()-365,TODAY()),1,0),""select Col2 limit 200""))"),805.0584999999996)</f>
        <v>805.0585</v>
      </c>
      <c r="O1076" s="20" t="str">
        <f t="shared" si="2"/>
        <v>Avoid</v>
      </c>
      <c r="P1076" s="21" t="str">
        <f t="shared" si="3"/>
        <v/>
      </c>
      <c r="Q1076" s="21" t="str">
        <f t="shared" si="4"/>
        <v/>
      </c>
      <c r="R1076" s="22">
        <f>IFERROR(__xludf.DUMMYFUNCTION("GOOGLEFINANCE(B1076, ""pe"")
"),36.25)</f>
        <v>36.25</v>
      </c>
    </row>
    <row r="1077">
      <c r="A1077" s="9" t="s">
        <v>1087</v>
      </c>
      <c r="B1077" s="11" t="str">
        <f t="shared" si="1"/>
        <v>NSE:UDS</v>
      </c>
      <c r="C1077" s="12">
        <f>IFERROR(__xludf.DUMMYFUNCTION("GOOGLEFINANCE(B1077,""marketcap"")/10000000"),1927.5837387)</f>
        <v>1927.583739</v>
      </c>
      <c r="D1077" s="13">
        <f>IFERROR(__xludf.DUMMYFUNCTION("GOOGLEFINANCE(B1077,""price"")"),287.5)</f>
        <v>287.5</v>
      </c>
      <c r="E1077" s="14">
        <f>IFERROR(__xludf.DUMMYFUNCTION("GOOGLEFINANCE(B1077,""Volume"")"),417394.0)</f>
        <v>417394</v>
      </c>
      <c r="F1077" s="14">
        <f t="array" ref="F1077">F1076</f>
        <v>14</v>
      </c>
      <c r="G1077" s="15" t="str">
        <f>IFERROR(__xludf.DUMMYFUNCTION("IF(E1077&gt;AVERAGE(INDEX(GOOGLEFINANCE(B1077,""volume"",WORKDAY(TODAY(),-$F$1),TODAY()),,2)),""Breakout"","""")"),"")</f>
        <v/>
      </c>
      <c r="H1077" s="16">
        <f>IFERROR(__xludf.DUMMYFUNCTION("GOOGLEFINANCE(B1077,""price"")"),287.5)</f>
        <v>287.5</v>
      </c>
      <c r="I1077" s="17">
        <f>IFERROR(__xludf.DUMMYFUNCTION("AVERAGE(QUERY(SORT(GOOGLEFINANCE(B1077,""price"",TODAY()-365,TODAY()),1,0),""select Col2 limit 10""))"),287.46999999999997)</f>
        <v>287.47</v>
      </c>
      <c r="J1077" s="17">
        <f>IFERROR(__xludf.DUMMYFUNCTION("AVERAGE(QUERY(SORT(GOOGLEFINANCE(B1077,""price"",TODAY()-365,TODAY()),1,0),""select Col2 limit 30""))"),289.3933333333334)</f>
        <v>289.3933333</v>
      </c>
      <c r="K1077" s="18">
        <f>IFERROR(__xludf.DUMMYFUNCTION("AVERAGE(QUERY(SORT(GOOGLEFINANCE(B1077,""price"",TODAY()-365,TODAY()),1,0),""select Col2 limit 60""))"),300.40000000000003)</f>
        <v>300.4</v>
      </c>
      <c r="L1077" s="17">
        <f>IFERROR(__xludf.DUMMYFUNCTION("AVERAGE(QUERY(SORT(GOOGLEFINANCE(B1077,""price"",TODAY()-365,TODAY()),1,0),""select Col2 limit 90""))"),296.6444444444444)</f>
        <v>296.6444444</v>
      </c>
      <c r="M1077" s="17">
        <f>IFERROR(__xludf.DUMMYFUNCTION("AVERAGE(QUERY(SORT(GOOGLEFINANCE(B1077,""price"",TODAY()-365,TODAY()),1,0),""select Col2 limit 120""))"),300.8462499999999)</f>
        <v>300.84625</v>
      </c>
      <c r="N1077" s="19">
        <f>IFERROR(__xludf.DUMMYFUNCTION("AVERAGE(QUERY(SORT(GOOGLEFINANCE(B1077,""price"",TODAY()-365,TODAY()),1,0),""select Col2 limit 200""))"),332.7587499999998)</f>
        <v>332.75875</v>
      </c>
      <c r="O1077" s="20" t="str">
        <f t="shared" si="2"/>
        <v>Avoid</v>
      </c>
      <c r="P1077" s="21" t="str">
        <f t="shared" si="3"/>
        <v>30 DMA</v>
      </c>
      <c r="Q1077" s="21" t="str">
        <f t="shared" si="4"/>
        <v>30 DMA cross best</v>
      </c>
      <c r="R1077" s="22">
        <f>IFERROR(__xludf.DUMMYFUNCTION("GOOGLEFINANCE(B1077, ""pe"")
"),16.27)</f>
        <v>16.27</v>
      </c>
    </row>
    <row r="1078">
      <c r="A1078" s="9" t="s">
        <v>1088</v>
      </c>
      <c r="B1078" s="11" t="str">
        <f t="shared" si="1"/>
        <v>NSE:ARMANFIN</v>
      </c>
      <c r="C1078" s="12">
        <f>IFERROR(__xludf.DUMMYFUNCTION("GOOGLEFINANCE(B1078,""marketcap"")/10000000"),1732.5960608)</f>
        <v>1732.596061</v>
      </c>
      <c r="D1078" s="13">
        <f>IFERROR(__xludf.DUMMYFUNCTION("GOOGLEFINANCE(B1078,""price"")"),1635.6)</f>
        <v>1635.6</v>
      </c>
      <c r="E1078" s="14">
        <f>IFERROR(__xludf.DUMMYFUNCTION("GOOGLEFINANCE(B1078,""Volume"")"),10574.0)</f>
        <v>10574</v>
      </c>
      <c r="F1078" s="14">
        <f t="array" ref="F1078">F1077</f>
        <v>14</v>
      </c>
      <c r="G1078" s="15" t="str">
        <f>IFERROR(__xludf.DUMMYFUNCTION("IF(E1078&gt;AVERAGE(INDEX(GOOGLEFINANCE(B1078,""volume"",WORKDAY(TODAY(),-$F$1),TODAY()),,2)),""Breakout"","""")"),"")</f>
        <v/>
      </c>
      <c r="H1078" s="16">
        <f>IFERROR(__xludf.DUMMYFUNCTION("GOOGLEFINANCE(B1078,""price"")"),1635.6)</f>
        <v>1635.6</v>
      </c>
      <c r="I1078" s="17">
        <f>IFERROR(__xludf.DUMMYFUNCTION("AVERAGE(QUERY(SORT(GOOGLEFINANCE(B1078,""price"",TODAY()-365,TODAY()),1,0),""select Col2 limit 10""))"),1667.31)</f>
        <v>1667.31</v>
      </c>
      <c r="J1078" s="17">
        <f>IFERROR(__xludf.DUMMYFUNCTION("AVERAGE(QUERY(SORT(GOOGLEFINANCE(B1078,""price"",TODAY()-365,TODAY()),1,0),""select Col2 limit 30""))"),1722.3066666666668)</f>
        <v>1722.306667</v>
      </c>
      <c r="K1078" s="18">
        <f>IFERROR(__xludf.DUMMYFUNCTION("AVERAGE(QUERY(SORT(GOOGLEFINANCE(B1078,""price"",TODAY()-365,TODAY()),1,0),""select Col2 limit 60""))"),1632.9833333333331)</f>
        <v>1632.983333</v>
      </c>
      <c r="L1078" s="17">
        <f>IFERROR(__xludf.DUMMYFUNCTION("AVERAGE(QUERY(SORT(GOOGLEFINANCE(B1078,""price"",TODAY()-365,TODAY()),1,0),""select Col2 limit 90""))"),1563.653333333333)</f>
        <v>1563.653333</v>
      </c>
      <c r="M1078" s="17">
        <f>IFERROR(__xludf.DUMMYFUNCTION("AVERAGE(QUERY(SORT(GOOGLEFINANCE(B1078,""price"",TODAY()-365,TODAY()),1,0),""select Col2 limit 120""))"),1503.7695833333332)</f>
        <v>1503.769583</v>
      </c>
      <c r="N1078" s="19">
        <f>IFERROR(__xludf.DUMMYFUNCTION("AVERAGE(QUERY(SORT(GOOGLEFINANCE(B1078,""price"",TODAY()-365,TODAY()),1,0),""select Col2 limit 200""))"),1449.3335000000006)</f>
        <v>1449.3335</v>
      </c>
      <c r="O1078" s="20" t="str">
        <f t="shared" si="2"/>
        <v>Avoid</v>
      </c>
      <c r="P1078" s="21" t="str">
        <f t="shared" si="3"/>
        <v/>
      </c>
      <c r="Q1078" s="21" t="str">
        <f t="shared" si="4"/>
        <v/>
      </c>
      <c r="R1078" s="22">
        <f>IFERROR(__xludf.DUMMYFUNCTION("GOOGLEFINANCE(B1078, ""pe"")
"),33.52)</f>
        <v>33.52</v>
      </c>
    </row>
    <row r="1079">
      <c r="A1079" s="9" t="s">
        <v>1089</v>
      </c>
      <c r="B1079" s="11" t="str">
        <f t="shared" si="1"/>
        <v>NSE:RAMCOIND</v>
      </c>
      <c r="C1079" s="12">
        <f>IFERROR(__xludf.DUMMYFUNCTION("GOOGLEFINANCE(B1079,""marketcap"")/10000000"),2485.3429955)</f>
        <v>2485.342996</v>
      </c>
      <c r="D1079" s="13">
        <f>IFERROR(__xludf.DUMMYFUNCTION("GOOGLEFINANCE(B1079,""price"")"),286.1)</f>
        <v>286.1</v>
      </c>
      <c r="E1079" s="14">
        <f>IFERROR(__xludf.DUMMYFUNCTION("GOOGLEFINANCE(B1079,""Volume"")"),58212.0)</f>
        <v>58212</v>
      </c>
      <c r="F1079" s="14">
        <f t="array" ref="F1079">F1078</f>
        <v>14</v>
      </c>
      <c r="G1079" s="15" t="str">
        <f>IFERROR(__xludf.DUMMYFUNCTION("IF(E1079&gt;AVERAGE(INDEX(GOOGLEFINANCE(B1079,""volume"",WORKDAY(TODAY(),-$F$1),TODAY()),,2)),""Breakout"","""")"),"")</f>
        <v/>
      </c>
      <c r="H1079" s="16">
        <f>IFERROR(__xludf.DUMMYFUNCTION("GOOGLEFINANCE(B1079,""price"")"),286.1)</f>
        <v>286.1</v>
      </c>
      <c r="I1079" s="17">
        <f>IFERROR(__xludf.DUMMYFUNCTION("AVERAGE(QUERY(SORT(GOOGLEFINANCE(B1079,""price"",TODAY()-365,TODAY()),1,0),""select Col2 limit 10""))"),287.69)</f>
        <v>287.69</v>
      </c>
      <c r="J1079" s="17">
        <f>IFERROR(__xludf.DUMMYFUNCTION("AVERAGE(QUERY(SORT(GOOGLEFINANCE(B1079,""price"",TODAY()-365,TODAY()),1,0),""select Col2 limit 30""))"),279.76333333333326)</f>
        <v>279.7633333</v>
      </c>
      <c r="K1079" s="18">
        <f>IFERROR(__xludf.DUMMYFUNCTION("AVERAGE(QUERY(SORT(GOOGLEFINANCE(B1079,""price"",TODAY()-365,TODAY()),1,0),""select Col2 limit 60""))"),267.4568333333333)</f>
        <v>267.4568333</v>
      </c>
      <c r="L1079" s="17">
        <f>IFERROR(__xludf.DUMMYFUNCTION("AVERAGE(QUERY(SORT(GOOGLEFINANCE(B1079,""price"",TODAY()-365,TODAY()),1,0),""select Col2 limit 90""))"),256.5971111111111)</f>
        <v>256.5971111</v>
      </c>
      <c r="M1079" s="17">
        <f>IFERROR(__xludf.DUMMYFUNCTION("AVERAGE(QUERY(SORT(GOOGLEFINANCE(B1079,""price"",TODAY()-365,TODAY()),1,0),""select Col2 limit 120""))"),252.00849999999994)</f>
        <v>252.0085</v>
      </c>
      <c r="N1079" s="19">
        <f>IFERROR(__xludf.DUMMYFUNCTION("AVERAGE(QUERY(SORT(GOOGLEFINANCE(B1079,""price"",TODAY()-365,TODAY()),1,0),""select Col2 limit 200""))"),258.3517)</f>
        <v>258.3517</v>
      </c>
      <c r="O1079" s="20" t="str">
        <f t="shared" si="2"/>
        <v>Avoid</v>
      </c>
      <c r="P1079" s="21" t="str">
        <f t="shared" si="3"/>
        <v>10 DMA</v>
      </c>
      <c r="Q1079" s="21" t="str">
        <f t="shared" si="4"/>
        <v/>
      </c>
      <c r="R1079" s="22">
        <f>IFERROR(__xludf.DUMMYFUNCTION("GOOGLEFINANCE(B1079, ""pe"")
"),13.7)</f>
        <v>13.7</v>
      </c>
    </row>
    <row r="1080">
      <c r="A1080" s="9" t="s">
        <v>1090</v>
      </c>
      <c r="B1080" s="11" t="str">
        <f t="shared" si="1"/>
        <v>NSE:DIAMONDYD</v>
      </c>
      <c r="C1080" s="12">
        <f>IFERROR(__xludf.DUMMYFUNCTION("GOOGLEFINANCE(B1080,""marketcap"")/10000000"),2334.1043025)</f>
        <v>2334.104303</v>
      </c>
      <c r="D1080" s="13">
        <f>IFERROR(__xludf.DUMMYFUNCTION("GOOGLEFINANCE(B1080,""price"")"),977.6)</f>
        <v>977.6</v>
      </c>
      <c r="E1080" s="14">
        <f>IFERROR(__xludf.DUMMYFUNCTION("GOOGLEFINANCE(B1080,""Volume"")"),43804.0)</f>
        <v>43804</v>
      </c>
      <c r="F1080" s="14">
        <f t="array" ref="F1080">F1079</f>
        <v>14</v>
      </c>
      <c r="G1080" s="15" t="str">
        <f>IFERROR(__xludf.DUMMYFUNCTION("IF(E1080&gt;AVERAGE(INDEX(GOOGLEFINANCE(B1080,""volume"",WORKDAY(TODAY(),-$F$1),TODAY()),,2)),""Breakout"","""")"),"#N/A")</f>
        <v>#N/A</v>
      </c>
      <c r="H1080" s="16">
        <f>IFERROR(__xludf.DUMMYFUNCTION("GOOGLEFINANCE(B1080,""price"")"),977.6)</f>
        <v>977.6</v>
      </c>
      <c r="I1080" s="17">
        <f>IFERROR(__xludf.DUMMYFUNCTION("AVERAGE(QUERY(SORT(GOOGLEFINANCE(B1080,""price"",TODAY()-365,TODAY()),1,0),""select Col2 limit 10""))"),1046.3600000000001)</f>
        <v>1046.36</v>
      </c>
      <c r="J1080" s="17">
        <f>IFERROR(__xludf.DUMMYFUNCTION("AVERAGE(QUERY(SORT(GOOGLEFINANCE(B1080,""price"",TODAY()-365,TODAY()),1,0),""select Col2 limit 30""))"),1046.7166666666667)</f>
        <v>1046.716667</v>
      </c>
      <c r="K1080" s="18">
        <f>IFERROR(__xludf.DUMMYFUNCTION("AVERAGE(QUERY(SORT(GOOGLEFINANCE(B1080,""price"",TODAY()-365,TODAY()),1,0),""select Col2 limit 60""))"),1093.9516666666664)</f>
        <v>1093.951667</v>
      </c>
      <c r="L1080" s="17">
        <f>IFERROR(__xludf.DUMMYFUNCTION("AVERAGE(QUERY(SORT(GOOGLEFINANCE(B1080,""price"",TODAY()-365,TODAY()),1,0),""select Col2 limit 90""))"),1105.9527777777778)</f>
        <v>1105.952778</v>
      </c>
      <c r="M1080" s="17">
        <f>IFERROR(__xludf.DUMMYFUNCTION("AVERAGE(QUERY(SORT(GOOGLEFINANCE(B1080,""price"",TODAY()-365,TODAY()),1,0),""select Col2 limit 120""))"),1095.9208333333331)</f>
        <v>1095.920833</v>
      </c>
      <c r="N1080" s="19">
        <f>IFERROR(__xludf.DUMMYFUNCTION("AVERAGE(QUERY(SORT(GOOGLEFINANCE(B1080,""price"",TODAY()-365,TODAY()),1,0),""select Col2 limit 200""))"),1085.0502499999996)</f>
        <v>1085.05025</v>
      </c>
      <c r="O1080" s="20" t="str">
        <f t="shared" si="2"/>
        <v>Avoid</v>
      </c>
      <c r="P1080" s="21" t="str">
        <f t="shared" si="3"/>
        <v/>
      </c>
      <c r="Q1080" s="21" t="str">
        <f t="shared" si="4"/>
        <v/>
      </c>
      <c r="R1080" s="22" t="str">
        <f>IFERROR(__xludf.DUMMYFUNCTION("GOOGLEFINANCE(B1080, ""pe"")
"),"#N/A")</f>
        <v>#N/A</v>
      </c>
    </row>
    <row r="1081">
      <c r="A1081" s="9" t="s">
        <v>1091</v>
      </c>
      <c r="B1081" s="11" t="str">
        <f t="shared" si="1"/>
        <v>NSE:BARBEQUE</v>
      </c>
      <c r="C1081" s="12">
        <f>IFERROR(__xludf.DUMMYFUNCTION("GOOGLEFINANCE(B1081,""marketcap"")/10000000"),1201.9355765)</f>
        <v>1201.935577</v>
      </c>
      <c r="D1081" s="13">
        <f>IFERROR(__xludf.DUMMYFUNCTION("GOOGLEFINANCE(B1081,""price"")"),308.6)</f>
        <v>308.6</v>
      </c>
      <c r="E1081" s="14">
        <f>IFERROR(__xludf.DUMMYFUNCTION("GOOGLEFINANCE(B1081,""Volume"")"),23536.0)</f>
        <v>23536</v>
      </c>
      <c r="F1081" s="14">
        <f t="array" ref="F1081">F1080</f>
        <v>14</v>
      </c>
      <c r="G1081" s="15" t="str">
        <f>IFERROR(__xludf.DUMMYFUNCTION("IF(E1081&gt;AVERAGE(INDEX(GOOGLEFINANCE(B1081,""volume"",WORKDAY(TODAY(),-$F$1),TODAY()),,2)),""Breakout"","""")"),"")</f>
        <v/>
      </c>
      <c r="H1081" s="16">
        <f>IFERROR(__xludf.DUMMYFUNCTION("GOOGLEFINANCE(B1081,""price"")"),308.6)</f>
        <v>308.6</v>
      </c>
      <c r="I1081" s="17">
        <f>IFERROR(__xludf.DUMMYFUNCTION("AVERAGE(QUERY(SORT(GOOGLEFINANCE(B1081,""price"",TODAY()-365,TODAY()),1,0),""select Col2 limit 10""))"),313.86500000000007)</f>
        <v>313.865</v>
      </c>
      <c r="J1081" s="17">
        <f>IFERROR(__xludf.DUMMYFUNCTION("AVERAGE(QUERY(SORT(GOOGLEFINANCE(B1081,""price"",TODAY()-365,TODAY()),1,0),""select Col2 limit 30""))"),314.6633333333333)</f>
        <v>314.6633333</v>
      </c>
      <c r="K1081" s="18">
        <f>IFERROR(__xludf.DUMMYFUNCTION("AVERAGE(QUERY(SORT(GOOGLEFINANCE(B1081,""price"",TODAY()-365,TODAY()),1,0),""select Col2 limit 60""))"),318.0925)</f>
        <v>318.0925</v>
      </c>
      <c r="L1081" s="17">
        <f>IFERROR(__xludf.DUMMYFUNCTION("AVERAGE(QUERY(SORT(GOOGLEFINANCE(B1081,""price"",TODAY()-365,TODAY()),1,0),""select Col2 limit 90""))"),306.0888888888889)</f>
        <v>306.0888889</v>
      </c>
      <c r="M1081" s="17">
        <f>IFERROR(__xludf.DUMMYFUNCTION("AVERAGE(QUERY(SORT(GOOGLEFINANCE(B1081,""price"",TODAY()-365,TODAY()),1,0),""select Col2 limit 120""))"),303.5020833333332)</f>
        <v>303.5020833</v>
      </c>
      <c r="N1081" s="19">
        <f>IFERROR(__xludf.DUMMYFUNCTION("AVERAGE(QUERY(SORT(GOOGLEFINANCE(B1081,""price"",TODAY()-365,TODAY()),1,0),""select Col2 limit 200""))"),384.3352499999998)</f>
        <v>384.33525</v>
      </c>
      <c r="O1081" s="20" t="str">
        <f t="shared" si="2"/>
        <v>Avoid</v>
      </c>
      <c r="P1081" s="21" t="str">
        <f t="shared" si="3"/>
        <v/>
      </c>
      <c r="Q1081" s="21" t="str">
        <f t="shared" si="4"/>
        <v/>
      </c>
      <c r="R1081" s="22" t="str">
        <f>IFERROR(__xludf.DUMMYFUNCTION("GOOGLEFINANCE(B1081, ""pe"")
"),"#N/A")</f>
        <v>#N/A</v>
      </c>
    </row>
    <row r="1082">
      <c r="A1082" s="9" t="s">
        <v>1092</v>
      </c>
      <c r="B1082" s="11" t="str">
        <f t="shared" si="1"/>
        <v>NSE:THEMISMED</v>
      </c>
      <c r="C1082" s="12">
        <f>IFERROR(__xludf.DUMMYFUNCTION("GOOGLEFINANCE(B1082,""marketcap"")/10000000"),1062.6951016)</f>
        <v>1062.695102</v>
      </c>
      <c r="D1082" s="13">
        <f>IFERROR(__xludf.DUMMYFUNCTION("GOOGLEFINANCE(B1082,""price"")"),115.46)</f>
        <v>115.46</v>
      </c>
      <c r="E1082" s="14">
        <f>IFERROR(__xludf.DUMMYFUNCTION("GOOGLEFINANCE(B1082,""Volume"")"),47592.0)</f>
        <v>47592</v>
      </c>
      <c r="F1082" s="14">
        <f t="array" ref="F1082">F1081</f>
        <v>14</v>
      </c>
      <c r="G1082" s="15" t="str">
        <f>IFERROR(__xludf.DUMMYFUNCTION("IF(E1082&gt;AVERAGE(INDEX(GOOGLEFINANCE(B1082,""volume"",WORKDAY(TODAY(),-$F$1),TODAY()),,2)),""Breakout"","""")"),"")</f>
        <v/>
      </c>
      <c r="H1082" s="16">
        <f>IFERROR(__xludf.DUMMYFUNCTION("GOOGLEFINANCE(B1082,""price"")"),115.46)</f>
        <v>115.46</v>
      </c>
      <c r="I1082" s="17">
        <f>IFERROR(__xludf.DUMMYFUNCTION("AVERAGE(QUERY(SORT(GOOGLEFINANCE(B1082,""price"",TODAY()-365,TODAY()),1,0),""select Col2 limit 10""))"),123.25999999999999)</f>
        <v>123.26</v>
      </c>
      <c r="J1082" s="17">
        <f>IFERROR(__xludf.DUMMYFUNCTION("AVERAGE(QUERY(SORT(GOOGLEFINANCE(B1082,""price"",TODAY()-365,TODAY()),1,0),""select Col2 limit 30""))"),127.44933333333333)</f>
        <v>127.4493333</v>
      </c>
      <c r="K1082" s="18">
        <f>IFERROR(__xludf.DUMMYFUNCTION("AVERAGE(QUERY(SORT(GOOGLEFINANCE(B1082,""price"",TODAY()-365,TODAY()),1,0),""select Col2 limit 60""))"),133.143)</f>
        <v>133.143</v>
      </c>
      <c r="L1082" s="17">
        <f>IFERROR(__xludf.DUMMYFUNCTION("AVERAGE(QUERY(SORT(GOOGLEFINANCE(B1082,""price"",TODAY()-365,TODAY()),1,0),""select Col2 limit 90""))"),135.51566666666668)</f>
        <v>135.5156667</v>
      </c>
      <c r="M1082" s="17">
        <f>IFERROR(__xludf.DUMMYFUNCTION("AVERAGE(QUERY(SORT(GOOGLEFINANCE(B1082,""price"",TODAY()-365,TODAY()),1,0),""select Col2 limit 120""))"),148.05491666666674)</f>
        <v>148.0549167</v>
      </c>
      <c r="N1082" s="19">
        <f>IFERROR(__xludf.DUMMYFUNCTION("AVERAGE(QUERY(SORT(GOOGLEFINANCE(B1082,""price"",TODAY()-365,TODAY()),1,0),""select Col2 limit 200""))"),197.01395)</f>
        <v>197.01395</v>
      </c>
      <c r="O1082" s="20" t="str">
        <f t="shared" si="2"/>
        <v>Avoid</v>
      </c>
      <c r="P1082" s="21" t="str">
        <f t="shared" si="3"/>
        <v/>
      </c>
      <c r="Q1082" s="21" t="str">
        <f t="shared" si="4"/>
        <v/>
      </c>
      <c r="R1082" s="22">
        <f>IFERROR(__xludf.DUMMYFUNCTION("GOOGLEFINANCE(B1082, ""pe"")
"),35.64)</f>
        <v>35.64</v>
      </c>
    </row>
    <row r="1083">
      <c r="A1083" s="9" t="s">
        <v>1093</v>
      </c>
      <c r="B1083" s="11" t="str">
        <f t="shared" si="1"/>
        <v>NSE:ATFL</v>
      </c>
      <c r="C1083" s="12" t="str">
        <f>IFERROR(__xludf.DUMMYFUNCTION("GOOGLEFINANCE(B1083,""marketcap"")/10000000"),"#N/A")</f>
        <v>#N/A</v>
      </c>
      <c r="D1083" s="13" t="str">
        <f>IFERROR(__xludf.DUMMYFUNCTION("GOOGLEFINANCE(B1083,""price"")"),"#N/A")</f>
        <v>#N/A</v>
      </c>
      <c r="E1083" s="14" t="str">
        <f>IFERROR(__xludf.DUMMYFUNCTION("GOOGLEFINANCE(B1083,""Volume"")"),"#N/A")</f>
        <v>#N/A</v>
      </c>
      <c r="F1083" s="14">
        <f t="array" ref="F1083">F1082</f>
        <v>14</v>
      </c>
      <c r="G1083" s="15" t="str">
        <f>IFERROR(__xludf.DUMMYFUNCTION("IF(E1083&gt;AVERAGE(INDEX(GOOGLEFINANCE(B1083,""volume"",WORKDAY(TODAY(),-$F$1),TODAY()),,2)),""Breakout"","""")"),"#N/A")</f>
        <v>#N/A</v>
      </c>
      <c r="H1083" s="16" t="str">
        <f>IFERROR(__xludf.DUMMYFUNCTION("GOOGLEFINANCE(B1083,""price"")"),"#N/A")</f>
        <v>#N/A</v>
      </c>
      <c r="I1083" s="17" t="str">
        <f>IFERROR(__xludf.DUMMYFUNCTION("AVERAGE(QUERY(SORT(GOOGLEFINANCE(B1083,""price"",TODAY()-365,TODAY()),1,0),""select Col2 limit 10""))"),"#N/A")</f>
        <v>#N/A</v>
      </c>
      <c r="J1083" s="17" t="str">
        <f>IFERROR(__xludf.DUMMYFUNCTION("AVERAGE(QUERY(SORT(GOOGLEFINANCE(B1083,""price"",TODAY()-365,TODAY()),1,0),""select Col2 limit 30""))"),"#N/A")</f>
        <v>#N/A</v>
      </c>
      <c r="K1083" s="18" t="str">
        <f>IFERROR(__xludf.DUMMYFUNCTION("AVERAGE(QUERY(SORT(GOOGLEFINANCE(B1083,""price"",TODAY()-365,TODAY()),1,0),""select Col2 limit 60""))"),"#N/A")</f>
        <v>#N/A</v>
      </c>
      <c r="L1083" s="17" t="str">
        <f>IFERROR(__xludf.DUMMYFUNCTION("AVERAGE(QUERY(SORT(GOOGLEFINANCE(B1083,""price"",TODAY()-365,TODAY()),1,0),""select Col2 limit 90""))"),"#N/A")</f>
        <v>#N/A</v>
      </c>
      <c r="M1083" s="17" t="str">
        <f>IFERROR(__xludf.DUMMYFUNCTION("AVERAGE(QUERY(SORT(GOOGLEFINANCE(B1083,""price"",TODAY()-365,TODAY()),1,0),""select Col2 limit 120""))"),"#N/A")</f>
        <v>#N/A</v>
      </c>
      <c r="N1083" s="19" t="str">
        <f>IFERROR(__xludf.DUMMYFUNCTION("AVERAGE(QUERY(SORT(GOOGLEFINANCE(B1083,""price"",TODAY()-365,TODAY()),1,0),""select Col2 limit 200""))"),"#N/A")</f>
        <v>#N/A</v>
      </c>
      <c r="O1083" s="20" t="str">
        <f t="shared" si="2"/>
        <v>#N/A</v>
      </c>
      <c r="P1083" s="21" t="str">
        <f t="shared" si="3"/>
        <v>#N/A</v>
      </c>
      <c r="Q1083" s="21" t="str">
        <f t="shared" si="4"/>
        <v>#N/A</v>
      </c>
      <c r="R1083" s="22" t="str">
        <f>IFERROR(__xludf.DUMMYFUNCTION("GOOGLEFINANCE(B1083, ""pe"")
"),"#N/A")</f>
        <v>#N/A</v>
      </c>
    </row>
    <row r="1084">
      <c r="A1084" s="9" t="s">
        <v>1094</v>
      </c>
      <c r="B1084" s="11" t="str">
        <f t="shared" si="1"/>
        <v>NSE:DIVGIITTS</v>
      </c>
      <c r="C1084" s="12">
        <f>IFERROR(__xludf.DUMMYFUNCTION("GOOGLEFINANCE(B1084,""marketcap"")/10000000"),1975.8101553)</f>
        <v>1975.810155</v>
      </c>
      <c r="D1084" s="13">
        <f>IFERROR(__xludf.DUMMYFUNCTION("GOOGLEFINANCE(B1084,""price"")"),646.05)</f>
        <v>646.05</v>
      </c>
      <c r="E1084" s="14">
        <f>IFERROR(__xludf.DUMMYFUNCTION("GOOGLEFINANCE(B1084,""Volume"")"),3423.0)</f>
        <v>3423</v>
      </c>
      <c r="F1084" s="14">
        <f t="array" ref="F1084">F1083</f>
        <v>14</v>
      </c>
      <c r="G1084" s="15" t="str">
        <f>IFERROR(__xludf.DUMMYFUNCTION("IF(E1084&gt;AVERAGE(INDEX(GOOGLEFINANCE(B1084,""volume"",WORKDAY(TODAY(),-$F$1),TODAY()),,2)),""Breakout"","""")"),"")</f>
        <v/>
      </c>
      <c r="H1084" s="16">
        <f>IFERROR(__xludf.DUMMYFUNCTION("GOOGLEFINANCE(B1084,""price"")"),646.05)</f>
        <v>646.05</v>
      </c>
      <c r="I1084" s="17">
        <f>IFERROR(__xludf.DUMMYFUNCTION("AVERAGE(QUERY(SORT(GOOGLEFINANCE(B1084,""price"",TODAY()-365,TODAY()),1,0),""select Col2 limit 10""))"),635.2)</f>
        <v>635.2</v>
      </c>
      <c r="J1084" s="17">
        <f>IFERROR(__xludf.DUMMYFUNCTION("AVERAGE(QUERY(SORT(GOOGLEFINANCE(B1084,""price"",TODAY()-365,TODAY()),1,0),""select Col2 limit 30""))"),619.09)</f>
        <v>619.09</v>
      </c>
      <c r="K1084" s="18">
        <f>IFERROR(__xludf.DUMMYFUNCTION("AVERAGE(QUERY(SORT(GOOGLEFINANCE(B1084,""price"",TODAY()-365,TODAY()),1,0),""select Col2 limit 60""))"),579.0124999999999)</f>
        <v>579.0125</v>
      </c>
      <c r="L1084" s="17">
        <f>IFERROR(__xludf.DUMMYFUNCTION("AVERAGE(QUERY(SORT(GOOGLEFINANCE(B1084,""price"",TODAY()-365,TODAY()),1,0),""select Col2 limit 90""))"),539.4844444444443)</f>
        <v>539.4844444</v>
      </c>
      <c r="M1084" s="17">
        <f>IFERROR(__xludf.DUMMYFUNCTION("AVERAGE(QUERY(SORT(GOOGLEFINANCE(B1084,""price"",TODAY()-365,TODAY()),1,0),""select Col2 limit 120""))"),527.9874999999997)</f>
        <v>527.9875</v>
      </c>
      <c r="N1084" s="19">
        <f>IFERROR(__xludf.DUMMYFUNCTION("AVERAGE(QUERY(SORT(GOOGLEFINANCE(B1084,""price"",TODAY()-365,TODAY()),1,0),""select Col2 limit 200""))"),570.0507499999997)</f>
        <v>570.05075</v>
      </c>
      <c r="O1084" s="20" t="str">
        <f t="shared" si="2"/>
        <v>Avoid</v>
      </c>
      <c r="P1084" s="21" t="str">
        <f t="shared" si="3"/>
        <v/>
      </c>
      <c r="Q1084" s="21" t="str">
        <f t="shared" si="4"/>
        <v/>
      </c>
      <c r="R1084" s="22">
        <f>IFERROR(__xludf.DUMMYFUNCTION("GOOGLEFINANCE(B1084, ""pe"")
"),80.96)</f>
        <v>80.96</v>
      </c>
    </row>
    <row r="1085">
      <c r="A1085" s="9" t="s">
        <v>1095</v>
      </c>
      <c r="B1085" s="11" t="str">
        <f t="shared" si="1"/>
        <v>NSE:BSHSL</v>
      </c>
      <c r="C1085" s="12">
        <f>IFERROR(__xludf.DUMMYFUNCTION("GOOGLEFINANCE(B1085,""marketcap"")/10000000"),1421.89906)</f>
        <v>1421.89906</v>
      </c>
      <c r="D1085" s="13">
        <f>IFERROR(__xludf.DUMMYFUNCTION("GOOGLEFINANCE(B1085,""price"")"),134.63)</f>
        <v>134.63</v>
      </c>
      <c r="E1085" s="14">
        <f>IFERROR(__xludf.DUMMYFUNCTION("GOOGLEFINANCE(B1085,""Volume"")"),3682.0)</f>
        <v>3682</v>
      </c>
      <c r="F1085" s="14">
        <f t="array" ref="F1085">F1084</f>
        <v>14</v>
      </c>
      <c r="G1085" s="15" t="str">
        <f>IFERROR(__xludf.DUMMYFUNCTION("IF(E1085&gt;AVERAGE(INDEX(GOOGLEFINANCE(B1085,""volume"",WORKDAY(TODAY(),-$F$1),TODAY()),,2)),""Breakout"","""")"),"#N/A")</f>
        <v>#N/A</v>
      </c>
      <c r="H1085" s="16">
        <f>IFERROR(__xludf.DUMMYFUNCTION("GOOGLEFINANCE(B1085,""price"")"),134.63)</f>
        <v>134.63</v>
      </c>
      <c r="I1085" s="17">
        <f>IFERROR(__xludf.DUMMYFUNCTION("AVERAGE(QUERY(SORT(GOOGLEFINANCE(B1085,""price"",TODAY()-365,TODAY()),1,0),""select Col2 limit 10""))"),137.695)</f>
        <v>137.695</v>
      </c>
      <c r="J1085" s="17">
        <f>IFERROR(__xludf.DUMMYFUNCTION("AVERAGE(QUERY(SORT(GOOGLEFINANCE(B1085,""price"",TODAY()-365,TODAY()),1,0),""select Col2 limit 30""))"),138.88500000000008)</f>
        <v>138.885</v>
      </c>
      <c r="K1085" s="18">
        <f>IFERROR(__xludf.DUMMYFUNCTION("AVERAGE(QUERY(SORT(GOOGLEFINANCE(B1085,""price"",TODAY()-365,TODAY()),1,0),""select Col2 limit 60""))"),137.56616666666667)</f>
        <v>137.5661667</v>
      </c>
      <c r="L1085" s="17">
        <f>IFERROR(__xludf.DUMMYFUNCTION("AVERAGE(QUERY(SORT(GOOGLEFINANCE(B1085,""price"",TODAY()-365,TODAY()),1,0),""select Col2 limit 90""))"),134.50811111111113)</f>
        <v>134.5081111</v>
      </c>
      <c r="M1085" s="17">
        <f>IFERROR(__xludf.DUMMYFUNCTION("AVERAGE(QUERY(SORT(GOOGLEFINANCE(B1085,""price"",TODAY()-365,TODAY()),1,0),""select Col2 limit 120""))"),137.08491666666671)</f>
        <v>137.0849167</v>
      </c>
      <c r="N1085" s="19">
        <f>IFERROR(__xludf.DUMMYFUNCTION("AVERAGE(QUERY(SORT(GOOGLEFINANCE(B1085,""price"",TODAY()-365,TODAY()),1,0),""select Col2 limit 200""))"),144.52009999999996)</f>
        <v>144.5201</v>
      </c>
      <c r="O1085" s="20" t="str">
        <f t="shared" si="2"/>
        <v>Avoid</v>
      </c>
      <c r="P1085" s="21" t="str">
        <f t="shared" si="3"/>
        <v/>
      </c>
      <c r="Q1085" s="21" t="str">
        <f t="shared" si="4"/>
        <v/>
      </c>
      <c r="R1085" s="22">
        <f>IFERROR(__xludf.DUMMYFUNCTION("GOOGLEFINANCE(B1085, ""pe"")
"),53.5)</f>
        <v>53.5</v>
      </c>
    </row>
    <row r="1086">
      <c r="A1086" s="9" t="s">
        <v>1096</v>
      </c>
      <c r="B1086" s="11" t="str">
        <f t="shared" si="1"/>
        <v>NSE:DLINKINDIA</v>
      </c>
      <c r="C1086" s="12">
        <f>IFERROR(__xludf.DUMMYFUNCTION("GOOGLEFINANCE(B1086,""marketcap"")/10000000"),1756.601959)</f>
        <v>1756.601959</v>
      </c>
      <c r="D1086" s="13">
        <f>IFERROR(__xludf.DUMMYFUNCTION("GOOGLEFINANCE(B1086,""price"")"),494.75)</f>
        <v>494.75</v>
      </c>
      <c r="E1086" s="14">
        <f>IFERROR(__xludf.DUMMYFUNCTION("GOOGLEFINANCE(B1086,""Volume"")"),47919.0)</f>
        <v>47919</v>
      </c>
      <c r="F1086" s="14">
        <f t="array" ref="F1086">F1085</f>
        <v>14</v>
      </c>
      <c r="G1086" s="15" t="str">
        <f>IFERROR(__xludf.DUMMYFUNCTION("IF(E1086&gt;AVERAGE(INDEX(GOOGLEFINANCE(B1086,""volume"",WORKDAY(TODAY(),-$F$1),TODAY()),,2)),""Breakout"","""")"),"#N/A")</f>
        <v>#N/A</v>
      </c>
      <c r="H1086" s="16">
        <f>IFERROR(__xludf.DUMMYFUNCTION("GOOGLEFINANCE(B1086,""price"")"),494.75)</f>
        <v>494.75</v>
      </c>
      <c r="I1086" s="17">
        <f>IFERROR(__xludf.DUMMYFUNCTION("AVERAGE(QUERY(SORT(GOOGLEFINANCE(B1086,""price"",TODAY()-365,TODAY()),1,0),""select Col2 limit 10""))"),525.0649999999999)</f>
        <v>525.065</v>
      </c>
      <c r="J1086" s="17">
        <f>IFERROR(__xludf.DUMMYFUNCTION("AVERAGE(QUERY(SORT(GOOGLEFINANCE(B1086,""price"",TODAY()-365,TODAY()),1,0),""select Col2 limit 30""))"),543.2983333333334)</f>
        <v>543.2983333</v>
      </c>
      <c r="K1086" s="18">
        <f>IFERROR(__xludf.DUMMYFUNCTION("AVERAGE(QUERY(SORT(GOOGLEFINANCE(B1086,""price"",TODAY()-365,TODAY()),1,0),""select Col2 limit 60""))"),519.4783333333334)</f>
        <v>519.4783333</v>
      </c>
      <c r="L1086" s="17">
        <f>IFERROR(__xludf.DUMMYFUNCTION("AVERAGE(QUERY(SORT(GOOGLEFINANCE(B1086,""price"",TODAY()-365,TODAY()),1,0),""select Col2 limit 90""))"),489.21000000000015)</f>
        <v>489.21</v>
      </c>
      <c r="M1086" s="17">
        <f>IFERROR(__xludf.DUMMYFUNCTION("AVERAGE(QUERY(SORT(GOOGLEFINANCE(B1086,""price"",TODAY()-365,TODAY()),1,0),""select Col2 limit 120""))"),472.79375000000016)</f>
        <v>472.79375</v>
      </c>
      <c r="N1086" s="19">
        <f>IFERROR(__xludf.DUMMYFUNCTION("AVERAGE(QUERY(SORT(GOOGLEFINANCE(B1086,""price"",TODAY()-365,TODAY()),1,0),""select Col2 limit 200""))"),504.19800000000026)</f>
        <v>504.198</v>
      </c>
      <c r="O1086" s="20" t="str">
        <f t="shared" si="2"/>
        <v>Avoid</v>
      </c>
      <c r="P1086" s="21" t="str">
        <f t="shared" si="3"/>
        <v/>
      </c>
      <c r="Q1086" s="21" t="str">
        <f t="shared" si="4"/>
        <v/>
      </c>
      <c r="R1086" s="22">
        <f>IFERROR(__xludf.DUMMYFUNCTION("GOOGLEFINANCE(B1086, ""pe"")
"),16.85)</f>
        <v>16.85</v>
      </c>
    </row>
    <row r="1087">
      <c r="A1087" s="9" t="s">
        <v>1097</v>
      </c>
      <c r="B1087" s="11" t="str">
        <f t="shared" si="1"/>
        <v>NSE:HARIOMPIPE</v>
      </c>
      <c r="C1087" s="12">
        <f>IFERROR(__xludf.DUMMYFUNCTION("GOOGLEFINANCE(B1087,""marketcap"")/10000000"),1406.3790022)</f>
        <v>1406.379002</v>
      </c>
      <c r="D1087" s="13">
        <f>IFERROR(__xludf.DUMMYFUNCTION("GOOGLEFINANCE(B1087,""price"")"),454.4)</f>
        <v>454.4</v>
      </c>
      <c r="E1087" s="14">
        <f>IFERROR(__xludf.DUMMYFUNCTION("GOOGLEFINANCE(B1087,""Volume"")"),128741.0)</f>
        <v>128741</v>
      </c>
      <c r="F1087" s="14">
        <f t="array" ref="F1087">F1086</f>
        <v>14</v>
      </c>
      <c r="G1087" s="15" t="str">
        <f>IFERROR(__xludf.DUMMYFUNCTION("IF(E1087&gt;AVERAGE(INDEX(GOOGLEFINANCE(B1087,""volume"",WORKDAY(TODAY(),-$F$1),TODAY()),,2)),""Breakout"","""")"),"")</f>
        <v/>
      </c>
      <c r="H1087" s="16">
        <f>IFERROR(__xludf.DUMMYFUNCTION("GOOGLEFINANCE(B1087,""price"")"),454.4)</f>
        <v>454.4</v>
      </c>
      <c r="I1087" s="17">
        <f>IFERROR(__xludf.DUMMYFUNCTION("AVERAGE(QUERY(SORT(GOOGLEFINANCE(B1087,""price"",TODAY()-365,TODAY()),1,0),""select Col2 limit 10""))"),475.2250000000001)</f>
        <v>475.225</v>
      </c>
      <c r="J1087" s="17">
        <f>IFERROR(__xludf.DUMMYFUNCTION("AVERAGE(QUERY(SORT(GOOGLEFINANCE(B1087,""price"",TODAY()-365,TODAY()),1,0),""select Col2 limit 30""))"),430.1016666666667)</f>
        <v>430.1016667</v>
      </c>
      <c r="K1087" s="18">
        <f>IFERROR(__xludf.DUMMYFUNCTION("AVERAGE(QUERY(SORT(GOOGLEFINANCE(B1087,""price"",TODAY()-365,TODAY()),1,0),""select Col2 limit 60""))"),410.1583333333334)</f>
        <v>410.1583333</v>
      </c>
      <c r="L1087" s="17">
        <f>IFERROR(__xludf.DUMMYFUNCTION("AVERAGE(QUERY(SORT(GOOGLEFINANCE(B1087,""price"",TODAY()-365,TODAY()),1,0),""select Col2 limit 90""))"),396.20222222222236)</f>
        <v>396.2022222</v>
      </c>
      <c r="M1087" s="17">
        <f>IFERROR(__xludf.DUMMYFUNCTION("AVERAGE(QUERY(SORT(GOOGLEFINANCE(B1087,""price"",TODAY()-365,TODAY()),1,0),""select Col2 limit 120""))"),396.39375000000035)</f>
        <v>396.39375</v>
      </c>
      <c r="N1087" s="19">
        <f>IFERROR(__xludf.DUMMYFUNCTION("AVERAGE(QUERY(SORT(GOOGLEFINANCE(B1087,""price"",TODAY()-365,TODAY()),1,0),""select Col2 limit 200""))"),465.7322500000001)</f>
        <v>465.73225</v>
      </c>
      <c r="O1087" s="20" t="str">
        <f t="shared" si="2"/>
        <v>Avoid</v>
      </c>
      <c r="P1087" s="21" t="str">
        <f t="shared" si="3"/>
        <v/>
      </c>
      <c r="Q1087" s="21" t="str">
        <f t="shared" si="4"/>
        <v/>
      </c>
      <c r="R1087" s="22">
        <f>IFERROR(__xludf.DUMMYFUNCTION("GOOGLEFINANCE(B1087, ""pe"")
"),22.8)</f>
        <v>22.8</v>
      </c>
    </row>
    <row r="1088">
      <c r="A1088" s="9" t="s">
        <v>1098</v>
      </c>
      <c r="B1088" s="11" t="str">
        <f t="shared" si="1"/>
        <v>NSE:ROTO</v>
      </c>
      <c r="C1088" s="12">
        <f>IFERROR(__xludf.DUMMYFUNCTION("GOOGLEFINANCE(B1088,""marketcap"")/10000000"),1718.6238144)</f>
        <v>1718.623814</v>
      </c>
      <c r="D1088" s="13">
        <f>IFERROR(__xludf.DUMMYFUNCTION("GOOGLEFINANCE(B1088,""price"")"),91.2)</f>
        <v>91.2</v>
      </c>
      <c r="E1088" s="14">
        <f>IFERROR(__xludf.DUMMYFUNCTION("GOOGLEFINANCE(B1088,""Volume"")"),176219.0)</f>
        <v>176219</v>
      </c>
      <c r="F1088" s="14">
        <f t="array" ref="F1088">F1087</f>
        <v>14</v>
      </c>
      <c r="G1088" s="15" t="str">
        <f>IFERROR(__xludf.DUMMYFUNCTION("IF(E1088&gt;AVERAGE(INDEX(GOOGLEFINANCE(B1088,""volume"",WORKDAY(TODAY(),-$F$1),TODAY()),,2)),""Breakout"","""")"),"")</f>
        <v/>
      </c>
      <c r="H1088" s="16">
        <f>IFERROR(__xludf.DUMMYFUNCTION("GOOGLEFINANCE(B1088,""price"")"),91.2)</f>
        <v>91.2</v>
      </c>
      <c r="I1088" s="17">
        <f>IFERROR(__xludf.DUMMYFUNCTION("AVERAGE(QUERY(SORT(GOOGLEFINANCE(B1088,""price"",TODAY()-365,TODAY()),1,0),""select Col2 limit 10""))"),93.55000000000001)</f>
        <v>93.55</v>
      </c>
      <c r="J1088" s="17">
        <f>IFERROR(__xludf.DUMMYFUNCTION("AVERAGE(QUERY(SORT(GOOGLEFINANCE(B1088,""price"",TODAY()-365,TODAY()),1,0),""select Col2 limit 30""))"),96.23866666666667)</f>
        <v>96.23866667</v>
      </c>
      <c r="K1088" s="18">
        <f>IFERROR(__xludf.DUMMYFUNCTION("AVERAGE(QUERY(SORT(GOOGLEFINANCE(B1088,""price"",TODAY()-365,TODAY()),1,0),""select Col2 limit 60""))"),91.82716666666668)</f>
        <v>91.82716667</v>
      </c>
      <c r="L1088" s="17">
        <f>IFERROR(__xludf.DUMMYFUNCTION("AVERAGE(QUERY(SORT(GOOGLEFINANCE(B1088,""price"",TODAY()-365,TODAY()),1,0),""select Col2 limit 90""))"),85.69855555555557)</f>
        <v>85.69855556</v>
      </c>
      <c r="M1088" s="17">
        <f>IFERROR(__xludf.DUMMYFUNCTION("AVERAGE(QUERY(SORT(GOOGLEFINANCE(B1088,""price"",TODAY()-365,TODAY()),1,0),""select Col2 limit 120""))"),83.51625000000004)</f>
        <v>83.51625</v>
      </c>
      <c r="N1088" s="19">
        <f>IFERROR(__xludf.DUMMYFUNCTION("AVERAGE(QUERY(SORT(GOOGLEFINANCE(B1088,""price"",TODAY()-365,TODAY()),1,0),""select Col2 limit 200""))"),87.17939999999999)</f>
        <v>87.1794</v>
      </c>
      <c r="O1088" s="20" t="str">
        <f t="shared" si="2"/>
        <v>Avoid</v>
      </c>
      <c r="P1088" s="21" t="str">
        <f t="shared" si="3"/>
        <v>60 DMA</v>
      </c>
      <c r="Q1088" s="21" t="str">
        <f t="shared" si="4"/>
        <v/>
      </c>
      <c r="R1088" s="22">
        <f>IFERROR(__xludf.DUMMYFUNCTION("GOOGLEFINANCE(B1088, ""pe"")
"),51.05)</f>
        <v>51.05</v>
      </c>
    </row>
    <row r="1089">
      <c r="A1089" s="9" t="s">
        <v>1099</v>
      </c>
      <c r="B1089" s="11" t="str">
        <f t="shared" si="1"/>
        <v>NSE:ALICON</v>
      </c>
      <c r="C1089" s="12">
        <f>IFERROR(__xludf.DUMMYFUNCTION("GOOGLEFINANCE(B1089,""marketcap"")/10000000"),1455.9392007)</f>
        <v>1455.939201</v>
      </c>
      <c r="D1089" s="13">
        <f>IFERROR(__xludf.DUMMYFUNCTION("GOOGLEFINANCE(B1089,""price"")"),891.2)</f>
        <v>891.2</v>
      </c>
      <c r="E1089" s="14">
        <f>IFERROR(__xludf.DUMMYFUNCTION("GOOGLEFINANCE(B1089,""Volume"")"),4605.0)</f>
        <v>4605</v>
      </c>
      <c r="F1089" s="14">
        <f t="array" ref="F1089">F1088</f>
        <v>14</v>
      </c>
      <c r="G1089" s="15" t="str">
        <f>IFERROR(__xludf.DUMMYFUNCTION("IF(E1089&gt;AVERAGE(INDEX(GOOGLEFINANCE(B1089,""volume"",WORKDAY(TODAY(),-$F$1),TODAY()),,2)),""Breakout"","""")"),"")</f>
        <v/>
      </c>
      <c r="H1089" s="16">
        <f>IFERROR(__xludf.DUMMYFUNCTION("GOOGLEFINANCE(B1089,""price"")"),891.2)</f>
        <v>891.2</v>
      </c>
      <c r="I1089" s="17">
        <f>IFERROR(__xludf.DUMMYFUNCTION("AVERAGE(QUERY(SORT(GOOGLEFINANCE(B1089,""price"",TODAY()-365,TODAY()),1,0),""select Col2 limit 10""))"),952.0550000000001)</f>
        <v>952.055</v>
      </c>
      <c r="J1089" s="17">
        <f>IFERROR(__xludf.DUMMYFUNCTION("AVERAGE(QUERY(SORT(GOOGLEFINANCE(B1089,""price"",TODAY()-365,TODAY()),1,0),""select Col2 limit 30""))"),914.9116666666667)</f>
        <v>914.9116667</v>
      </c>
      <c r="K1089" s="18">
        <f>IFERROR(__xludf.DUMMYFUNCTION("AVERAGE(QUERY(SORT(GOOGLEFINANCE(B1089,""price"",TODAY()-365,TODAY()),1,0),""select Col2 limit 60""))"),870.0766666666664)</f>
        <v>870.0766667</v>
      </c>
      <c r="L1089" s="17">
        <f>IFERROR(__xludf.DUMMYFUNCTION("AVERAGE(QUERY(SORT(GOOGLEFINANCE(B1089,""price"",TODAY()-365,TODAY()),1,0),""select Col2 limit 90""))"),803.6433333333327)</f>
        <v>803.6433333</v>
      </c>
      <c r="M1089" s="17">
        <f>IFERROR(__xludf.DUMMYFUNCTION("AVERAGE(QUERY(SORT(GOOGLEFINANCE(B1089,""price"",TODAY()-365,TODAY()),1,0),""select Col2 limit 120""))"),813.4245833333329)</f>
        <v>813.4245833</v>
      </c>
      <c r="N1089" s="19">
        <f>IFERROR(__xludf.DUMMYFUNCTION("AVERAGE(QUERY(SORT(GOOGLEFINANCE(B1089,""price"",TODAY()-365,TODAY()),1,0),""select Col2 limit 200""))"),942.4532499999992)</f>
        <v>942.45325</v>
      </c>
      <c r="O1089" s="20" t="str">
        <f t="shared" si="2"/>
        <v>Avoid</v>
      </c>
      <c r="P1089" s="21" t="str">
        <f t="shared" si="3"/>
        <v/>
      </c>
      <c r="Q1089" s="21" t="str">
        <f t="shared" si="4"/>
        <v/>
      </c>
      <c r="R1089" s="22">
        <f>IFERROR(__xludf.DUMMYFUNCTION("GOOGLEFINANCE(B1089, ""pe"")
"),31.7)</f>
        <v>31.7</v>
      </c>
    </row>
    <row r="1090">
      <c r="A1090" s="9" t="s">
        <v>1100</v>
      </c>
      <c r="B1090" s="11" t="str">
        <f t="shared" si="1"/>
        <v>NSE:SBGLP</v>
      </c>
      <c r="C1090" s="12">
        <f>IFERROR(__xludf.DUMMYFUNCTION("GOOGLEFINANCE(B1090,""marketcap"")/10000000"),749.551699)</f>
        <v>749.551699</v>
      </c>
      <c r="D1090" s="13">
        <f>IFERROR(__xludf.DUMMYFUNCTION("GOOGLEFINANCE(B1090,""price"")"),43.45)</f>
        <v>43.45</v>
      </c>
      <c r="E1090" s="14">
        <f>IFERROR(__xludf.DUMMYFUNCTION("GOOGLEFINANCE(B1090,""Volume"")"),18052.0)</f>
        <v>18052</v>
      </c>
      <c r="F1090" s="14">
        <f t="array" ref="F1090">F1089</f>
        <v>14</v>
      </c>
      <c r="G1090" s="15" t="str">
        <f>IFERROR(__xludf.DUMMYFUNCTION("IF(E1090&gt;AVERAGE(INDEX(GOOGLEFINANCE(B1090,""volume"",WORKDAY(TODAY(),-$F$1),TODAY()),,2)),""Breakout"","""")"),"")</f>
        <v/>
      </c>
      <c r="H1090" s="16">
        <f>IFERROR(__xludf.DUMMYFUNCTION("GOOGLEFINANCE(B1090,""price"")"),43.45)</f>
        <v>43.45</v>
      </c>
      <c r="I1090" s="17">
        <f>IFERROR(__xludf.DUMMYFUNCTION("AVERAGE(QUERY(SORT(GOOGLEFINANCE(B1090,""price"",TODAY()-365,TODAY()),1,0),""select Col2 limit 10""))"),43.74999999999999)</f>
        <v>43.75</v>
      </c>
      <c r="J1090" s="17">
        <f>IFERROR(__xludf.DUMMYFUNCTION("AVERAGE(QUERY(SORT(GOOGLEFINANCE(B1090,""price"",TODAY()-365,TODAY()),1,0),""select Col2 limit 30""))"),44.50566666666666)</f>
        <v>44.50566667</v>
      </c>
      <c r="K1090" s="18">
        <f>IFERROR(__xludf.DUMMYFUNCTION("AVERAGE(QUERY(SORT(GOOGLEFINANCE(B1090,""price"",TODAY()-365,TODAY()),1,0),""select Col2 limit 60""))"),42.86366666666667)</f>
        <v>42.86366667</v>
      </c>
      <c r="L1090" s="17">
        <f>IFERROR(__xludf.DUMMYFUNCTION("AVERAGE(QUERY(SORT(GOOGLEFINANCE(B1090,""price"",TODAY()-365,TODAY()),1,0),""select Col2 limit 90""))"),41.37922222222222)</f>
        <v>41.37922222</v>
      </c>
      <c r="M1090" s="17">
        <f>IFERROR(__xludf.DUMMYFUNCTION("AVERAGE(QUERY(SORT(GOOGLEFINANCE(B1090,""price"",TODAY()-365,TODAY()),1,0),""select Col2 limit 120""))"),48.825250000000004)</f>
        <v>48.82525</v>
      </c>
      <c r="N1090" s="19">
        <f>IFERROR(__xludf.DUMMYFUNCTION("AVERAGE(QUERY(SORT(GOOGLEFINANCE(B1090,""price"",TODAY()-365,TODAY()),1,0),""select Col2 limit 200""))"),78.49639999999998)</f>
        <v>78.4964</v>
      </c>
      <c r="O1090" s="20" t="str">
        <f t="shared" si="2"/>
        <v>Avoid</v>
      </c>
      <c r="P1090" s="21" t="str">
        <f t="shared" si="3"/>
        <v>10 DMA</v>
      </c>
      <c r="Q1090" s="21" t="str">
        <f t="shared" si="4"/>
        <v/>
      </c>
      <c r="R1090" s="22">
        <f>IFERROR(__xludf.DUMMYFUNCTION("GOOGLEFINANCE(B1090, ""pe"")
"),67.89)</f>
        <v>67.89</v>
      </c>
    </row>
    <row r="1091">
      <c r="A1091" s="9" t="s">
        <v>1101</v>
      </c>
      <c r="B1091" s="11" t="str">
        <f t="shared" si="1"/>
        <v>NSE:GKWLIMITED</v>
      </c>
      <c r="C1091" s="12">
        <f>IFERROR(__xludf.DUMMYFUNCTION("GOOGLEFINANCE(B1091,""marketcap"")/10000000"),1065.2589245)</f>
        <v>1065.258925</v>
      </c>
      <c r="D1091" s="13">
        <f>IFERROR(__xludf.DUMMYFUNCTION("GOOGLEFINANCE(B1091,""price"")"),1785.4)</f>
        <v>1785.4</v>
      </c>
      <c r="E1091" s="14">
        <f>IFERROR(__xludf.DUMMYFUNCTION("GOOGLEFINANCE(B1091,""Volume"")"),112.0)</f>
        <v>112</v>
      </c>
      <c r="F1091" s="14">
        <f t="array" ref="F1091">F1090</f>
        <v>14</v>
      </c>
      <c r="G1091" s="15" t="str">
        <f>IFERROR(__xludf.DUMMYFUNCTION("IF(E1091&gt;AVERAGE(INDEX(GOOGLEFINANCE(B1091,""volume"",WORKDAY(TODAY(),-$F$1),TODAY()),,2)),""Breakout"","""")"),"")</f>
        <v/>
      </c>
      <c r="H1091" s="16">
        <f>IFERROR(__xludf.DUMMYFUNCTION("GOOGLEFINANCE(B1091,""price"")"),1785.4)</f>
        <v>1785.4</v>
      </c>
      <c r="I1091" s="17">
        <f>IFERROR(__xludf.DUMMYFUNCTION("AVERAGE(QUERY(SORT(GOOGLEFINANCE(B1091,""price"",TODAY()-365,TODAY()),1,0),""select Col2 limit 10""))"),1801.4800000000002)</f>
        <v>1801.48</v>
      </c>
      <c r="J1091" s="17">
        <f>IFERROR(__xludf.DUMMYFUNCTION("AVERAGE(QUERY(SORT(GOOGLEFINANCE(B1091,""price"",TODAY()-365,TODAY()),1,0),""select Col2 limit 30""))"),1812.4333333333332)</f>
        <v>1812.433333</v>
      </c>
      <c r="K1091" s="18">
        <f>IFERROR(__xludf.DUMMYFUNCTION("AVERAGE(QUERY(SORT(GOOGLEFINANCE(B1091,""price"",TODAY()-365,TODAY()),1,0),""select Col2 limit 60""))"),1908.3399999999997)</f>
        <v>1908.34</v>
      </c>
      <c r="L1091" s="17">
        <f>IFERROR(__xludf.DUMMYFUNCTION("AVERAGE(QUERY(SORT(GOOGLEFINANCE(B1091,""price"",TODAY()-365,TODAY()),1,0),""select Col2 limit 90""))"),1851.0972222222215)</f>
        <v>1851.097222</v>
      </c>
      <c r="M1091" s="17">
        <f>IFERROR(__xludf.DUMMYFUNCTION("AVERAGE(QUERY(SORT(GOOGLEFINANCE(B1091,""price"",TODAY()-365,TODAY()),1,0),""select Col2 limit 120""))"),1822.9479166666656)</f>
        <v>1822.947917</v>
      </c>
      <c r="N1091" s="19">
        <f>IFERROR(__xludf.DUMMYFUNCTION("AVERAGE(QUERY(SORT(GOOGLEFINANCE(B1091,""price"",TODAY()-365,TODAY()),1,0),""select Col2 limit 200""))"),2196.9794999999976)</f>
        <v>2196.9795</v>
      </c>
      <c r="O1091" s="20" t="str">
        <f t="shared" si="2"/>
        <v>Avoid</v>
      </c>
      <c r="P1091" s="21" t="str">
        <f t="shared" si="3"/>
        <v>10 DMA</v>
      </c>
      <c r="Q1091" s="21" t="str">
        <f t="shared" si="4"/>
        <v>10 DMA cross best</v>
      </c>
      <c r="R1091" s="22" t="str">
        <f>IFERROR(__xludf.DUMMYFUNCTION("GOOGLEFINANCE(B1091, ""pe"")
"),"#N/A")</f>
        <v>#N/A</v>
      </c>
    </row>
    <row r="1092">
      <c r="A1092" s="9" t="s">
        <v>1102</v>
      </c>
      <c r="B1092" s="11" t="str">
        <f t="shared" si="1"/>
        <v>NSE:SMSPHARMA</v>
      </c>
      <c r="C1092" s="12">
        <f>IFERROR(__xludf.DUMMYFUNCTION("GOOGLEFINANCE(B1092,""marketcap"")/10000000"),2121.4431049)</f>
        <v>2121.443105</v>
      </c>
      <c r="D1092" s="13">
        <f>IFERROR(__xludf.DUMMYFUNCTION("GOOGLEFINANCE(B1092,""price"")"),238.75)</f>
        <v>238.75</v>
      </c>
      <c r="E1092" s="14">
        <f>IFERROR(__xludf.DUMMYFUNCTION("GOOGLEFINANCE(B1092,""Volume"")"),38398.0)</f>
        <v>38398</v>
      </c>
      <c r="F1092" s="14">
        <f t="array" ref="F1092">F1091</f>
        <v>14</v>
      </c>
      <c r="G1092" s="15" t="str">
        <f>IFERROR(__xludf.DUMMYFUNCTION("IF(E1092&gt;AVERAGE(INDEX(GOOGLEFINANCE(B1092,""volume"",WORKDAY(TODAY(),-$F$1),TODAY()),,2)),""Breakout"","""")"),"")</f>
        <v/>
      </c>
      <c r="H1092" s="16">
        <f>IFERROR(__xludf.DUMMYFUNCTION("GOOGLEFINANCE(B1092,""price"")"),238.75)</f>
        <v>238.75</v>
      </c>
      <c r="I1092" s="17">
        <f>IFERROR(__xludf.DUMMYFUNCTION("AVERAGE(QUERY(SORT(GOOGLEFINANCE(B1092,""price"",TODAY()-365,TODAY()),1,0),""select Col2 limit 10""))"),243.64500000000004)</f>
        <v>243.645</v>
      </c>
      <c r="J1092" s="17">
        <f>IFERROR(__xludf.DUMMYFUNCTION("AVERAGE(QUERY(SORT(GOOGLEFINANCE(B1092,""price"",TODAY()-365,TODAY()),1,0),""select Col2 limit 30""))"),242.30499999999995)</f>
        <v>242.305</v>
      </c>
      <c r="K1092" s="18">
        <f>IFERROR(__xludf.DUMMYFUNCTION("AVERAGE(QUERY(SORT(GOOGLEFINANCE(B1092,""price"",TODAY()-365,TODAY()),1,0),""select Col2 limit 60""))"),248.7551666666667)</f>
        <v>248.7551667</v>
      </c>
      <c r="L1092" s="17">
        <f>IFERROR(__xludf.DUMMYFUNCTION("AVERAGE(QUERY(SORT(GOOGLEFINANCE(B1092,""price"",TODAY()-365,TODAY()),1,0),""select Col2 limit 90""))"),238.461111111111)</f>
        <v>238.4611111</v>
      </c>
      <c r="M1092" s="17">
        <f>IFERROR(__xludf.DUMMYFUNCTION("AVERAGE(QUERY(SORT(GOOGLEFINANCE(B1092,""price"",TODAY()-365,TODAY()),1,0),""select Col2 limit 120""))"),228.8665)</f>
        <v>228.8665</v>
      </c>
      <c r="N1092" s="19">
        <f>IFERROR(__xludf.DUMMYFUNCTION("AVERAGE(QUERY(SORT(GOOGLEFINANCE(B1092,""price"",TODAY()-365,TODAY()),1,0),""select Col2 limit 200""))"),243.12219999999996)</f>
        <v>243.1222</v>
      </c>
      <c r="O1092" s="20" t="str">
        <f t="shared" si="2"/>
        <v>Avoid</v>
      </c>
      <c r="P1092" s="21" t="str">
        <f t="shared" si="3"/>
        <v/>
      </c>
      <c r="Q1092" s="21" t="str">
        <f t="shared" si="4"/>
        <v/>
      </c>
      <c r="R1092" s="22">
        <f>IFERROR(__xludf.DUMMYFUNCTION("GOOGLEFINANCE(B1092, ""pe"")
"),29.33)</f>
        <v>29.33</v>
      </c>
    </row>
    <row r="1093">
      <c r="A1093" s="9" t="s">
        <v>1103</v>
      </c>
      <c r="B1093" s="11" t="str">
        <f t="shared" si="1"/>
        <v>NSE:PIXTRANS</v>
      </c>
      <c r="C1093" s="12">
        <f>IFERROR(__xludf.DUMMYFUNCTION("GOOGLEFINANCE(B1093,""marketcap"")/10000000"),2022.5232368)</f>
        <v>2022.523237</v>
      </c>
      <c r="D1093" s="13">
        <f>IFERROR(__xludf.DUMMYFUNCTION("GOOGLEFINANCE(B1093,""price"")"),1479.0)</f>
        <v>1479</v>
      </c>
      <c r="E1093" s="14">
        <f>IFERROR(__xludf.DUMMYFUNCTION("GOOGLEFINANCE(B1093,""Volume"")"),13415.0)</f>
        <v>13415</v>
      </c>
      <c r="F1093" s="14">
        <f t="array" ref="F1093">F1092</f>
        <v>14</v>
      </c>
      <c r="G1093" s="15" t="str">
        <f>IFERROR(__xludf.DUMMYFUNCTION("IF(E1093&gt;AVERAGE(INDEX(GOOGLEFINANCE(B1093,""volume"",WORKDAY(TODAY(),-$F$1),TODAY()),,2)),""Breakout"","""")"),"")</f>
        <v/>
      </c>
      <c r="H1093" s="16">
        <f>IFERROR(__xludf.DUMMYFUNCTION("GOOGLEFINANCE(B1093,""price"")"),1479.0)</f>
        <v>1479</v>
      </c>
      <c r="I1093" s="17">
        <f>IFERROR(__xludf.DUMMYFUNCTION("AVERAGE(QUERY(SORT(GOOGLEFINANCE(B1093,""price"",TODAY()-365,TODAY()),1,0),""select Col2 limit 10""))"),1547.7499999999998)</f>
        <v>1547.75</v>
      </c>
      <c r="J1093" s="17">
        <f>IFERROR(__xludf.DUMMYFUNCTION("AVERAGE(QUERY(SORT(GOOGLEFINANCE(B1093,""price"",TODAY()-365,TODAY()),1,0),""select Col2 limit 30""))"),1561.3233333333333)</f>
        <v>1561.323333</v>
      </c>
      <c r="K1093" s="18">
        <f>IFERROR(__xludf.DUMMYFUNCTION("AVERAGE(QUERY(SORT(GOOGLEFINANCE(B1093,""price"",TODAY()-365,TODAY()),1,0),""select Col2 limit 60""))"),1587.6333333333334)</f>
        <v>1587.633333</v>
      </c>
      <c r="L1093" s="17">
        <f>IFERROR(__xludf.DUMMYFUNCTION("AVERAGE(QUERY(SORT(GOOGLEFINANCE(B1093,""price"",TODAY()-365,TODAY()),1,0),""select Col2 limit 90""))"),1582.4327777777778)</f>
        <v>1582.432778</v>
      </c>
      <c r="M1093" s="17">
        <f>IFERROR(__xludf.DUMMYFUNCTION("AVERAGE(QUERY(SORT(GOOGLEFINANCE(B1093,""price"",TODAY()-365,TODAY()),1,0),""select Col2 limit 120""))"),1616.6662500000004)</f>
        <v>1616.66625</v>
      </c>
      <c r="N1093" s="19">
        <f>IFERROR(__xludf.DUMMYFUNCTION("AVERAGE(QUERY(SORT(GOOGLEFINANCE(B1093,""price"",TODAY()-365,TODAY()),1,0),""select Col2 limit 200""))"),1804.2527499999999)</f>
        <v>1804.25275</v>
      </c>
      <c r="O1093" s="20" t="str">
        <f t="shared" si="2"/>
        <v>Avoid</v>
      </c>
      <c r="P1093" s="21" t="str">
        <f t="shared" si="3"/>
        <v/>
      </c>
      <c r="Q1093" s="21" t="str">
        <f t="shared" si="4"/>
        <v/>
      </c>
      <c r="R1093" s="22">
        <f>IFERROR(__xludf.DUMMYFUNCTION("GOOGLEFINANCE(B1093, ""pe"")
"),17.92)</f>
        <v>17.92</v>
      </c>
    </row>
    <row r="1094">
      <c r="A1094" s="9" t="s">
        <v>1104</v>
      </c>
      <c r="B1094" s="11" t="str">
        <f t="shared" si="1"/>
        <v>NSE:TTKHLTCARE</v>
      </c>
      <c r="C1094" s="12">
        <f>IFERROR(__xludf.DUMMYFUNCTION("GOOGLEFINANCE(B1094,""marketcap"")/10000000"),1836.9429)</f>
        <v>1836.9429</v>
      </c>
      <c r="D1094" s="13">
        <f>IFERROR(__xludf.DUMMYFUNCTION("GOOGLEFINANCE(B1094,""price"")"),1293.8)</f>
        <v>1293.8</v>
      </c>
      <c r="E1094" s="14">
        <f>IFERROR(__xludf.DUMMYFUNCTION("GOOGLEFINANCE(B1094,""Volume"")"),462.0)</f>
        <v>462</v>
      </c>
      <c r="F1094" s="14">
        <f t="array" ref="F1094">F1093</f>
        <v>14</v>
      </c>
      <c r="G1094" s="15" t="str">
        <f>IFERROR(__xludf.DUMMYFUNCTION("IF(E1094&gt;AVERAGE(INDEX(GOOGLEFINANCE(B1094,""volume"",WORKDAY(TODAY(),-$F$1),TODAY()),,2)),""Breakout"","""")"),"")</f>
        <v/>
      </c>
      <c r="H1094" s="16">
        <f>IFERROR(__xludf.DUMMYFUNCTION("GOOGLEFINANCE(B1094,""price"")"),1293.8)</f>
        <v>1293.8</v>
      </c>
      <c r="I1094" s="17">
        <f>IFERROR(__xludf.DUMMYFUNCTION("AVERAGE(QUERY(SORT(GOOGLEFINANCE(B1094,""price"",TODAY()-365,TODAY()),1,0),""select Col2 limit 10""))"),1337.4399999999998)</f>
        <v>1337.44</v>
      </c>
      <c r="J1094" s="17">
        <f>IFERROR(__xludf.DUMMYFUNCTION("AVERAGE(QUERY(SORT(GOOGLEFINANCE(B1094,""price"",TODAY()-365,TODAY()),1,0),""select Col2 limit 30""))"),1311.7566666666664)</f>
        <v>1311.756667</v>
      </c>
      <c r="K1094" s="18">
        <f>IFERROR(__xludf.DUMMYFUNCTION("AVERAGE(QUERY(SORT(GOOGLEFINANCE(B1094,""price"",TODAY()-365,TODAY()),1,0),""select Col2 limit 60""))"),1270.19)</f>
        <v>1270.19</v>
      </c>
      <c r="L1094" s="17">
        <f>IFERROR(__xludf.DUMMYFUNCTION("AVERAGE(QUERY(SORT(GOOGLEFINANCE(B1094,""price"",TODAY()-365,TODAY()),1,0),""select Col2 limit 90""))"),1248.4950000000003)</f>
        <v>1248.495</v>
      </c>
      <c r="M1094" s="17">
        <f>IFERROR(__xludf.DUMMYFUNCTION("AVERAGE(QUERY(SORT(GOOGLEFINANCE(B1094,""price"",TODAY()-365,TODAY()),1,0),""select Col2 limit 120""))"),1241.8804166666666)</f>
        <v>1241.880417</v>
      </c>
      <c r="N1094" s="19">
        <f>IFERROR(__xludf.DUMMYFUNCTION("AVERAGE(QUERY(SORT(GOOGLEFINANCE(B1094,""price"",TODAY()-365,TODAY()),1,0),""select Col2 limit 200""))"),1336.9739999999997)</f>
        <v>1336.974</v>
      </c>
      <c r="O1094" s="20" t="str">
        <f t="shared" si="2"/>
        <v>Avoid</v>
      </c>
      <c r="P1094" s="21" t="str">
        <f t="shared" si="3"/>
        <v/>
      </c>
      <c r="Q1094" s="21" t="str">
        <f t="shared" si="4"/>
        <v/>
      </c>
      <c r="R1094" s="22">
        <f>IFERROR(__xludf.DUMMYFUNCTION("GOOGLEFINANCE(B1094, ""pe"")
"),22.5)</f>
        <v>22.5</v>
      </c>
    </row>
    <row r="1095">
      <c r="A1095" s="9" t="s">
        <v>1105</v>
      </c>
      <c r="B1095" s="11" t="str">
        <f t="shared" si="1"/>
        <v>NSE:BLSE</v>
      </c>
      <c r="C1095" s="12">
        <f>IFERROR(__xludf.DUMMYFUNCTION("GOOGLEFINANCE(B1095,""marketcap"")/10000000"),1644.502469)</f>
        <v>1644.502469</v>
      </c>
      <c r="D1095" s="13">
        <f>IFERROR(__xludf.DUMMYFUNCTION("GOOGLEFINANCE(B1095,""price"")"),181.0)</f>
        <v>181</v>
      </c>
      <c r="E1095" s="14">
        <f>IFERROR(__xludf.DUMMYFUNCTION("GOOGLEFINANCE(B1095,""Volume"")"),21458.0)</f>
        <v>21458</v>
      </c>
      <c r="F1095" s="14">
        <f t="array" ref="F1095">F1094</f>
        <v>14</v>
      </c>
      <c r="G1095" s="15" t="str">
        <f>IFERROR(__xludf.DUMMYFUNCTION("IF(E1095&gt;AVERAGE(INDEX(GOOGLEFINANCE(B1095,""volume"",WORKDAY(TODAY(),-$F$1),TODAY()),,2)),""Breakout"","""")"),"")</f>
        <v/>
      </c>
      <c r="H1095" s="16">
        <f>IFERROR(__xludf.DUMMYFUNCTION("GOOGLEFINANCE(B1095,""price"")"),181.0)</f>
        <v>181</v>
      </c>
      <c r="I1095" s="17">
        <f>IFERROR(__xludf.DUMMYFUNCTION("AVERAGE(QUERY(SORT(GOOGLEFINANCE(B1095,""price"",TODAY()-365,TODAY()),1,0),""select Col2 limit 10""))"),186.766)</f>
        <v>186.766</v>
      </c>
      <c r="J1095" s="17">
        <f>IFERROR(__xludf.DUMMYFUNCTION("AVERAGE(QUERY(SORT(GOOGLEFINANCE(B1095,""price"",TODAY()-365,TODAY()),1,0),""select Col2 limit 30""))"),192.55266666666662)</f>
        <v>192.5526667</v>
      </c>
      <c r="K1095" s="18">
        <f>IFERROR(__xludf.DUMMYFUNCTION("AVERAGE(QUERY(SORT(GOOGLEFINANCE(B1095,""price"",TODAY()-365,TODAY()),1,0),""select Col2 limit 60""))"),192.47699999999998)</f>
        <v>192.477</v>
      </c>
      <c r="L1095" s="17">
        <f>IFERROR(__xludf.DUMMYFUNCTION("AVERAGE(QUERY(SORT(GOOGLEFINANCE(B1095,""price"",TODAY()-365,TODAY()),1,0),""select Col2 limit 90""))"),178.69766666666666)</f>
        <v>178.6976667</v>
      </c>
      <c r="M1095" s="17">
        <f>IFERROR(__xludf.DUMMYFUNCTION("AVERAGE(QUERY(SORT(GOOGLEFINANCE(B1095,""price"",TODAY()-365,TODAY()),1,0),""select Col2 limit 120""))"),175.716)</f>
        <v>175.716</v>
      </c>
      <c r="N1095" s="19">
        <f>IFERROR(__xludf.DUMMYFUNCTION("AVERAGE(QUERY(SORT(GOOGLEFINANCE(B1095,""price"",TODAY()-365,TODAY()),1,0),""select Col2 limit 200""))"),188.78400000000002)</f>
        <v>188.784</v>
      </c>
      <c r="O1095" s="20" t="str">
        <f t="shared" si="2"/>
        <v>Avoid</v>
      </c>
      <c r="P1095" s="21" t="str">
        <f t="shared" si="3"/>
        <v/>
      </c>
      <c r="Q1095" s="21" t="str">
        <f t="shared" si="4"/>
        <v/>
      </c>
      <c r="R1095" s="22">
        <f>IFERROR(__xludf.DUMMYFUNCTION("GOOGLEFINANCE(B1095, ""pe"")
"),31.26)</f>
        <v>31.26</v>
      </c>
    </row>
    <row r="1096">
      <c r="A1096" s="9" t="s">
        <v>1106</v>
      </c>
      <c r="B1096" s="11" t="str">
        <f t="shared" si="1"/>
        <v>NSE:MOL</v>
      </c>
      <c r="C1096" s="12">
        <f>IFERROR(__xludf.DUMMYFUNCTION("GOOGLEFINANCE(B1096,""marketcap"")/10000000"),2432.2609932)</f>
        <v>2432.260993</v>
      </c>
      <c r="D1096" s="13">
        <f>IFERROR(__xludf.DUMMYFUNCTION("GOOGLEFINANCE(B1096,""price"")"),95.64)</f>
        <v>95.64</v>
      </c>
      <c r="E1096" s="14">
        <f>IFERROR(__xludf.DUMMYFUNCTION("GOOGLEFINANCE(B1096,""Volume"")"),1070426.0)</f>
        <v>1070426</v>
      </c>
      <c r="F1096" s="14">
        <f t="array" ref="F1096">F1095</f>
        <v>14</v>
      </c>
      <c r="G1096" s="15" t="str">
        <f>IFERROR(__xludf.DUMMYFUNCTION("IF(E1096&gt;AVERAGE(INDEX(GOOGLEFINANCE(B1096,""volume"",WORKDAY(TODAY(),-$F$1),TODAY()),,2)),""Breakout"","""")"),"")</f>
        <v/>
      </c>
      <c r="H1096" s="16">
        <f>IFERROR(__xludf.DUMMYFUNCTION("GOOGLEFINANCE(B1096,""price"")"),95.64)</f>
        <v>95.64</v>
      </c>
      <c r="I1096" s="17">
        <f>IFERROR(__xludf.DUMMYFUNCTION("AVERAGE(QUERY(SORT(GOOGLEFINANCE(B1096,""price"",TODAY()-365,TODAY()),1,0),""select Col2 limit 10""))"),98.50399999999999)</f>
        <v>98.504</v>
      </c>
      <c r="J1096" s="17">
        <f>IFERROR(__xludf.DUMMYFUNCTION("AVERAGE(QUERY(SORT(GOOGLEFINANCE(B1096,""price"",TODAY()-365,TODAY()),1,0),""select Col2 limit 30""))"),97.23866666666666)</f>
        <v>97.23866667</v>
      </c>
      <c r="K1096" s="18">
        <f>IFERROR(__xludf.DUMMYFUNCTION("AVERAGE(QUERY(SORT(GOOGLEFINANCE(B1096,""price"",TODAY()-365,TODAY()),1,0),""select Col2 limit 60""))"),89.54133333333337)</f>
        <v>89.54133333</v>
      </c>
      <c r="L1096" s="17">
        <f>IFERROR(__xludf.DUMMYFUNCTION("AVERAGE(QUERY(SORT(GOOGLEFINANCE(B1096,""price"",TODAY()-365,TODAY()),1,0),""select Col2 limit 90""))"),82.34222222222222)</f>
        <v>82.34222222</v>
      </c>
      <c r="M1096" s="17">
        <f>IFERROR(__xludf.DUMMYFUNCTION("AVERAGE(QUERY(SORT(GOOGLEFINANCE(B1096,""price"",TODAY()-365,TODAY()),1,0),""select Col2 limit 120""))"),79.59958333333334)</f>
        <v>79.59958333</v>
      </c>
      <c r="N1096" s="19">
        <f>IFERROR(__xludf.DUMMYFUNCTION("AVERAGE(QUERY(SORT(GOOGLEFINANCE(B1096,""price"",TODAY()-365,TODAY()),1,0),""select Col2 limit 200""))"),84.17295000000001)</f>
        <v>84.17295</v>
      </c>
      <c r="O1096" s="20" t="str">
        <f t="shared" si="2"/>
        <v>Avoid</v>
      </c>
      <c r="P1096" s="21" t="str">
        <f t="shared" si="3"/>
        <v/>
      </c>
      <c r="Q1096" s="21" t="str">
        <f t="shared" si="4"/>
        <v/>
      </c>
      <c r="R1096" s="22" t="str">
        <f>IFERROR(__xludf.DUMMYFUNCTION("GOOGLEFINANCE(B1096, ""pe"")
"),"#N/A")</f>
        <v>#N/A</v>
      </c>
    </row>
    <row r="1097">
      <c r="A1097" s="9" t="s">
        <v>1107</v>
      </c>
      <c r="B1097" s="11" t="str">
        <f t="shared" si="1"/>
        <v>NSE:JITFINFRA</v>
      </c>
      <c r="C1097" s="12">
        <f>IFERROR(__xludf.DUMMYFUNCTION("GOOGLEFINANCE(B1097,""marketcap"")/10000000"),865.0579921)</f>
        <v>865.0579921</v>
      </c>
      <c r="D1097" s="13">
        <f>IFERROR(__xludf.DUMMYFUNCTION("GOOGLEFINANCE(B1097,""price"")"),336.55)</f>
        <v>336.55</v>
      </c>
      <c r="E1097" s="14">
        <f>IFERROR(__xludf.DUMMYFUNCTION("GOOGLEFINANCE(B1097,""Volume"")"),49739.0)</f>
        <v>49739</v>
      </c>
      <c r="F1097" s="14">
        <f t="array" ref="F1097">F1096</f>
        <v>14</v>
      </c>
      <c r="G1097" s="15" t="str">
        <f>IFERROR(__xludf.DUMMYFUNCTION("IF(E1097&gt;AVERAGE(INDEX(GOOGLEFINANCE(B1097,""volume"",WORKDAY(TODAY(),-$F$1),TODAY()),,2)),""Breakout"","""")"),"Breakout")</f>
        <v>Breakout</v>
      </c>
      <c r="H1097" s="16">
        <f>IFERROR(__xludf.DUMMYFUNCTION("GOOGLEFINANCE(B1097,""price"")"),336.55)</f>
        <v>336.55</v>
      </c>
      <c r="I1097" s="17">
        <f>IFERROR(__xludf.DUMMYFUNCTION("AVERAGE(QUERY(SORT(GOOGLEFINANCE(B1097,""price"",TODAY()-365,TODAY()),1,0),""select Col2 limit 10""))"),363.52500000000003)</f>
        <v>363.525</v>
      </c>
      <c r="J1097" s="17">
        <f>IFERROR(__xludf.DUMMYFUNCTION("AVERAGE(QUERY(SORT(GOOGLEFINANCE(B1097,""price"",TODAY()-365,TODAY()),1,0),""select Col2 limit 30""))"),370.495)</f>
        <v>370.495</v>
      </c>
      <c r="K1097" s="18">
        <f>IFERROR(__xludf.DUMMYFUNCTION("AVERAGE(QUERY(SORT(GOOGLEFINANCE(B1097,""price"",TODAY()-365,TODAY()),1,0),""select Col2 limit 60""))"),386.90333333333336)</f>
        <v>386.9033333</v>
      </c>
      <c r="L1097" s="17">
        <f>IFERROR(__xludf.DUMMYFUNCTION("AVERAGE(QUERY(SORT(GOOGLEFINANCE(B1097,""price"",TODAY()-365,TODAY()),1,0),""select Col2 limit 90""))"),384.37333333333333)</f>
        <v>384.3733333</v>
      </c>
      <c r="M1097" s="17">
        <f>IFERROR(__xludf.DUMMYFUNCTION("AVERAGE(QUERY(SORT(GOOGLEFINANCE(B1097,""price"",TODAY()-365,TODAY()),1,0),""select Col2 limit 120""))"),394.60708333333326)</f>
        <v>394.6070833</v>
      </c>
      <c r="N1097" s="19">
        <f>IFERROR(__xludf.DUMMYFUNCTION("AVERAGE(QUERY(SORT(GOOGLEFINANCE(B1097,""price"",TODAY()-365,TODAY()),1,0),""select Col2 limit 200""))"),531.9197499999996)</f>
        <v>531.91975</v>
      </c>
      <c r="O1097" s="20" t="str">
        <f t="shared" si="2"/>
        <v>Avoid</v>
      </c>
      <c r="P1097" s="21" t="str">
        <f t="shared" si="3"/>
        <v/>
      </c>
      <c r="Q1097" s="21" t="str">
        <f t="shared" si="4"/>
        <v/>
      </c>
      <c r="R1097" s="22" t="str">
        <f>IFERROR(__xludf.DUMMYFUNCTION("GOOGLEFINANCE(B1097, ""pe"")
"),"#N/A")</f>
        <v>#N/A</v>
      </c>
    </row>
    <row r="1098">
      <c r="A1098" s="9" t="s">
        <v>1108</v>
      </c>
      <c r="B1098" s="11" t="str">
        <f t="shared" si="1"/>
        <v>NSE:VERANDA</v>
      </c>
      <c r="C1098" s="12">
        <f>IFERROR(__xludf.DUMMYFUNCTION("GOOGLEFINANCE(B1098,""marketcap"")/10000000"),2162.212668)</f>
        <v>2162.212668</v>
      </c>
      <c r="D1098" s="13">
        <f>IFERROR(__xludf.DUMMYFUNCTION("GOOGLEFINANCE(B1098,""price"")"),231.0)</f>
        <v>231</v>
      </c>
      <c r="E1098" s="14">
        <f>IFERROR(__xludf.DUMMYFUNCTION("GOOGLEFINANCE(B1098,""Volume"")"),639120.0)</f>
        <v>639120</v>
      </c>
      <c r="F1098" s="14">
        <f t="array" ref="F1098">F1097</f>
        <v>14</v>
      </c>
      <c r="G1098" s="15" t="str">
        <f>IFERROR(__xludf.DUMMYFUNCTION("IF(E1098&gt;AVERAGE(INDEX(GOOGLEFINANCE(B1098,""volume"",WORKDAY(TODAY(),-$F$1),TODAY()),,2)),""Breakout"","""")"),"")</f>
        <v/>
      </c>
      <c r="H1098" s="16">
        <f>IFERROR(__xludf.DUMMYFUNCTION("GOOGLEFINANCE(B1098,""price"")"),231.0)</f>
        <v>231</v>
      </c>
      <c r="I1098" s="17">
        <f>IFERROR(__xludf.DUMMYFUNCTION("AVERAGE(QUERY(SORT(GOOGLEFINANCE(B1098,""price"",TODAY()-365,TODAY()),1,0),""select Col2 limit 10""))"),247.38299999999998)</f>
        <v>247.383</v>
      </c>
      <c r="J1098" s="17">
        <f>IFERROR(__xludf.DUMMYFUNCTION("AVERAGE(QUERY(SORT(GOOGLEFINANCE(B1098,""price"",TODAY()-365,TODAY()),1,0),""select Col2 limit 30""))"),222.99500000000003)</f>
        <v>222.995</v>
      </c>
      <c r="K1098" s="18">
        <f>IFERROR(__xludf.DUMMYFUNCTION("AVERAGE(QUERY(SORT(GOOGLEFINANCE(B1098,""price"",TODAY()-365,TODAY()),1,0),""select Col2 limit 60""))"),215.29066666666668)</f>
        <v>215.2906667</v>
      </c>
      <c r="L1098" s="17">
        <f>IFERROR(__xludf.DUMMYFUNCTION("AVERAGE(QUERY(SORT(GOOGLEFINANCE(B1098,""price"",TODAY()-365,TODAY()),1,0),""select Col2 limit 90""))"),213.5382222222222)</f>
        <v>213.5382222</v>
      </c>
      <c r="M1098" s="17">
        <f>IFERROR(__xludf.DUMMYFUNCTION("AVERAGE(QUERY(SORT(GOOGLEFINANCE(B1098,""price"",TODAY()-365,TODAY()),1,0),""select Col2 limit 120""))"),218.06591666666657)</f>
        <v>218.0659167</v>
      </c>
      <c r="N1098" s="19">
        <f>IFERROR(__xludf.DUMMYFUNCTION("AVERAGE(QUERY(SORT(GOOGLEFINANCE(B1098,""price"",TODAY()-365,TODAY()),1,0),""select Col2 limit 200""))"),232.32655000000003)</f>
        <v>232.32655</v>
      </c>
      <c r="O1098" s="20" t="str">
        <f t="shared" si="2"/>
        <v>Avoid</v>
      </c>
      <c r="P1098" s="21" t="str">
        <f t="shared" si="3"/>
        <v>200 DMA</v>
      </c>
      <c r="Q1098" s="21" t="str">
        <f t="shared" si="4"/>
        <v/>
      </c>
      <c r="R1098" s="22" t="str">
        <f>IFERROR(__xludf.DUMMYFUNCTION("GOOGLEFINANCE(B1098, ""pe"")
"),"#N/A")</f>
        <v>#N/A</v>
      </c>
    </row>
    <row r="1099">
      <c r="A1099" s="9" t="s">
        <v>1109</v>
      </c>
      <c r="B1099" s="11" t="str">
        <f t="shared" si="1"/>
        <v>NSE:GANDHAR</v>
      </c>
      <c r="C1099" s="12">
        <f>IFERROR(__xludf.DUMMYFUNCTION("GOOGLEFINANCE(B1099,""marketcap"")/10000000"),1630.6730295)</f>
        <v>1630.67303</v>
      </c>
      <c r="D1099" s="13">
        <f>IFERROR(__xludf.DUMMYFUNCTION("GOOGLEFINANCE(B1099,""price"")"),167.0)</f>
        <v>167</v>
      </c>
      <c r="E1099" s="14">
        <f>IFERROR(__xludf.DUMMYFUNCTION("GOOGLEFINANCE(B1099,""Volume"")"),78073.0)</f>
        <v>78073</v>
      </c>
      <c r="F1099" s="14">
        <f t="array" ref="F1099">F1098</f>
        <v>14</v>
      </c>
      <c r="G1099" s="15" t="str">
        <f>IFERROR(__xludf.DUMMYFUNCTION("IF(E1099&gt;AVERAGE(INDEX(GOOGLEFINANCE(B1099,""volume"",WORKDAY(TODAY(),-$F$1),TODAY()),,2)),""Breakout"","""")"),"")</f>
        <v/>
      </c>
      <c r="H1099" s="16">
        <f>IFERROR(__xludf.DUMMYFUNCTION("GOOGLEFINANCE(B1099,""price"")"),167.0)</f>
        <v>167</v>
      </c>
      <c r="I1099" s="17">
        <f>IFERROR(__xludf.DUMMYFUNCTION("AVERAGE(QUERY(SORT(GOOGLEFINANCE(B1099,""price"",TODAY()-365,TODAY()),1,0),""select Col2 limit 10""))"),169.159)</f>
        <v>169.159</v>
      </c>
      <c r="J1099" s="17">
        <f>IFERROR(__xludf.DUMMYFUNCTION("AVERAGE(QUERY(SORT(GOOGLEFINANCE(B1099,""price"",TODAY()-365,TODAY()),1,0),""select Col2 limit 30""))"),171.02300000000008)</f>
        <v>171.023</v>
      </c>
      <c r="K1099" s="18">
        <f>IFERROR(__xludf.DUMMYFUNCTION("AVERAGE(QUERY(SORT(GOOGLEFINANCE(B1099,""price"",TODAY()-365,TODAY()),1,0),""select Col2 limit 60""))"),167.40599999999998)</f>
        <v>167.406</v>
      </c>
      <c r="L1099" s="17">
        <f>IFERROR(__xludf.DUMMYFUNCTION("AVERAGE(QUERY(SORT(GOOGLEFINANCE(B1099,""price"",TODAY()-365,TODAY()),1,0),""select Col2 limit 90""))"),160.26733333333334)</f>
        <v>160.2673333</v>
      </c>
      <c r="M1099" s="17">
        <f>IFERROR(__xludf.DUMMYFUNCTION("AVERAGE(QUERY(SORT(GOOGLEFINANCE(B1099,""price"",TODAY()-365,TODAY()),1,0),""select Col2 limit 120""))"),158.754)</f>
        <v>158.754</v>
      </c>
      <c r="N1099" s="19">
        <f>IFERROR(__xludf.DUMMYFUNCTION("AVERAGE(QUERY(SORT(GOOGLEFINANCE(B1099,""price"",TODAY()-365,TODAY()),1,0),""select Col2 limit 200""))"),181.96110000000004)</f>
        <v>181.9611</v>
      </c>
      <c r="O1099" s="20" t="str">
        <f t="shared" si="2"/>
        <v>Avoid</v>
      </c>
      <c r="P1099" s="21" t="str">
        <f t="shared" si="3"/>
        <v>60 DMA</v>
      </c>
      <c r="Q1099" s="21" t="str">
        <f t="shared" si="4"/>
        <v/>
      </c>
      <c r="R1099" s="22">
        <f>IFERROR(__xludf.DUMMYFUNCTION("GOOGLEFINANCE(B1099, ""pe"")
"),20.37)</f>
        <v>20.37</v>
      </c>
    </row>
    <row r="1100">
      <c r="A1100" s="9" t="s">
        <v>1110</v>
      </c>
      <c r="B1100" s="11" t="str">
        <f t="shared" si="1"/>
        <v>NSE:GREENPOWER</v>
      </c>
      <c r="C1100" s="12">
        <f>IFERROR(__xludf.DUMMYFUNCTION("GOOGLEFINANCE(B1100,""marketcap"")/10000000"),1635.2051647)</f>
        <v>1635.205165</v>
      </c>
      <c r="D1100" s="13">
        <f>IFERROR(__xludf.DUMMYFUNCTION("GOOGLEFINANCE(B1100,""price"")"),13.93)</f>
        <v>13.93</v>
      </c>
      <c r="E1100" s="14">
        <f>IFERROR(__xludf.DUMMYFUNCTION("GOOGLEFINANCE(B1100,""Volume"")"),1689997.0)</f>
        <v>1689997</v>
      </c>
      <c r="F1100" s="14">
        <f t="array" ref="F1100">F1099</f>
        <v>14</v>
      </c>
      <c r="G1100" s="15" t="str">
        <f>IFERROR(__xludf.DUMMYFUNCTION("IF(E1100&gt;AVERAGE(INDEX(GOOGLEFINANCE(B1100,""volume"",WORKDAY(TODAY(),-$F$1),TODAY()),,2)),""Breakout"","""")"),"")</f>
        <v/>
      </c>
      <c r="H1100" s="16">
        <f>IFERROR(__xludf.DUMMYFUNCTION("GOOGLEFINANCE(B1100,""price"")"),13.93)</f>
        <v>13.93</v>
      </c>
      <c r="I1100" s="17" t="str">
        <f>IFERROR(__xludf.DUMMYFUNCTION("AVERAGE(QUERY(SORT(GOOGLEFINANCE(B1100,""price"",TODAY()-365,TODAY()),1,0),""select Col2 limit 10""))"),"#N/A")</f>
        <v>#N/A</v>
      </c>
      <c r="J1100" s="17" t="str">
        <f>IFERROR(__xludf.DUMMYFUNCTION("AVERAGE(QUERY(SORT(GOOGLEFINANCE(B1100,""price"",TODAY()-365,TODAY()),1,0),""select Col2 limit 30""))"),"#N/A")</f>
        <v>#N/A</v>
      </c>
      <c r="K1100" s="18" t="str">
        <f>IFERROR(__xludf.DUMMYFUNCTION("AVERAGE(QUERY(SORT(GOOGLEFINANCE(B1100,""price"",TODAY()-365,TODAY()),1,0),""select Col2 limit 60""))"),"#N/A")</f>
        <v>#N/A</v>
      </c>
      <c r="L1100" s="17" t="str">
        <f>IFERROR(__xludf.DUMMYFUNCTION("AVERAGE(QUERY(SORT(GOOGLEFINANCE(B1100,""price"",TODAY()-365,TODAY()),1,0),""select Col2 limit 90""))"),"#N/A")</f>
        <v>#N/A</v>
      </c>
      <c r="M1100" s="17" t="str">
        <f>IFERROR(__xludf.DUMMYFUNCTION("AVERAGE(QUERY(SORT(GOOGLEFINANCE(B1100,""price"",TODAY()-365,TODAY()),1,0),""select Col2 limit 120""))"),"#N/A")</f>
        <v>#N/A</v>
      </c>
      <c r="N1100" s="19" t="str">
        <f>IFERROR(__xludf.DUMMYFUNCTION("AVERAGE(QUERY(SORT(GOOGLEFINANCE(B1100,""price"",TODAY()-365,TODAY()),1,0),""select Col2 limit 200""))"),"#N/A")</f>
        <v>#N/A</v>
      </c>
      <c r="O1100" s="20" t="str">
        <f t="shared" si="2"/>
        <v>#N/A</v>
      </c>
      <c r="P1100" s="21" t="str">
        <f t="shared" si="3"/>
        <v>#N/A</v>
      </c>
      <c r="Q1100" s="21" t="str">
        <f t="shared" si="4"/>
        <v>#N/A</v>
      </c>
      <c r="R1100" s="22">
        <f>IFERROR(__xludf.DUMMYFUNCTION("GOOGLEFINANCE(B1100, ""pe"")
"),46.25)</f>
        <v>46.25</v>
      </c>
    </row>
    <row r="1101">
      <c r="A1101" s="9" t="s">
        <v>1111</v>
      </c>
      <c r="B1101" s="11" t="str">
        <f t="shared" si="1"/>
        <v>NSE:SIRCA</v>
      </c>
      <c r="C1101" s="12">
        <f>IFERROR(__xludf.DUMMYFUNCTION("GOOGLEFINANCE(B1101,""marketcap"")/10000000"),2269.357883)</f>
        <v>2269.357883</v>
      </c>
      <c r="D1101" s="13">
        <f>IFERROR(__xludf.DUMMYFUNCTION("GOOGLEFINANCE(B1101,""price"")"),414.0)</f>
        <v>414</v>
      </c>
      <c r="E1101" s="14">
        <f>IFERROR(__xludf.DUMMYFUNCTION("GOOGLEFINANCE(B1101,""Volume"")"),109377.0)</f>
        <v>109377</v>
      </c>
      <c r="F1101" s="14">
        <f t="array" ref="F1101">F1100</f>
        <v>14</v>
      </c>
      <c r="G1101" s="15" t="str">
        <f>IFERROR(__xludf.DUMMYFUNCTION("IF(E1101&gt;AVERAGE(INDEX(GOOGLEFINANCE(B1101,""volume"",WORKDAY(TODAY(),-$F$1),TODAY()),,2)),""Breakout"","""")"),"#N/A")</f>
        <v>#N/A</v>
      </c>
      <c r="H1101" s="16">
        <f>IFERROR(__xludf.DUMMYFUNCTION("GOOGLEFINANCE(B1101,""price"")"),414.0)</f>
        <v>414</v>
      </c>
      <c r="I1101" s="17">
        <f>IFERROR(__xludf.DUMMYFUNCTION("AVERAGE(QUERY(SORT(GOOGLEFINANCE(B1101,""price"",TODAY()-365,TODAY()),1,0),""select Col2 limit 10""))"),418.64)</f>
        <v>418.64</v>
      </c>
      <c r="J1101" s="17">
        <f>IFERROR(__xludf.DUMMYFUNCTION("AVERAGE(QUERY(SORT(GOOGLEFINANCE(B1101,""price"",TODAY()-365,TODAY()),1,0),""select Col2 limit 30""))"),398.77333333333337)</f>
        <v>398.7733333</v>
      </c>
      <c r="K1101" s="18">
        <f>IFERROR(__xludf.DUMMYFUNCTION("AVERAGE(QUERY(SORT(GOOGLEFINANCE(B1101,""price"",TODAY()-365,TODAY()),1,0),""select Col2 limit 60""))"),359.01)</f>
        <v>359.01</v>
      </c>
      <c r="L1101" s="17">
        <f>IFERROR(__xludf.DUMMYFUNCTION("AVERAGE(QUERY(SORT(GOOGLEFINANCE(B1101,""price"",TODAY()-365,TODAY()),1,0),""select Col2 limit 90""))"),328.7416666666666)</f>
        <v>328.7416667</v>
      </c>
      <c r="M1101" s="17">
        <f>IFERROR(__xludf.DUMMYFUNCTION("AVERAGE(QUERY(SORT(GOOGLEFINANCE(B1101,""price"",TODAY()-365,TODAY()),1,0),""select Col2 limit 120""))"),317.0379166666666)</f>
        <v>317.0379167</v>
      </c>
      <c r="N1101" s="19">
        <f>IFERROR(__xludf.DUMMYFUNCTION("AVERAGE(QUERY(SORT(GOOGLEFINANCE(B1101,""price"",TODAY()-365,TODAY()),1,0),""select Col2 limit 200""))"),322.0729999999999)</f>
        <v>322.073</v>
      </c>
      <c r="O1101" s="20" t="str">
        <f t="shared" si="2"/>
        <v>Avoid</v>
      </c>
      <c r="P1101" s="21" t="str">
        <f t="shared" si="3"/>
        <v/>
      </c>
      <c r="Q1101" s="21" t="str">
        <f t="shared" si="4"/>
        <v/>
      </c>
      <c r="R1101" s="22">
        <f>IFERROR(__xludf.DUMMYFUNCTION("GOOGLEFINANCE(B1101, ""pe"")
"),46.07)</f>
        <v>46.07</v>
      </c>
    </row>
    <row r="1102">
      <c r="A1102" s="9" t="s">
        <v>1112</v>
      </c>
      <c r="B1102" s="11" t="str">
        <f t="shared" si="1"/>
        <v>NSE:SUMMITSEC</v>
      </c>
      <c r="C1102" s="12">
        <f>IFERROR(__xludf.DUMMYFUNCTION("GOOGLEFINANCE(B1102,""marketcap"")/10000000"),2228.6509386)</f>
        <v>2228.650939</v>
      </c>
      <c r="D1102" s="13">
        <f>IFERROR(__xludf.DUMMYFUNCTION("GOOGLEFINANCE(B1102,""price"")"),2044.3)</f>
        <v>2044.3</v>
      </c>
      <c r="E1102" s="14">
        <f>IFERROR(__xludf.DUMMYFUNCTION("GOOGLEFINANCE(B1102,""Volume"")"),2502.0)</f>
        <v>2502</v>
      </c>
      <c r="F1102" s="14">
        <f t="array" ref="F1102">F1101</f>
        <v>14</v>
      </c>
      <c r="G1102" s="15" t="str">
        <f>IFERROR(__xludf.DUMMYFUNCTION("IF(E1102&gt;AVERAGE(INDEX(GOOGLEFINANCE(B1102,""volume"",WORKDAY(TODAY(),-$F$1),TODAY()),,2)),""Breakout"","""")"),"")</f>
        <v/>
      </c>
      <c r="H1102" s="16">
        <f>IFERROR(__xludf.DUMMYFUNCTION("GOOGLEFINANCE(B1102,""price"")"),2044.3)</f>
        <v>2044.3</v>
      </c>
      <c r="I1102" s="17">
        <f>IFERROR(__xludf.DUMMYFUNCTION("AVERAGE(QUERY(SORT(GOOGLEFINANCE(B1102,""price"",TODAY()-365,TODAY()),1,0),""select Col2 limit 10""))"),2086.37)</f>
        <v>2086.37</v>
      </c>
      <c r="J1102" s="17">
        <f>IFERROR(__xludf.DUMMYFUNCTION("AVERAGE(QUERY(SORT(GOOGLEFINANCE(B1102,""price"",TODAY()-365,TODAY()),1,0),""select Col2 limit 30""))"),2070.44)</f>
        <v>2070.44</v>
      </c>
      <c r="K1102" s="18">
        <f>IFERROR(__xludf.DUMMYFUNCTION("AVERAGE(QUERY(SORT(GOOGLEFINANCE(B1102,""price"",TODAY()-365,TODAY()),1,0),""select Col2 limit 60""))"),2054.075)</f>
        <v>2054.075</v>
      </c>
      <c r="L1102" s="17">
        <f>IFERROR(__xludf.DUMMYFUNCTION("AVERAGE(QUERY(SORT(GOOGLEFINANCE(B1102,""price"",TODAY()-365,TODAY()),1,0),""select Col2 limit 90""))"),2020.5944444444444)</f>
        <v>2020.594444</v>
      </c>
      <c r="M1102" s="17">
        <f>IFERROR(__xludf.DUMMYFUNCTION("AVERAGE(QUERY(SORT(GOOGLEFINANCE(B1102,""price"",TODAY()-365,TODAY()),1,0),""select Col2 limit 120""))"),1941.1029166666658)</f>
        <v>1941.102917</v>
      </c>
      <c r="N1102" s="19">
        <f>IFERROR(__xludf.DUMMYFUNCTION("AVERAGE(QUERY(SORT(GOOGLEFINANCE(B1102,""price"",TODAY()-365,TODAY()),1,0),""select Col2 limit 200""))"),2330.3984999999993)</f>
        <v>2330.3985</v>
      </c>
      <c r="O1102" s="20" t="str">
        <f t="shared" si="2"/>
        <v>Avoid</v>
      </c>
      <c r="P1102" s="21" t="str">
        <f t="shared" si="3"/>
        <v>60 DMA</v>
      </c>
      <c r="Q1102" s="21" t="str">
        <f t="shared" si="4"/>
        <v/>
      </c>
      <c r="R1102" s="22">
        <f>IFERROR(__xludf.DUMMYFUNCTION("GOOGLEFINANCE(B1102, ""pe"")
"),32.56)</f>
        <v>32.56</v>
      </c>
    </row>
    <row r="1103">
      <c r="A1103" s="9" t="s">
        <v>1113</v>
      </c>
      <c r="B1103" s="11" t="str">
        <f t="shared" si="1"/>
        <v>NSE:WHEELS</v>
      </c>
      <c r="C1103" s="12">
        <f>IFERROR(__xludf.DUMMYFUNCTION("GOOGLEFINANCE(B1103,""marketcap"")/10000000"),1877.7568071)</f>
        <v>1877.756807</v>
      </c>
      <c r="D1103" s="13">
        <f>IFERROR(__xludf.DUMMYFUNCTION("GOOGLEFINANCE(B1103,""price"")"),781.65)</f>
        <v>781.65</v>
      </c>
      <c r="E1103" s="14">
        <f>IFERROR(__xludf.DUMMYFUNCTION("GOOGLEFINANCE(B1103,""Volume"")"),17075.0)</f>
        <v>17075</v>
      </c>
      <c r="F1103" s="14">
        <f t="array" ref="F1103">F1102</f>
        <v>14</v>
      </c>
      <c r="G1103" s="15" t="str">
        <f>IFERROR(__xludf.DUMMYFUNCTION("IF(E1103&gt;AVERAGE(INDEX(GOOGLEFINANCE(B1103,""volume"",WORKDAY(TODAY(),-$F$1),TODAY()),,2)),""Breakout"","""")"),"")</f>
        <v/>
      </c>
      <c r="H1103" s="16">
        <f>IFERROR(__xludf.DUMMYFUNCTION("GOOGLEFINANCE(B1103,""price"")"),781.65)</f>
        <v>781.65</v>
      </c>
      <c r="I1103" s="17">
        <f>IFERROR(__xludf.DUMMYFUNCTION("AVERAGE(QUERY(SORT(GOOGLEFINANCE(B1103,""price"",TODAY()-365,TODAY()),1,0),""select Col2 limit 10""))"),811.635)</f>
        <v>811.635</v>
      </c>
      <c r="J1103" s="17">
        <f>IFERROR(__xludf.DUMMYFUNCTION("AVERAGE(QUERY(SORT(GOOGLEFINANCE(B1103,""price"",TODAY()-365,TODAY()),1,0),""select Col2 limit 30""))"),792.2816666666666)</f>
        <v>792.2816667</v>
      </c>
      <c r="K1103" s="18">
        <f>IFERROR(__xludf.DUMMYFUNCTION("AVERAGE(QUERY(SORT(GOOGLEFINANCE(B1103,""price"",TODAY()-365,TODAY()),1,0),""select Col2 limit 60""))"),762.5466666666667)</f>
        <v>762.5466667</v>
      </c>
      <c r="L1103" s="17">
        <f>IFERROR(__xludf.DUMMYFUNCTION("AVERAGE(QUERY(SORT(GOOGLEFINANCE(B1103,""price"",TODAY()-365,TODAY()),1,0),""select Col2 limit 90""))"),719.7666666666667)</f>
        <v>719.7666667</v>
      </c>
      <c r="M1103" s="17">
        <f>IFERROR(__xludf.DUMMYFUNCTION("AVERAGE(QUERY(SORT(GOOGLEFINANCE(B1103,""price"",TODAY()-365,TODAY()),1,0),""select Col2 limit 120""))"),696.5937499999997)</f>
        <v>696.59375</v>
      </c>
      <c r="N1103" s="19">
        <f>IFERROR(__xludf.DUMMYFUNCTION("AVERAGE(QUERY(SORT(GOOGLEFINANCE(B1103,""price"",TODAY()-365,TODAY()),1,0),""select Col2 limit 200""))"),703.4959999999995)</f>
        <v>703.496</v>
      </c>
      <c r="O1103" s="20" t="str">
        <f t="shared" si="2"/>
        <v>Avoid</v>
      </c>
      <c r="P1103" s="21" t="str">
        <f t="shared" si="3"/>
        <v/>
      </c>
      <c r="Q1103" s="21" t="str">
        <f t="shared" si="4"/>
        <v/>
      </c>
      <c r="R1103" s="22">
        <f>IFERROR(__xludf.DUMMYFUNCTION("GOOGLEFINANCE(B1103, ""pe"")
"),17.22)</f>
        <v>17.22</v>
      </c>
    </row>
    <row r="1104">
      <c r="A1104" s="9" t="s">
        <v>1114</v>
      </c>
      <c r="B1104" s="11" t="str">
        <f t="shared" si="1"/>
        <v>NSE:DPSCLTD</v>
      </c>
      <c r="C1104" s="12">
        <f>IFERROR(__xludf.DUMMYFUNCTION("GOOGLEFINANCE(B1104,""marketcap"")/10000000"),1262.0309365)</f>
        <v>1262.030937</v>
      </c>
      <c r="D1104" s="13">
        <f>IFERROR(__xludf.DUMMYFUNCTION("GOOGLEFINANCE(B1104,""price"")"),12.92)</f>
        <v>12.92</v>
      </c>
      <c r="E1104" s="14">
        <f>IFERROR(__xludf.DUMMYFUNCTION("GOOGLEFINANCE(B1104,""Volume"")"),99095.0)</f>
        <v>99095</v>
      </c>
      <c r="F1104" s="14">
        <f t="array" ref="F1104">F1103</f>
        <v>14</v>
      </c>
      <c r="G1104" s="15" t="str">
        <f>IFERROR(__xludf.DUMMYFUNCTION("IF(E1104&gt;AVERAGE(INDEX(GOOGLEFINANCE(B1104,""volume"",WORKDAY(TODAY(),-$F$1),TODAY()),,2)),""Breakout"","""")"),"")</f>
        <v/>
      </c>
      <c r="H1104" s="16">
        <f>IFERROR(__xludf.DUMMYFUNCTION("GOOGLEFINANCE(B1104,""price"")"),12.92)</f>
        <v>12.92</v>
      </c>
      <c r="I1104" s="17">
        <f>IFERROR(__xludf.DUMMYFUNCTION("AVERAGE(QUERY(SORT(GOOGLEFINANCE(B1104,""price"",TODAY()-365,TODAY()),1,0),""select Col2 limit 10""))"),13.554000000000002)</f>
        <v>13.554</v>
      </c>
      <c r="J1104" s="17">
        <f>IFERROR(__xludf.DUMMYFUNCTION("AVERAGE(QUERY(SORT(GOOGLEFINANCE(B1104,""price"",TODAY()-365,TODAY()),1,0),""select Col2 limit 30""))"),13.498666666666669)</f>
        <v>13.49866667</v>
      </c>
      <c r="K1104" s="18">
        <f>IFERROR(__xludf.DUMMYFUNCTION("AVERAGE(QUERY(SORT(GOOGLEFINANCE(B1104,""price"",TODAY()-365,TODAY()),1,0),""select Col2 limit 60""))"),13.283333333333333)</f>
        <v>13.28333333</v>
      </c>
      <c r="L1104" s="17">
        <f>IFERROR(__xludf.DUMMYFUNCTION("AVERAGE(QUERY(SORT(GOOGLEFINANCE(B1104,""price"",TODAY()-365,TODAY()),1,0),""select Col2 limit 90""))"),12.991000000000001)</f>
        <v>12.991</v>
      </c>
      <c r="M1104" s="17">
        <f>IFERROR(__xludf.DUMMYFUNCTION("AVERAGE(QUERY(SORT(GOOGLEFINANCE(B1104,""price"",TODAY()-365,TODAY()),1,0),""select Col2 limit 120""))"),13.202083333333329)</f>
        <v>13.20208333</v>
      </c>
      <c r="N1104" s="19">
        <f>IFERROR(__xludf.DUMMYFUNCTION("AVERAGE(QUERY(SORT(GOOGLEFINANCE(B1104,""price"",TODAY()-365,TODAY()),1,0),""select Col2 limit 200""))"),14.864449999999987)</f>
        <v>14.86445</v>
      </c>
      <c r="O1104" s="20" t="str">
        <f t="shared" si="2"/>
        <v>Avoid</v>
      </c>
      <c r="P1104" s="21" t="str">
        <f t="shared" si="3"/>
        <v>90 DMA</v>
      </c>
      <c r="Q1104" s="21" t="str">
        <f t="shared" si="4"/>
        <v/>
      </c>
      <c r="R1104" s="22">
        <f>IFERROR(__xludf.DUMMYFUNCTION("GOOGLEFINANCE(B1104, ""pe"")
"),186.37)</f>
        <v>186.37</v>
      </c>
    </row>
    <row r="1105">
      <c r="A1105" s="9" t="s">
        <v>1115</v>
      </c>
      <c r="B1105" s="11" t="str">
        <f t="shared" si="1"/>
        <v>NSE:PENINLAND</v>
      </c>
      <c r="C1105" s="12">
        <f>IFERROR(__xludf.DUMMYFUNCTION("GOOGLEFINANCE(B1105,""marketcap"")/10000000"),1214.7882667)</f>
        <v>1214.788267</v>
      </c>
      <c r="D1105" s="13">
        <f>IFERROR(__xludf.DUMMYFUNCTION("GOOGLEFINANCE(B1105,""price"")"),36.57)</f>
        <v>36.57</v>
      </c>
      <c r="E1105" s="14">
        <f>IFERROR(__xludf.DUMMYFUNCTION("GOOGLEFINANCE(B1105,""Volume"")"),395398.0)</f>
        <v>395398</v>
      </c>
      <c r="F1105" s="14">
        <f t="array" ref="F1105">F1104</f>
        <v>14</v>
      </c>
      <c r="G1105" s="15" t="str">
        <f>IFERROR(__xludf.DUMMYFUNCTION("IF(E1105&gt;AVERAGE(INDEX(GOOGLEFINANCE(B1105,""volume"",WORKDAY(TODAY(),-$F$1),TODAY()),,2)),""Breakout"","""")"),"")</f>
        <v/>
      </c>
      <c r="H1105" s="16">
        <f>IFERROR(__xludf.DUMMYFUNCTION("GOOGLEFINANCE(B1105,""price"")"),36.57)</f>
        <v>36.57</v>
      </c>
      <c r="I1105" s="17">
        <f>IFERROR(__xludf.DUMMYFUNCTION("AVERAGE(QUERY(SORT(GOOGLEFINANCE(B1105,""price"",TODAY()-365,TODAY()),1,0),""select Col2 limit 10""))"),41.01799999999999)</f>
        <v>41.018</v>
      </c>
      <c r="J1105" s="17">
        <f>IFERROR(__xludf.DUMMYFUNCTION("AVERAGE(QUERY(SORT(GOOGLEFINANCE(B1105,""price"",TODAY()-365,TODAY()),1,0),""select Col2 limit 30""))"),34.723)</f>
        <v>34.723</v>
      </c>
      <c r="K1105" s="18">
        <f>IFERROR(__xludf.DUMMYFUNCTION("AVERAGE(QUERY(SORT(GOOGLEFINANCE(B1105,""price"",TODAY()-365,TODAY()),1,0),""select Col2 limit 60""))"),31.858499999999996)</f>
        <v>31.8585</v>
      </c>
      <c r="L1105" s="17">
        <f>IFERROR(__xludf.DUMMYFUNCTION("AVERAGE(QUERY(SORT(GOOGLEFINANCE(B1105,""price"",TODAY()-365,TODAY()),1,0),""select Col2 limit 90""))"),29.811111111111106)</f>
        <v>29.81111111</v>
      </c>
      <c r="M1105" s="17">
        <f>IFERROR(__xludf.DUMMYFUNCTION("AVERAGE(QUERY(SORT(GOOGLEFINANCE(B1105,""price"",TODAY()-365,TODAY()),1,0),""select Col2 limit 120""))"),29.605499999999996)</f>
        <v>29.6055</v>
      </c>
      <c r="N1105" s="19">
        <f>IFERROR(__xludf.DUMMYFUNCTION("AVERAGE(QUERY(SORT(GOOGLEFINANCE(B1105,""price"",TODAY()-365,TODAY()),1,0),""select Col2 limit 200""))"),36.493449999999996)</f>
        <v>36.49345</v>
      </c>
      <c r="O1105" s="20" t="str">
        <f t="shared" si="2"/>
        <v>Avoid</v>
      </c>
      <c r="P1105" s="21" t="str">
        <f t="shared" si="3"/>
        <v/>
      </c>
      <c r="Q1105" s="21" t="str">
        <f t="shared" si="4"/>
        <v/>
      </c>
      <c r="R1105" s="22" t="str">
        <f>IFERROR(__xludf.DUMMYFUNCTION("GOOGLEFINANCE(B1105, ""pe"")
"),"#N/A")</f>
        <v>#N/A</v>
      </c>
    </row>
    <row r="1106">
      <c r="A1106" s="9" t="s">
        <v>1116</v>
      </c>
      <c r="B1106" s="11" t="str">
        <f t="shared" si="1"/>
        <v>NSE:SANGAMIND</v>
      </c>
      <c r="C1106" s="12">
        <f>IFERROR(__xludf.DUMMYFUNCTION("GOOGLEFINANCE(B1106,""marketcap"")/10000000"),2192.9881939)</f>
        <v>2192.988194</v>
      </c>
      <c r="D1106" s="13">
        <f>IFERROR(__xludf.DUMMYFUNCTION("GOOGLEFINANCE(B1106,""price"")"),441.85)</f>
        <v>441.85</v>
      </c>
      <c r="E1106" s="14">
        <f>IFERROR(__xludf.DUMMYFUNCTION("GOOGLEFINANCE(B1106,""Volume"")"),17761.0)</f>
        <v>17761</v>
      </c>
      <c r="F1106" s="14">
        <f t="array" ref="F1106">F1105</f>
        <v>14</v>
      </c>
      <c r="G1106" s="15" t="str">
        <f>IFERROR(__xludf.DUMMYFUNCTION("IF(E1106&gt;AVERAGE(INDEX(GOOGLEFINANCE(B1106,""volume"",WORKDAY(TODAY(),-$F$1),TODAY()),,2)),""Breakout"","""")"),"")</f>
        <v/>
      </c>
      <c r="H1106" s="16">
        <f>IFERROR(__xludf.DUMMYFUNCTION("GOOGLEFINANCE(B1106,""price"")"),441.85)</f>
        <v>441.85</v>
      </c>
      <c r="I1106" s="17">
        <f>IFERROR(__xludf.DUMMYFUNCTION("AVERAGE(QUERY(SORT(GOOGLEFINANCE(B1106,""price"",TODAY()-365,TODAY()),1,0),""select Col2 limit 10""))"),460.16499999999996)</f>
        <v>460.165</v>
      </c>
      <c r="J1106" s="17">
        <f>IFERROR(__xludf.DUMMYFUNCTION("AVERAGE(QUERY(SORT(GOOGLEFINANCE(B1106,""price"",TODAY()-365,TODAY()),1,0),""select Col2 limit 30""))"),454.0466666666667)</f>
        <v>454.0466667</v>
      </c>
      <c r="K1106" s="18">
        <f>IFERROR(__xludf.DUMMYFUNCTION("AVERAGE(QUERY(SORT(GOOGLEFINANCE(B1106,""price"",TODAY()-365,TODAY()),1,0),""select Col2 limit 60""))"),436.4583333333333)</f>
        <v>436.4583333</v>
      </c>
      <c r="L1106" s="17">
        <f>IFERROR(__xludf.DUMMYFUNCTION("AVERAGE(QUERY(SORT(GOOGLEFINANCE(B1106,""price"",TODAY()-365,TODAY()),1,0),""select Col2 limit 90""))"),423.42555555555543)</f>
        <v>423.4255556</v>
      </c>
      <c r="M1106" s="17">
        <f>IFERROR(__xludf.DUMMYFUNCTION("AVERAGE(QUERY(SORT(GOOGLEFINANCE(B1106,""price"",TODAY()-365,TODAY()),1,0),""select Col2 limit 120""))"),405.06208333333313)</f>
        <v>405.0620833</v>
      </c>
      <c r="N1106" s="19">
        <f>IFERROR(__xludf.DUMMYFUNCTION("AVERAGE(QUERY(SORT(GOOGLEFINANCE(B1106,""price"",TODAY()-365,TODAY()),1,0),""select Col2 limit 200""))"),403.4152499999997)</f>
        <v>403.41525</v>
      </c>
      <c r="O1106" s="20" t="str">
        <f t="shared" si="2"/>
        <v>Avoid</v>
      </c>
      <c r="P1106" s="21" t="str">
        <f t="shared" si="3"/>
        <v/>
      </c>
      <c r="Q1106" s="21" t="str">
        <f t="shared" si="4"/>
        <v/>
      </c>
      <c r="R1106" s="22">
        <f>IFERROR(__xludf.DUMMYFUNCTION("GOOGLEFINANCE(B1106, ""pe"")
"),69.8)</f>
        <v>69.8</v>
      </c>
    </row>
    <row r="1107">
      <c r="A1107" s="9" t="s">
        <v>1117</v>
      </c>
      <c r="B1107" s="11" t="str">
        <f t="shared" si="1"/>
        <v>NSE:ATULAUTO</v>
      </c>
      <c r="C1107" s="12">
        <f>IFERROR(__xludf.DUMMYFUNCTION("GOOGLEFINANCE(B1107,""marketcap"")/10000000"),1252.27651)</f>
        <v>1252.27651</v>
      </c>
      <c r="D1107" s="13">
        <f>IFERROR(__xludf.DUMMYFUNCTION("GOOGLEFINANCE(B1107,""price"")"),451.35)</f>
        <v>451.35</v>
      </c>
      <c r="E1107" s="14">
        <f>IFERROR(__xludf.DUMMYFUNCTION("GOOGLEFINANCE(B1107,""Volume"")"),17652.0)</f>
        <v>17652</v>
      </c>
      <c r="F1107" s="14">
        <f t="array" ref="F1107">F1106</f>
        <v>14</v>
      </c>
      <c r="G1107" s="15" t="str">
        <f>IFERROR(__xludf.DUMMYFUNCTION("IF(E1107&gt;AVERAGE(INDEX(GOOGLEFINANCE(B1107,""volume"",WORKDAY(TODAY(),-$F$1),TODAY()),,2)),""Breakout"","""")"),"")</f>
        <v/>
      </c>
      <c r="H1107" s="16">
        <f>IFERROR(__xludf.DUMMYFUNCTION("GOOGLEFINANCE(B1107,""price"")"),451.35)</f>
        <v>451.35</v>
      </c>
      <c r="I1107" s="17">
        <f>IFERROR(__xludf.DUMMYFUNCTION("AVERAGE(QUERY(SORT(GOOGLEFINANCE(B1107,""price"",TODAY()-365,TODAY()),1,0),""select Col2 limit 10""))"),461.03999999999996)</f>
        <v>461.04</v>
      </c>
      <c r="J1107" s="17">
        <f>IFERROR(__xludf.DUMMYFUNCTION("AVERAGE(QUERY(SORT(GOOGLEFINANCE(B1107,""price"",TODAY()-365,TODAY()),1,0),""select Col2 limit 30""))"),455.18333333333334)</f>
        <v>455.1833333</v>
      </c>
      <c r="K1107" s="18">
        <f>IFERROR(__xludf.DUMMYFUNCTION("AVERAGE(QUERY(SORT(GOOGLEFINANCE(B1107,""price"",TODAY()-365,TODAY()),1,0),""select Col2 limit 60""))"),466.8266666666668)</f>
        <v>466.8266667</v>
      </c>
      <c r="L1107" s="17">
        <f>IFERROR(__xludf.DUMMYFUNCTION("AVERAGE(QUERY(SORT(GOOGLEFINANCE(B1107,""price"",TODAY()-365,TODAY()),1,0),""select Col2 limit 90""))"),469.9455555555557)</f>
        <v>469.9455556</v>
      </c>
      <c r="M1107" s="17">
        <f>IFERROR(__xludf.DUMMYFUNCTION("AVERAGE(QUERY(SORT(GOOGLEFINANCE(B1107,""price"",TODAY()-365,TODAY()),1,0),""select Col2 limit 120""))"),471.8537500000003)</f>
        <v>471.85375</v>
      </c>
      <c r="N1107" s="19">
        <f>IFERROR(__xludf.DUMMYFUNCTION("AVERAGE(QUERY(SORT(GOOGLEFINANCE(B1107,""price"",TODAY()-365,TODAY()),1,0),""select Col2 limit 200""))"),515.19275)</f>
        <v>515.19275</v>
      </c>
      <c r="O1107" s="20" t="str">
        <f t="shared" si="2"/>
        <v>Avoid</v>
      </c>
      <c r="P1107" s="21" t="str">
        <f t="shared" si="3"/>
        <v>30 DMA</v>
      </c>
      <c r="Q1107" s="21" t="str">
        <f t="shared" si="4"/>
        <v/>
      </c>
      <c r="R1107" s="22">
        <f>IFERROR(__xludf.DUMMYFUNCTION("GOOGLEFINANCE(B1107, ""pe"")
"),68.34)</f>
        <v>68.34</v>
      </c>
    </row>
    <row r="1108">
      <c r="A1108" s="9" t="s">
        <v>1118</v>
      </c>
      <c r="B1108" s="11" t="str">
        <f t="shared" si="1"/>
        <v>NSE:BIGBLOC</v>
      </c>
      <c r="C1108" s="12">
        <f>IFERROR(__xludf.DUMMYFUNCTION("GOOGLEFINANCE(B1108,""marketcap"")/10000000"),850.8699353)</f>
        <v>850.8699353</v>
      </c>
      <c r="D1108" s="13">
        <f>IFERROR(__xludf.DUMMYFUNCTION("GOOGLEFINANCE(B1108,""price"")"),60.25)</f>
        <v>60.25</v>
      </c>
      <c r="E1108" s="14">
        <f>IFERROR(__xludf.DUMMYFUNCTION("GOOGLEFINANCE(B1108,""Volume"")"),32473.0)</f>
        <v>32473</v>
      </c>
      <c r="F1108" s="14">
        <f t="array" ref="F1108">F1107</f>
        <v>14</v>
      </c>
      <c r="G1108" s="15" t="str">
        <f>IFERROR(__xludf.DUMMYFUNCTION("IF(E1108&gt;AVERAGE(INDEX(GOOGLEFINANCE(B1108,""volume"",WORKDAY(TODAY(),-$F$1),TODAY()),,2)),""Breakout"","""")"),"#N/A")</f>
        <v>#N/A</v>
      </c>
      <c r="H1108" s="16">
        <f>IFERROR(__xludf.DUMMYFUNCTION("GOOGLEFINANCE(B1108,""price"")"),60.25)</f>
        <v>60.25</v>
      </c>
      <c r="I1108" s="17">
        <f>IFERROR(__xludf.DUMMYFUNCTION("AVERAGE(QUERY(SORT(GOOGLEFINANCE(B1108,""price"",TODAY()-365,TODAY()),1,0),""select Col2 limit 10""))"),61.568000000000005)</f>
        <v>61.568</v>
      </c>
      <c r="J1108" s="17">
        <f>IFERROR(__xludf.DUMMYFUNCTION("AVERAGE(QUERY(SORT(GOOGLEFINANCE(B1108,""price"",TODAY()-365,TODAY()),1,0),""select Col2 limit 30""))"),63.450333333333326)</f>
        <v>63.45033333</v>
      </c>
      <c r="K1108" s="18">
        <f>IFERROR(__xludf.DUMMYFUNCTION("AVERAGE(QUERY(SORT(GOOGLEFINANCE(B1108,""price"",TODAY()-365,TODAY()),1,0),""select Col2 limit 60""))"),64.59983333333335)</f>
        <v>64.59983333</v>
      </c>
      <c r="L1108" s="17">
        <f>IFERROR(__xludf.DUMMYFUNCTION("AVERAGE(QUERY(SORT(GOOGLEFINANCE(B1108,""price"",TODAY()-365,TODAY()),1,0),""select Col2 limit 90""))"),65.03011111111113)</f>
        <v>65.03011111</v>
      </c>
      <c r="M1108" s="17">
        <f>IFERROR(__xludf.DUMMYFUNCTION("AVERAGE(QUERY(SORT(GOOGLEFINANCE(B1108,""price"",TODAY()-365,TODAY()),1,0),""select Col2 limit 120""))"),66.26150000000001)</f>
        <v>66.2615</v>
      </c>
      <c r="N1108" s="19">
        <f>IFERROR(__xludf.DUMMYFUNCTION("AVERAGE(QUERY(SORT(GOOGLEFINANCE(B1108,""price"",TODAY()-365,TODAY()),1,0),""select Col2 limit 200""))"),83.98615000000004)</f>
        <v>83.98615</v>
      </c>
      <c r="O1108" s="20" t="str">
        <f t="shared" si="2"/>
        <v>Avoid</v>
      </c>
      <c r="P1108" s="21" t="str">
        <f t="shared" si="3"/>
        <v/>
      </c>
      <c r="Q1108" s="21" t="str">
        <f t="shared" si="4"/>
        <v/>
      </c>
      <c r="R1108" s="22">
        <f>IFERROR(__xludf.DUMMYFUNCTION("GOOGLEFINANCE(B1108, ""pe"")
"),88.65)</f>
        <v>88.65</v>
      </c>
    </row>
    <row r="1109">
      <c r="A1109" s="9" t="s">
        <v>1119</v>
      </c>
      <c r="B1109" s="11" t="str">
        <f t="shared" si="1"/>
        <v>NSE:EXPLEOSOL</v>
      </c>
      <c r="C1109" s="12">
        <f>IFERROR(__xludf.DUMMYFUNCTION("GOOGLEFINANCE(B1109,""marketcap"")/10000000"),1875.2502599)</f>
        <v>1875.25026</v>
      </c>
      <c r="D1109" s="13">
        <f>IFERROR(__xludf.DUMMYFUNCTION("GOOGLEFINANCE(B1109,""price"")"),1208.3)</f>
        <v>1208.3</v>
      </c>
      <c r="E1109" s="14">
        <f>IFERROR(__xludf.DUMMYFUNCTION("GOOGLEFINANCE(B1109,""Volume"")"),3083.0)</f>
        <v>3083</v>
      </c>
      <c r="F1109" s="14">
        <f t="array" ref="F1109">F1108</f>
        <v>14</v>
      </c>
      <c r="G1109" s="15" t="str">
        <f>IFERROR(__xludf.DUMMYFUNCTION("IF(E1109&gt;AVERAGE(INDEX(GOOGLEFINANCE(B1109,""volume"",WORKDAY(TODAY(),-$F$1),TODAY()),,2)),""Breakout"","""")"),"")</f>
        <v/>
      </c>
      <c r="H1109" s="16">
        <f>IFERROR(__xludf.DUMMYFUNCTION("GOOGLEFINANCE(B1109,""price"")"),1208.3)</f>
        <v>1208.3</v>
      </c>
      <c r="I1109" s="17">
        <f>IFERROR(__xludf.DUMMYFUNCTION("AVERAGE(QUERY(SORT(GOOGLEFINANCE(B1109,""price"",TODAY()-365,TODAY()),1,0),""select Col2 limit 10""))"),1226.6799999999998)</f>
        <v>1226.68</v>
      </c>
      <c r="J1109" s="17">
        <f>IFERROR(__xludf.DUMMYFUNCTION("AVERAGE(QUERY(SORT(GOOGLEFINANCE(B1109,""price"",TODAY()-365,TODAY()),1,0),""select Col2 limit 30""))"),1266.1466666666665)</f>
        <v>1266.146667</v>
      </c>
      <c r="K1109" s="18">
        <f>IFERROR(__xludf.DUMMYFUNCTION("AVERAGE(QUERY(SORT(GOOGLEFINANCE(B1109,""price"",TODAY()-365,TODAY()),1,0),""select Col2 limit 60""))"),1126.9991666666667)</f>
        <v>1126.999167</v>
      </c>
      <c r="L1109" s="17">
        <f>IFERROR(__xludf.DUMMYFUNCTION("AVERAGE(QUERY(SORT(GOOGLEFINANCE(B1109,""price"",TODAY()-365,TODAY()),1,0),""select Col2 limit 90""))"),1033.8016666666665)</f>
        <v>1033.801667</v>
      </c>
      <c r="M1109" s="17">
        <f>IFERROR(__xludf.DUMMYFUNCTION("AVERAGE(QUERY(SORT(GOOGLEFINANCE(B1109,""price"",TODAY()-365,TODAY()),1,0),""select Col2 limit 120""))"),1034.8749999999998)</f>
        <v>1034.875</v>
      </c>
      <c r="N1109" s="19">
        <f>IFERROR(__xludf.DUMMYFUNCTION("AVERAGE(QUERY(SORT(GOOGLEFINANCE(B1109,""price"",TODAY()-365,TODAY()),1,0),""select Col2 limit 200""))"),1149.4000000000003)</f>
        <v>1149.4</v>
      </c>
      <c r="O1109" s="20" t="str">
        <f t="shared" si="2"/>
        <v>Avoid</v>
      </c>
      <c r="P1109" s="21" t="str">
        <f t="shared" si="3"/>
        <v/>
      </c>
      <c r="Q1109" s="21" t="str">
        <f t="shared" si="4"/>
        <v/>
      </c>
      <c r="R1109" s="22">
        <f>IFERROR(__xludf.DUMMYFUNCTION("GOOGLEFINANCE(B1109, ""pe"")
"),15.89)</f>
        <v>15.89</v>
      </c>
    </row>
    <row r="1110">
      <c r="A1110" s="9" t="s">
        <v>1120</v>
      </c>
      <c r="B1110" s="11" t="str">
        <f t="shared" si="1"/>
        <v>NSE:ADORWELD</v>
      </c>
      <c r="C1110" s="12" t="str">
        <f>IFERROR(__xludf.DUMMYFUNCTION("GOOGLEFINANCE(B1110,""marketcap"")/10000000"),"#N/A")</f>
        <v>#N/A</v>
      </c>
      <c r="D1110" s="13" t="str">
        <f>IFERROR(__xludf.DUMMYFUNCTION("GOOGLEFINANCE(B1110,""price"")"),"#N/A")</f>
        <v>#N/A</v>
      </c>
      <c r="E1110" s="14" t="str">
        <f>IFERROR(__xludf.DUMMYFUNCTION("GOOGLEFINANCE(B1110,""Volume"")"),"#N/A")</f>
        <v>#N/A</v>
      </c>
      <c r="F1110" s="14">
        <f t="array" ref="F1110">F1109</f>
        <v>14</v>
      </c>
      <c r="G1110" s="15" t="str">
        <f>IFERROR(__xludf.DUMMYFUNCTION("IF(E1110&gt;AVERAGE(INDEX(GOOGLEFINANCE(B1110,""volume"",WORKDAY(TODAY(),-$F$1),TODAY()),,2)),""Breakout"","""")"),"#N/A")</f>
        <v>#N/A</v>
      </c>
      <c r="H1110" s="16" t="str">
        <f>IFERROR(__xludf.DUMMYFUNCTION("GOOGLEFINANCE(B1110,""price"")"),"#N/A")</f>
        <v>#N/A</v>
      </c>
      <c r="I1110" s="17" t="str">
        <f>IFERROR(__xludf.DUMMYFUNCTION("AVERAGE(QUERY(SORT(GOOGLEFINANCE(B1110,""price"",TODAY()-365,TODAY()),1,0),""select Col2 limit 10""))"),"#N/A")</f>
        <v>#N/A</v>
      </c>
      <c r="J1110" s="17" t="str">
        <f>IFERROR(__xludf.DUMMYFUNCTION("AVERAGE(QUERY(SORT(GOOGLEFINANCE(B1110,""price"",TODAY()-365,TODAY()),1,0),""select Col2 limit 30""))"),"#N/A")</f>
        <v>#N/A</v>
      </c>
      <c r="K1110" s="18" t="str">
        <f>IFERROR(__xludf.DUMMYFUNCTION("AVERAGE(QUERY(SORT(GOOGLEFINANCE(B1110,""price"",TODAY()-365,TODAY()),1,0),""select Col2 limit 60""))"),"#N/A")</f>
        <v>#N/A</v>
      </c>
      <c r="L1110" s="17" t="str">
        <f>IFERROR(__xludf.DUMMYFUNCTION("AVERAGE(QUERY(SORT(GOOGLEFINANCE(B1110,""price"",TODAY()-365,TODAY()),1,0),""select Col2 limit 90""))"),"#N/A")</f>
        <v>#N/A</v>
      </c>
      <c r="M1110" s="17" t="str">
        <f>IFERROR(__xludf.DUMMYFUNCTION("AVERAGE(QUERY(SORT(GOOGLEFINANCE(B1110,""price"",TODAY()-365,TODAY()),1,0),""select Col2 limit 120""))"),"#N/A")</f>
        <v>#N/A</v>
      </c>
      <c r="N1110" s="19" t="str">
        <f>IFERROR(__xludf.DUMMYFUNCTION("AVERAGE(QUERY(SORT(GOOGLEFINANCE(B1110,""price"",TODAY()-365,TODAY()),1,0),""select Col2 limit 200""))"),"#N/A")</f>
        <v>#N/A</v>
      </c>
      <c r="O1110" s="20" t="str">
        <f t="shared" si="2"/>
        <v>#N/A</v>
      </c>
      <c r="P1110" s="21" t="str">
        <f t="shared" si="3"/>
        <v>#N/A</v>
      </c>
      <c r="Q1110" s="21" t="str">
        <f t="shared" si="4"/>
        <v>#N/A</v>
      </c>
      <c r="R1110" s="22" t="str">
        <f>IFERROR(__xludf.DUMMYFUNCTION("GOOGLEFINANCE(B1110, ""pe"")
"),"#N/A")</f>
        <v>#N/A</v>
      </c>
    </row>
    <row r="1111">
      <c r="A1111" s="9" t="s">
        <v>1121</v>
      </c>
      <c r="B1111" s="11" t="str">
        <f t="shared" si="1"/>
        <v>NSE:YATRA</v>
      </c>
      <c r="C1111" s="12">
        <f>IFERROR(__xludf.DUMMYFUNCTION("GOOGLEFINANCE(B1111,""marketcap"")/10000000"),1449.5908887)</f>
        <v>1449.590889</v>
      </c>
      <c r="D1111" s="13">
        <f>IFERROR(__xludf.DUMMYFUNCTION("GOOGLEFINANCE(B1111,""price"")"),92.29)</f>
        <v>92.29</v>
      </c>
      <c r="E1111" s="14">
        <f>IFERROR(__xludf.DUMMYFUNCTION("GOOGLEFINANCE(B1111,""Volume"")"),192290.0)</f>
        <v>192290</v>
      </c>
      <c r="F1111" s="14">
        <f t="array" ref="F1111">F1110</f>
        <v>14</v>
      </c>
      <c r="G1111" s="15" t="str">
        <f>IFERROR(__xludf.DUMMYFUNCTION("IF(E1111&gt;AVERAGE(INDEX(GOOGLEFINANCE(B1111,""volume"",WORKDAY(TODAY(),-$F$1),TODAY()),,2)),""Breakout"","""")"),"")</f>
        <v/>
      </c>
      <c r="H1111" s="16">
        <f>IFERROR(__xludf.DUMMYFUNCTION("GOOGLEFINANCE(B1111,""price"")"),92.29)</f>
        <v>92.29</v>
      </c>
      <c r="I1111" s="17">
        <f>IFERROR(__xludf.DUMMYFUNCTION("AVERAGE(QUERY(SORT(GOOGLEFINANCE(B1111,""price"",TODAY()-365,TODAY()),1,0),""select Col2 limit 10""))"),89.43800000000002)</f>
        <v>89.438</v>
      </c>
      <c r="J1111" s="17">
        <f>IFERROR(__xludf.DUMMYFUNCTION("AVERAGE(QUERY(SORT(GOOGLEFINANCE(B1111,""price"",TODAY()-365,TODAY()),1,0),""select Col2 limit 30""))"),87.346)</f>
        <v>87.346</v>
      </c>
      <c r="K1111" s="18">
        <f>IFERROR(__xludf.DUMMYFUNCTION("AVERAGE(QUERY(SORT(GOOGLEFINANCE(B1111,""price"",TODAY()-365,TODAY()),1,0),""select Col2 limit 60""))"),90.76633333333332)</f>
        <v>90.76633333</v>
      </c>
      <c r="L1111" s="17">
        <f>IFERROR(__xludf.DUMMYFUNCTION("AVERAGE(QUERY(SORT(GOOGLEFINANCE(B1111,""price"",TODAY()-365,TODAY()),1,0),""select Col2 limit 90""))"),88.13433333333332)</f>
        <v>88.13433333</v>
      </c>
      <c r="M1111" s="17">
        <f>IFERROR(__xludf.DUMMYFUNCTION("AVERAGE(QUERY(SORT(GOOGLEFINANCE(B1111,""price"",TODAY()-365,TODAY()),1,0),""select Col2 limit 120""))"),86.18441666666665)</f>
        <v>86.18441667</v>
      </c>
      <c r="N1111" s="19">
        <f>IFERROR(__xludf.DUMMYFUNCTION("AVERAGE(QUERY(SORT(GOOGLEFINANCE(B1111,""price"",TODAY()-365,TODAY()),1,0),""select Col2 limit 200""))"),96.30215000000003)</f>
        <v>96.30215</v>
      </c>
      <c r="O1111" s="20" t="str">
        <f t="shared" si="2"/>
        <v>Buy Above 200 DMA</v>
      </c>
      <c r="P1111" s="21" t="str">
        <f t="shared" si="3"/>
        <v/>
      </c>
      <c r="Q1111" s="21" t="str">
        <f t="shared" si="4"/>
        <v/>
      </c>
      <c r="R1111" s="22">
        <f>IFERROR(__xludf.DUMMYFUNCTION("GOOGLEFINANCE(B1111, ""pe"")
"),39.65)</f>
        <v>39.65</v>
      </c>
    </row>
    <row r="1112">
      <c r="A1112" s="9" t="s">
        <v>1122</v>
      </c>
      <c r="B1112" s="11" t="str">
        <f t="shared" si="1"/>
        <v>NSE:MICEL</v>
      </c>
      <c r="C1112" s="12">
        <f>IFERROR(__xludf.DUMMYFUNCTION("GOOGLEFINANCE(B1112,""marketcap"")/10000000"),1268.2024872)</f>
        <v>1268.202487</v>
      </c>
      <c r="D1112" s="13">
        <f>IFERROR(__xludf.DUMMYFUNCTION("GOOGLEFINANCE(B1112,""price"")"),52.62)</f>
        <v>52.62</v>
      </c>
      <c r="E1112" s="14">
        <f>IFERROR(__xludf.DUMMYFUNCTION("GOOGLEFINANCE(B1112,""Volume"")"),463791.0)</f>
        <v>463791</v>
      </c>
      <c r="F1112" s="14">
        <f t="array" ref="F1112">F1111</f>
        <v>14</v>
      </c>
      <c r="G1112" s="15" t="str">
        <f>IFERROR(__xludf.DUMMYFUNCTION("IF(E1112&gt;AVERAGE(INDEX(GOOGLEFINANCE(B1112,""volume"",WORKDAY(TODAY(),-$F$1),TODAY()),,2)),""Breakout"","""")"),"")</f>
        <v/>
      </c>
      <c r="H1112" s="16">
        <f>IFERROR(__xludf.DUMMYFUNCTION("GOOGLEFINANCE(B1112,""price"")"),52.62)</f>
        <v>52.62</v>
      </c>
      <c r="I1112" s="17">
        <f>IFERROR(__xludf.DUMMYFUNCTION("AVERAGE(QUERY(SORT(GOOGLEFINANCE(B1112,""price"",TODAY()-365,TODAY()),1,0),""select Col2 limit 10""))"),53.38100000000001)</f>
        <v>53.381</v>
      </c>
      <c r="J1112" s="17">
        <f>IFERROR(__xludf.DUMMYFUNCTION("AVERAGE(QUERY(SORT(GOOGLEFINANCE(B1112,""price"",TODAY()-365,TODAY()),1,0),""select Col2 limit 30""))"),54.14433333333333)</f>
        <v>54.14433333</v>
      </c>
      <c r="K1112" s="18">
        <f>IFERROR(__xludf.DUMMYFUNCTION("AVERAGE(QUERY(SORT(GOOGLEFINANCE(B1112,""price"",TODAY()-365,TODAY()),1,0),""select Col2 limit 60""))"),56.97983333333332)</f>
        <v>56.97983333</v>
      </c>
      <c r="L1112" s="17">
        <f>IFERROR(__xludf.DUMMYFUNCTION("AVERAGE(QUERY(SORT(GOOGLEFINANCE(B1112,""price"",TODAY()-365,TODAY()),1,0),""select Col2 limit 90""))"),57.13255555555555)</f>
        <v>57.13255556</v>
      </c>
      <c r="M1112" s="17">
        <f>IFERROR(__xludf.DUMMYFUNCTION("AVERAGE(QUERY(SORT(GOOGLEFINANCE(B1112,""price"",TODAY()-365,TODAY()),1,0),""select Col2 limit 120""))"),59.16808333333332)</f>
        <v>59.16808333</v>
      </c>
      <c r="N1112" s="19">
        <f>IFERROR(__xludf.DUMMYFUNCTION("AVERAGE(QUERY(SORT(GOOGLEFINANCE(B1112,""price"",TODAY()-365,TODAY()),1,0),""select Col2 limit 200""))"),70.34449999999995)</f>
        <v>70.3445</v>
      </c>
      <c r="O1112" s="20" t="str">
        <f t="shared" si="2"/>
        <v>Avoid</v>
      </c>
      <c r="P1112" s="21" t="str">
        <f t="shared" si="3"/>
        <v/>
      </c>
      <c r="Q1112" s="21" t="str">
        <f t="shared" si="4"/>
        <v/>
      </c>
      <c r="R1112" s="22">
        <f>IFERROR(__xludf.DUMMYFUNCTION("GOOGLEFINANCE(B1112, ""pe"")
"),134.92)</f>
        <v>134.92</v>
      </c>
    </row>
    <row r="1113">
      <c r="A1113" s="9" t="s">
        <v>1123</v>
      </c>
      <c r="B1113" s="11" t="str">
        <f t="shared" si="1"/>
        <v>NSE:NAVKARCORP</v>
      </c>
      <c r="C1113" s="12">
        <f>IFERROR(__xludf.DUMMYFUNCTION("GOOGLEFINANCE(B1113,""marketcap"")/10000000"),1804.1219417)</f>
        <v>1804.121942</v>
      </c>
      <c r="D1113" s="13">
        <f>IFERROR(__xludf.DUMMYFUNCTION("GOOGLEFINANCE(B1113,""price"")"),119.7)</f>
        <v>119.7</v>
      </c>
      <c r="E1113" s="14">
        <f>IFERROR(__xludf.DUMMYFUNCTION("GOOGLEFINANCE(B1113,""Volume"")"),503841.0)</f>
        <v>503841</v>
      </c>
      <c r="F1113" s="14">
        <f t="array" ref="F1113">F1112</f>
        <v>14</v>
      </c>
      <c r="G1113" s="15" t="str">
        <f>IFERROR(__xludf.DUMMYFUNCTION("IF(E1113&gt;AVERAGE(INDEX(GOOGLEFINANCE(B1113,""volume"",WORKDAY(TODAY(),-$F$1),TODAY()),,2)),""Breakout"","""")"),"")</f>
        <v/>
      </c>
      <c r="H1113" s="16">
        <f>IFERROR(__xludf.DUMMYFUNCTION("GOOGLEFINANCE(B1113,""price"")"),119.7)</f>
        <v>119.7</v>
      </c>
      <c r="I1113" s="17">
        <f>IFERROR(__xludf.DUMMYFUNCTION("AVERAGE(QUERY(SORT(GOOGLEFINANCE(B1113,""price"",TODAY()-365,TODAY()),1,0),""select Col2 limit 10""))"),124.80899999999997)</f>
        <v>124.809</v>
      </c>
      <c r="J1113" s="17">
        <f>IFERROR(__xludf.DUMMYFUNCTION("AVERAGE(QUERY(SORT(GOOGLEFINANCE(B1113,""price"",TODAY()-365,TODAY()),1,0),""select Col2 limit 30""))"),114.336)</f>
        <v>114.336</v>
      </c>
      <c r="K1113" s="18">
        <f>IFERROR(__xludf.DUMMYFUNCTION("AVERAGE(QUERY(SORT(GOOGLEFINANCE(B1113,""price"",TODAY()-365,TODAY()),1,0),""select Col2 limit 60""))"),111.67733333333334)</f>
        <v>111.6773333</v>
      </c>
      <c r="L1113" s="17">
        <f>IFERROR(__xludf.DUMMYFUNCTION("AVERAGE(QUERY(SORT(GOOGLEFINANCE(B1113,""price"",TODAY()-365,TODAY()),1,0),""select Col2 limit 90""))"),106.96411111111108)</f>
        <v>106.9641111</v>
      </c>
      <c r="M1113" s="17">
        <f>IFERROR(__xludf.DUMMYFUNCTION("AVERAGE(QUERY(SORT(GOOGLEFINANCE(B1113,""price"",TODAY()-365,TODAY()),1,0),""select Col2 limit 120""))"),107.11075000000002)</f>
        <v>107.11075</v>
      </c>
      <c r="N1113" s="19">
        <f>IFERROR(__xludf.DUMMYFUNCTION("AVERAGE(QUERY(SORT(GOOGLEFINANCE(B1113,""price"",TODAY()-365,TODAY()),1,0),""select Col2 limit 200""))"),121.70329999999994)</f>
        <v>121.7033</v>
      </c>
      <c r="O1113" s="20" t="str">
        <f t="shared" si="2"/>
        <v>Avoid</v>
      </c>
      <c r="P1113" s="21" t="str">
        <f t="shared" si="3"/>
        <v/>
      </c>
      <c r="Q1113" s="21" t="str">
        <f t="shared" si="4"/>
        <v/>
      </c>
      <c r="R1113" s="22" t="str">
        <f>IFERROR(__xludf.DUMMYFUNCTION("GOOGLEFINANCE(B1113, ""pe"")
"),"#N/A")</f>
        <v>#N/A</v>
      </c>
    </row>
    <row r="1114">
      <c r="A1114" s="9" t="s">
        <v>1124</v>
      </c>
      <c r="B1114" s="11" t="str">
        <f t="shared" si="1"/>
        <v>NSE:HERCULES</v>
      </c>
      <c r="C1114" s="12">
        <f>IFERROR(__xludf.DUMMYFUNCTION("GOOGLEFINANCE(B1114,""marketcap"")/10000000"),585.2799804)</f>
        <v>585.2799804</v>
      </c>
      <c r="D1114" s="13">
        <f>IFERROR(__xludf.DUMMYFUNCTION("GOOGLEFINANCE(B1114,""price"")"),182.9)</f>
        <v>182.9</v>
      </c>
      <c r="E1114" s="14">
        <f>IFERROR(__xludf.DUMMYFUNCTION("GOOGLEFINANCE(B1114,""Volume"")"),5264.0)</f>
        <v>5264</v>
      </c>
      <c r="F1114" s="14">
        <f t="array" ref="F1114">F1113</f>
        <v>14</v>
      </c>
      <c r="G1114" s="15" t="str">
        <f>IFERROR(__xludf.DUMMYFUNCTION("IF(E1114&gt;AVERAGE(INDEX(GOOGLEFINANCE(B1114,""volume"",WORKDAY(TODAY(),-$F$1),TODAY()),,2)),""Breakout"","""")"),"")</f>
        <v/>
      </c>
      <c r="H1114" s="16">
        <f>IFERROR(__xludf.DUMMYFUNCTION("GOOGLEFINANCE(B1114,""price"")"),182.9)</f>
        <v>182.9</v>
      </c>
      <c r="I1114" s="17" t="str">
        <f>IFERROR(__xludf.DUMMYFUNCTION("AVERAGE(QUERY(SORT(GOOGLEFINANCE(B1114,""price"",TODAY()-365,TODAY()),1,0),""select Col2 limit 10""))"),"#N/A")</f>
        <v>#N/A</v>
      </c>
      <c r="J1114" s="17" t="str">
        <f>IFERROR(__xludf.DUMMYFUNCTION("AVERAGE(QUERY(SORT(GOOGLEFINANCE(B1114,""price"",TODAY()-365,TODAY()),1,0),""select Col2 limit 30""))"),"#N/A")</f>
        <v>#N/A</v>
      </c>
      <c r="K1114" s="18" t="str">
        <f>IFERROR(__xludf.DUMMYFUNCTION("AVERAGE(QUERY(SORT(GOOGLEFINANCE(B1114,""price"",TODAY()-365,TODAY()),1,0),""select Col2 limit 60""))"),"#N/A")</f>
        <v>#N/A</v>
      </c>
      <c r="L1114" s="17" t="str">
        <f>IFERROR(__xludf.DUMMYFUNCTION("AVERAGE(QUERY(SORT(GOOGLEFINANCE(B1114,""price"",TODAY()-365,TODAY()),1,0),""select Col2 limit 90""))"),"#N/A")</f>
        <v>#N/A</v>
      </c>
      <c r="M1114" s="17" t="str">
        <f>IFERROR(__xludf.DUMMYFUNCTION("AVERAGE(QUERY(SORT(GOOGLEFINANCE(B1114,""price"",TODAY()-365,TODAY()),1,0),""select Col2 limit 120""))"),"#N/A")</f>
        <v>#N/A</v>
      </c>
      <c r="N1114" s="19" t="str">
        <f>IFERROR(__xludf.DUMMYFUNCTION("AVERAGE(QUERY(SORT(GOOGLEFINANCE(B1114,""price"",TODAY()-365,TODAY()),1,0),""select Col2 limit 200""))"),"#N/A")</f>
        <v>#N/A</v>
      </c>
      <c r="O1114" s="20" t="str">
        <f t="shared" si="2"/>
        <v>#N/A</v>
      </c>
      <c r="P1114" s="21" t="str">
        <f t="shared" si="3"/>
        <v>#N/A</v>
      </c>
      <c r="Q1114" s="21" t="str">
        <f t="shared" si="4"/>
        <v>#N/A</v>
      </c>
      <c r="R1114" s="22">
        <f>IFERROR(__xludf.DUMMYFUNCTION("GOOGLEFINANCE(B1114, ""pe"")
"),104.85)</f>
        <v>104.85</v>
      </c>
    </row>
    <row r="1115">
      <c r="A1115" s="9" t="s">
        <v>1125</v>
      </c>
      <c r="B1115" s="11" t="str">
        <f t="shared" si="1"/>
        <v>NSE:AEROFLEX</v>
      </c>
      <c r="C1115" s="12">
        <f>IFERROR(__xludf.DUMMYFUNCTION("GOOGLEFINANCE(B1115,""marketcap"")/10000000"),2660.2479781)</f>
        <v>2660.247978</v>
      </c>
      <c r="D1115" s="13">
        <f>IFERROR(__xludf.DUMMYFUNCTION("GOOGLEFINANCE(B1115,""price"")"),205.58)</f>
        <v>205.58</v>
      </c>
      <c r="E1115" s="14">
        <f>IFERROR(__xludf.DUMMYFUNCTION("GOOGLEFINANCE(B1115,""Volume"")"),948100.0)</f>
        <v>948100</v>
      </c>
      <c r="F1115" s="14">
        <f t="array" ref="F1115">F1114</f>
        <v>14</v>
      </c>
      <c r="G1115" s="15" t="str">
        <f>IFERROR(__xludf.DUMMYFUNCTION("IF(E1115&gt;AVERAGE(INDEX(GOOGLEFINANCE(B1115,""volume"",WORKDAY(TODAY(),-$F$1),TODAY()),,2)),""Breakout"","""")"),"#N/A")</f>
        <v>#N/A</v>
      </c>
      <c r="H1115" s="16">
        <f>IFERROR(__xludf.DUMMYFUNCTION("GOOGLEFINANCE(B1115,""price"")"),205.58)</f>
        <v>205.58</v>
      </c>
      <c r="I1115" s="17">
        <f>IFERROR(__xludf.DUMMYFUNCTION("AVERAGE(QUERY(SORT(GOOGLEFINANCE(B1115,""price"",TODAY()-365,TODAY()),1,0),""select Col2 limit 10""))"),211.68800000000002)</f>
        <v>211.688</v>
      </c>
      <c r="J1115" s="17">
        <f>IFERROR(__xludf.DUMMYFUNCTION("AVERAGE(QUERY(SORT(GOOGLEFINANCE(B1115,""price"",TODAY()-365,TODAY()),1,0),""select Col2 limit 30""))"),202.16166666666672)</f>
        <v>202.1616667</v>
      </c>
      <c r="K1115" s="18">
        <f>IFERROR(__xludf.DUMMYFUNCTION("AVERAGE(QUERY(SORT(GOOGLEFINANCE(B1115,""price"",TODAY()-365,TODAY()),1,0),""select Col2 limit 60""))"),183.88050000000004)</f>
        <v>183.8805</v>
      </c>
      <c r="L1115" s="17">
        <f>IFERROR(__xludf.DUMMYFUNCTION("AVERAGE(QUERY(SORT(GOOGLEFINANCE(B1115,""price"",TODAY()-365,TODAY()),1,0),""select Col2 limit 90""))"),180.59077777777776)</f>
        <v>180.5907778</v>
      </c>
      <c r="M1115" s="17">
        <f>IFERROR(__xludf.DUMMYFUNCTION("AVERAGE(QUERY(SORT(GOOGLEFINANCE(B1115,""price"",TODAY()-365,TODAY()),1,0),""select Col2 limit 120""))"),186.33949999999996)</f>
        <v>186.3395</v>
      </c>
      <c r="N1115" s="19">
        <f>IFERROR(__xludf.DUMMYFUNCTION("AVERAGE(QUERY(SORT(GOOGLEFINANCE(B1115,""price"",TODAY()-365,TODAY()),1,0),""select Col2 limit 200""))"),192.87360000000012)</f>
        <v>192.8736</v>
      </c>
      <c r="O1115" s="20" t="str">
        <f t="shared" si="2"/>
        <v>Avoid</v>
      </c>
      <c r="P1115" s="21" t="str">
        <f t="shared" si="3"/>
        <v/>
      </c>
      <c r="Q1115" s="21" t="str">
        <f t="shared" si="4"/>
        <v/>
      </c>
      <c r="R1115" s="22">
        <f>IFERROR(__xludf.DUMMYFUNCTION("GOOGLEFINANCE(B1115, ""pe"")
"),50.63)</f>
        <v>50.63</v>
      </c>
    </row>
    <row r="1116">
      <c r="A1116" s="9" t="s">
        <v>1126</v>
      </c>
      <c r="B1116" s="11" t="str">
        <f t="shared" si="1"/>
        <v>NSE:STOVEKRAFT</v>
      </c>
      <c r="C1116" s="12">
        <f>IFERROR(__xludf.DUMMYFUNCTION("GOOGLEFINANCE(B1116,""marketcap"")/10000000"),1934.274498)</f>
        <v>1934.274498</v>
      </c>
      <c r="D1116" s="13">
        <f>IFERROR(__xludf.DUMMYFUNCTION("GOOGLEFINANCE(B1116,""price"")"),584.35)</f>
        <v>584.35</v>
      </c>
      <c r="E1116" s="14">
        <f>IFERROR(__xludf.DUMMYFUNCTION("GOOGLEFINANCE(B1116,""Volume"")"),78654.0)</f>
        <v>78654</v>
      </c>
      <c r="F1116" s="14">
        <f t="array" ref="F1116">F1115</f>
        <v>14</v>
      </c>
      <c r="G1116" s="15" t="str">
        <f>IFERROR(__xludf.DUMMYFUNCTION("IF(E1116&gt;AVERAGE(INDEX(GOOGLEFINANCE(B1116,""volume"",WORKDAY(TODAY(),-$F$1),TODAY()),,2)),""Breakout"","""")"),"Breakout")</f>
        <v>Breakout</v>
      </c>
      <c r="H1116" s="16">
        <f>IFERROR(__xludf.DUMMYFUNCTION("GOOGLEFINANCE(B1116,""price"")"),584.35)</f>
        <v>584.35</v>
      </c>
      <c r="I1116" s="17">
        <f>IFERROR(__xludf.DUMMYFUNCTION("AVERAGE(QUERY(SORT(GOOGLEFINANCE(B1116,""price"",TODAY()-365,TODAY()),1,0),""select Col2 limit 10""))"),598.4649999999999)</f>
        <v>598.465</v>
      </c>
      <c r="J1116" s="17">
        <f>IFERROR(__xludf.DUMMYFUNCTION("AVERAGE(QUERY(SORT(GOOGLEFINANCE(B1116,""price"",TODAY()-365,TODAY()),1,0),""select Col2 limit 30""))"),588.08)</f>
        <v>588.08</v>
      </c>
      <c r="K1116" s="18">
        <f>IFERROR(__xludf.DUMMYFUNCTION("AVERAGE(QUERY(SORT(GOOGLEFINANCE(B1116,""price"",TODAY()-365,TODAY()),1,0),""select Col2 limit 60""))"),587.7258333333335)</f>
        <v>587.7258333</v>
      </c>
      <c r="L1116" s="17">
        <f>IFERROR(__xludf.DUMMYFUNCTION("AVERAGE(QUERY(SORT(GOOGLEFINANCE(B1116,""price"",TODAY()-365,TODAY()),1,0),""select Col2 limit 90""))"),623.6205555555559)</f>
        <v>623.6205556</v>
      </c>
      <c r="M1116" s="17">
        <f>IFERROR(__xludf.DUMMYFUNCTION("AVERAGE(QUERY(SORT(GOOGLEFINANCE(B1116,""price"",TODAY()-365,TODAY()),1,0),""select Col2 limit 120""))"),657.5533333333335)</f>
        <v>657.5533333</v>
      </c>
      <c r="N1116" s="19">
        <f>IFERROR(__xludf.DUMMYFUNCTION("AVERAGE(QUERY(SORT(GOOGLEFINANCE(B1116,""price"",TODAY()-365,TODAY()),1,0),""select Col2 limit 200""))"),729.8742500000001)</f>
        <v>729.87425</v>
      </c>
      <c r="O1116" s="20" t="str">
        <f t="shared" si="2"/>
        <v>Avoid</v>
      </c>
      <c r="P1116" s="21" t="str">
        <f t="shared" si="3"/>
        <v>30 DMA</v>
      </c>
      <c r="Q1116" s="21" t="str">
        <f t="shared" si="4"/>
        <v/>
      </c>
      <c r="R1116" s="22">
        <f>IFERROR(__xludf.DUMMYFUNCTION("GOOGLEFINANCE(B1116, ""pe"")
"),50.24)</f>
        <v>50.24</v>
      </c>
    </row>
    <row r="1117">
      <c r="A1117" s="9" t="s">
        <v>1127</v>
      </c>
      <c r="B1117" s="11" t="str">
        <f t="shared" si="1"/>
        <v>NSE:SIGACHI</v>
      </c>
      <c r="C1117" s="12">
        <f>IFERROR(__xludf.DUMMYFUNCTION("GOOGLEFINANCE(B1117,""marketcap"")/10000000"),1503.6299431)</f>
        <v>1503.629943</v>
      </c>
      <c r="D1117" s="13">
        <f>IFERROR(__xludf.DUMMYFUNCTION("GOOGLEFINANCE(B1117,""price"")"),39.35)</f>
        <v>39.35</v>
      </c>
      <c r="E1117" s="14">
        <f>IFERROR(__xludf.DUMMYFUNCTION("GOOGLEFINANCE(B1117,""Volume"")"),8271401.0)</f>
        <v>8271401</v>
      </c>
      <c r="F1117" s="14">
        <f t="array" ref="F1117">F1116</f>
        <v>14</v>
      </c>
      <c r="G1117" s="15" t="str">
        <f>IFERROR(__xludf.DUMMYFUNCTION("IF(E1117&gt;AVERAGE(INDEX(GOOGLEFINANCE(B1117,""volume"",WORKDAY(TODAY(),-$F$1),TODAY()),,2)),""Breakout"","""")"),"Breakout")</f>
        <v>Breakout</v>
      </c>
      <c r="H1117" s="16">
        <f>IFERROR(__xludf.DUMMYFUNCTION("GOOGLEFINANCE(B1117,""price"")"),39.35)</f>
        <v>39.35</v>
      </c>
      <c r="I1117" s="17">
        <f>IFERROR(__xludf.DUMMYFUNCTION("AVERAGE(QUERY(SORT(GOOGLEFINANCE(B1117,""price"",TODAY()-365,TODAY()),1,0),""select Col2 limit 10""))"),40.36)</f>
        <v>40.36</v>
      </c>
      <c r="J1117" s="17">
        <f>IFERROR(__xludf.DUMMYFUNCTION("AVERAGE(QUERY(SORT(GOOGLEFINANCE(B1117,""price"",TODAY()-365,TODAY()),1,0),""select Col2 limit 30""))"),46.470000000000006)</f>
        <v>46.47</v>
      </c>
      <c r="K1117" s="18">
        <f>IFERROR(__xludf.DUMMYFUNCTION("AVERAGE(QUERY(SORT(GOOGLEFINANCE(B1117,""price"",TODAY()-365,TODAY()),1,0),""select Col2 limit 60""))"),47.367166666666655)</f>
        <v>47.36716667</v>
      </c>
      <c r="L1117" s="17">
        <f>IFERROR(__xludf.DUMMYFUNCTION("AVERAGE(QUERY(SORT(GOOGLEFINANCE(B1117,""price"",TODAY()-365,TODAY()),1,0),""select Col2 limit 90""))"),44.71022222222222)</f>
        <v>44.71022222</v>
      </c>
      <c r="M1117" s="17">
        <f>IFERROR(__xludf.DUMMYFUNCTION("AVERAGE(QUERY(SORT(GOOGLEFINANCE(B1117,""price"",TODAY()-365,TODAY()),1,0),""select Col2 limit 120""))"),43.50458333333332)</f>
        <v>43.50458333</v>
      </c>
      <c r="N1117" s="19">
        <f>IFERROR(__xludf.DUMMYFUNCTION("AVERAGE(QUERY(SORT(GOOGLEFINANCE(B1117,""price"",TODAY()-365,TODAY()),1,0),""select Col2 limit 200""))"),46.281699999999965)</f>
        <v>46.2817</v>
      </c>
      <c r="O1117" s="20" t="str">
        <f t="shared" si="2"/>
        <v>Avoid</v>
      </c>
      <c r="P1117" s="21" t="str">
        <f t="shared" si="3"/>
        <v/>
      </c>
      <c r="Q1117" s="21" t="str">
        <f t="shared" si="4"/>
        <v/>
      </c>
      <c r="R1117" s="22">
        <f>IFERROR(__xludf.DUMMYFUNCTION("GOOGLEFINANCE(B1117, ""pe"")
"),19.07)</f>
        <v>19.07</v>
      </c>
    </row>
    <row r="1118">
      <c r="A1118" s="9" t="s">
        <v>1128</v>
      </c>
      <c r="B1118" s="11" t="str">
        <f t="shared" si="1"/>
        <v>NSE:MBAPL</v>
      </c>
      <c r="C1118" s="12">
        <f>IFERROR(__xludf.DUMMYFUNCTION("GOOGLEFINANCE(B1118,""marketcap"")/10000000"),3677.2389765)</f>
        <v>3677.238977</v>
      </c>
      <c r="D1118" s="13">
        <f>IFERROR(__xludf.DUMMYFUNCTION("GOOGLEFINANCE(B1118,""price"")"),414.8)</f>
        <v>414.8</v>
      </c>
      <c r="E1118" s="14">
        <f>IFERROR(__xludf.DUMMYFUNCTION("GOOGLEFINANCE(B1118,""Volume"")"),231697.0)</f>
        <v>231697</v>
      </c>
      <c r="F1118" s="14">
        <f t="array" ref="F1118">F1117</f>
        <v>14</v>
      </c>
      <c r="G1118" s="15" t="str">
        <f>IFERROR(__xludf.DUMMYFUNCTION("IF(E1118&gt;AVERAGE(INDEX(GOOGLEFINANCE(B1118,""volume"",WORKDAY(TODAY(),-$F$1),TODAY()),,2)),""Breakout"","""")"),"")</f>
        <v/>
      </c>
      <c r="H1118" s="16">
        <f>IFERROR(__xludf.DUMMYFUNCTION("GOOGLEFINANCE(B1118,""price"")"),414.8)</f>
        <v>414.8</v>
      </c>
      <c r="I1118" s="17">
        <f>IFERROR(__xludf.DUMMYFUNCTION("AVERAGE(QUERY(SORT(GOOGLEFINANCE(B1118,""price"",TODAY()-365,TODAY()),1,0),""select Col2 limit 10""))"),431.11500000000007)</f>
        <v>431.115</v>
      </c>
      <c r="J1118" s="17">
        <f>IFERROR(__xludf.DUMMYFUNCTION("AVERAGE(QUERY(SORT(GOOGLEFINANCE(B1118,""price"",TODAY()-365,TODAY()),1,0),""select Col2 limit 30""))"),412.87833333333333)</f>
        <v>412.8783333</v>
      </c>
      <c r="K1118" s="18">
        <f>IFERROR(__xludf.DUMMYFUNCTION("AVERAGE(QUERY(SORT(GOOGLEFINANCE(B1118,""price"",TODAY()-365,TODAY()),1,0),""select Col2 limit 60""))"),364.01750000000015)</f>
        <v>364.0175</v>
      </c>
      <c r="L1118" s="17">
        <f>IFERROR(__xludf.DUMMYFUNCTION("AVERAGE(QUERY(SORT(GOOGLEFINANCE(B1118,""price"",TODAY()-365,TODAY()),1,0),""select Col2 limit 90""))"),334.2850000000001)</f>
        <v>334.285</v>
      </c>
      <c r="M1118" s="17">
        <f>IFERROR(__xludf.DUMMYFUNCTION("AVERAGE(QUERY(SORT(GOOGLEFINANCE(B1118,""price"",TODAY()-365,TODAY()),1,0),""select Col2 limit 120""))"),324.6330833333334)</f>
        <v>324.6330833</v>
      </c>
      <c r="N1118" s="19">
        <f>IFERROR(__xludf.DUMMYFUNCTION("AVERAGE(QUERY(SORT(GOOGLEFINANCE(B1118,""price"",TODAY()-365,TODAY()),1,0),""select Col2 limit 200""))"),287.60935000000006)</f>
        <v>287.60935</v>
      </c>
      <c r="O1118" s="20" t="str">
        <f t="shared" si="2"/>
        <v>Avoid</v>
      </c>
      <c r="P1118" s="21" t="str">
        <f t="shared" si="3"/>
        <v/>
      </c>
      <c r="Q1118" s="21" t="str">
        <f t="shared" si="4"/>
        <v/>
      </c>
      <c r="R1118" s="22">
        <f>IFERROR(__xludf.DUMMYFUNCTION("GOOGLEFINANCE(B1118, ""pe"")
"),49.14)</f>
        <v>49.14</v>
      </c>
    </row>
    <row r="1119">
      <c r="A1119" s="9" t="s">
        <v>1129</v>
      </c>
      <c r="B1119" s="11" t="str">
        <f t="shared" si="1"/>
        <v>NSE:GRPLTD</v>
      </c>
      <c r="C1119" s="12">
        <f>IFERROR(__xludf.DUMMYFUNCTION("GOOGLEFINANCE(B1119,""marketcap"")/10000000"),1225.4932827)</f>
        <v>1225.493283</v>
      </c>
      <c r="D1119" s="13">
        <f>IFERROR(__xludf.DUMMYFUNCTION("GOOGLEFINANCE(B1119,""price"")"),2296.1)</f>
        <v>2296.1</v>
      </c>
      <c r="E1119" s="14">
        <f>IFERROR(__xludf.DUMMYFUNCTION("GOOGLEFINANCE(B1119,""Volume"")"),15660.0)</f>
        <v>15660</v>
      </c>
      <c r="F1119" s="14">
        <f t="array" ref="F1119">F1118</f>
        <v>14</v>
      </c>
      <c r="G1119" s="15" t="str">
        <f>IFERROR(__xludf.DUMMYFUNCTION("IF(E1119&gt;AVERAGE(INDEX(GOOGLEFINANCE(B1119,""volume"",WORKDAY(TODAY(),-$F$1),TODAY()),,2)),""Breakout"","""")"),"Breakout")</f>
        <v>Breakout</v>
      </c>
      <c r="H1119" s="16">
        <f>IFERROR(__xludf.DUMMYFUNCTION("GOOGLEFINANCE(B1119,""price"")"),2296.1)</f>
        <v>2296.1</v>
      </c>
      <c r="I1119" s="17">
        <f>IFERROR(__xludf.DUMMYFUNCTION("AVERAGE(QUERY(SORT(GOOGLEFINANCE(B1119,""price"",TODAY()-365,TODAY()),1,0),""select Col2 limit 10""))"),2507.19)</f>
        <v>2507.19</v>
      </c>
      <c r="J1119" s="17">
        <f>IFERROR(__xludf.DUMMYFUNCTION("AVERAGE(QUERY(SORT(GOOGLEFINANCE(B1119,""price"",TODAY()-365,TODAY()),1,0),""select Col2 limit 30""))"),2634.123333333334)</f>
        <v>2634.123333</v>
      </c>
      <c r="K1119" s="18">
        <f>IFERROR(__xludf.DUMMYFUNCTION("AVERAGE(QUERY(SORT(GOOGLEFINANCE(B1119,""price"",TODAY()-365,TODAY()),1,0),""select Col2 limit 60""))"),2756.833333333334)</f>
        <v>2756.833333</v>
      </c>
      <c r="L1119" s="17">
        <f>IFERROR(__xludf.DUMMYFUNCTION("AVERAGE(QUERY(SORT(GOOGLEFINANCE(B1119,""price"",TODAY()-365,TODAY()),1,0),""select Col2 limit 90""))"),2782.2866666666664)</f>
        <v>2782.286667</v>
      </c>
      <c r="M1119" s="17">
        <f>IFERROR(__xludf.DUMMYFUNCTION("AVERAGE(QUERY(SORT(GOOGLEFINANCE(B1119,""price"",TODAY()-365,TODAY()),1,0),""select Col2 limit 120""))"),2729.0762499999996)</f>
        <v>2729.07625</v>
      </c>
      <c r="N1119" s="19">
        <f>IFERROR(__xludf.DUMMYFUNCTION("AVERAGE(QUERY(SORT(GOOGLEFINANCE(B1119,""price"",TODAY()-365,TODAY()),1,0),""select Col2 limit 200""))"),2921.312249999999)</f>
        <v>2921.31225</v>
      </c>
      <c r="O1119" s="20" t="str">
        <f t="shared" si="2"/>
        <v>Avoid</v>
      </c>
      <c r="P1119" s="21" t="str">
        <f t="shared" si="3"/>
        <v/>
      </c>
      <c r="Q1119" s="21" t="str">
        <f t="shared" si="4"/>
        <v/>
      </c>
      <c r="R1119" s="22">
        <f>IFERROR(__xludf.DUMMYFUNCTION("GOOGLEFINANCE(B1119, ""pe"")
"),39.91)</f>
        <v>39.91</v>
      </c>
    </row>
    <row r="1120">
      <c r="A1120" s="9" t="s">
        <v>1130</v>
      </c>
      <c r="B1120" s="11" t="str">
        <f t="shared" si="1"/>
        <v>NSE:GPTINFRA</v>
      </c>
      <c r="C1120" s="12">
        <f>IFERROR(__xludf.DUMMYFUNCTION("GOOGLEFINANCE(B1120,""marketcap"")/10000000"),1610.3840297)</f>
        <v>1610.38403</v>
      </c>
      <c r="D1120" s="13">
        <f>IFERROR(__xludf.DUMMYFUNCTION("GOOGLEFINANCE(B1120,""price"")"),127.21)</f>
        <v>127.21</v>
      </c>
      <c r="E1120" s="14">
        <f>IFERROR(__xludf.DUMMYFUNCTION("GOOGLEFINANCE(B1120,""Volume"")"),70650.0)</f>
        <v>70650</v>
      </c>
      <c r="F1120" s="14">
        <f t="array" ref="F1120">F1119</f>
        <v>14</v>
      </c>
      <c r="G1120" s="15" t="str">
        <f>IFERROR(__xludf.DUMMYFUNCTION("IF(E1120&gt;AVERAGE(INDEX(GOOGLEFINANCE(B1120,""volume"",WORKDAY(TODAY(),-$F$1),TODAY()),,2)),""Breakout"","""")"),"")</f>
        <v/>
      </c>
      <c r="H1120" s="16">
        <f>IFERROR(__xludf.DUMMYFUNCTION("GOOGLEFINANCE(B1120,""price"")"),127.21)</f>
        <v>127.21</v>
      </c>
      <c r="I1120" s="17">
        <f>IFERROR(__xludf.DUMMYFUNCTION("AVERAGE(QUERY(SORT(GOOGLEFINANCE(B1120,""price"",TODAY()-365,TODAY()),1,0),""select Col2 limit 10""))"),128.286)</f>
        <v>128.286</v>
      </c>
      <c r="J1120" s="17">
        <f>IFERROR(__xludf.DUMMYFUNCTION("AVERAGE(QUERY(SORT(GOOGLEFINANCE(B1120,""price"",TODAY()-365,TODAY()),1,0),""select Col2 limit 30""))"),127.45199999999998)</f>
        <v>127.452</v>
      </c>
      <c r="K1120" s="18">
        <f>IFERROR(__xludf.DUMMYFUNCTION("AVERAGE(QUERY(SORT(GOOGLEFINANCE(B1120,""price"",TODAY()-365,TODAY()),1,0),""select Col2 limit 60""))"),132.04016666666664)</f>
        <v>132.0401667</v>
      </c>
      <c r="L1120" s="17">
        <f>IFERROR(__xludf.DUMMYFUNCTION("AVERAGE(QUERY(SORT(GOOGLEFINANCE(B1120,""price"",TODAY()-365,TODAY()),1,0),""select Col2 limit 90""))"),129.057)</f>
        <v>129.057</v>
      </c>
      <c r="M1120" s="17">
        <f>IFERROR(__xludf.DUMMYFUNCTION("AVERAGE(QUERY(SORT(GOOGLEFINANCE(B1120,""price"",TODAY()-365,TODAY()),1,0),""select Col2 limit 120""))"),122.30250000000004)</f>
        <v>122.3025</v>
      </c>
      <c r="N1120" s="19">
        <f>IFERROR(__xludf.DUMMYFUNCTION("AVERAGE(QUERY(SORT(GOOGLEFINANCE(B1120,""price"",TODAY()-365,TODAY()),1,0),""select Col2 limit 200""))"),128.1334)</f>
        <v>128.1334</v>
      </c>
      <c r="O1120" s="20" t="str">
        <f t="shared" si="2"/>
        <v>Avoid</v>
      </c>
      <c r="P1120" s="21" t="str">
        <f t="shared" si="3"/>
        <v>10 DMA</v>
      </c>
      <c r="Q1120" s="21" t="str">
        <f t="shared" si="4"/>
        <v/>
      </c>
      <c r="R1120" s="22">
        <f>IFERROR(__xludf.DUMMYFUNCTION("GOOGLEFINANCE(B1120, ""pe"")
"),19.4)</f>
        <v>19.4</v>
      </c>
    </row>
    <row r="1121">
      <c r="A1121" s="9" t="s">
        <v>1131</v>
      </c>
      <c r="B1121" s="11" t="str">
        <f t="shared" si="1"/>
        <v>NSE:DEEPINDS</v>
      </c>
      <c r="C1121" s="12">
        <f>IFERROR(__xludf.DUMMYFUNCTION("GOOGLEFINANCE(B1121,""marketcap"")/10000000"),2843.5199218)</f>
        <v>2843.519922</v>
      </c>
      <c r="D1121" s="13">
        <f>IFERROR(__xludf.DUMMYFUNCTION("GOOGLEFINANCE(B1121,""price"")"),444.6)</f>
        <v>444.6</v>
      </c>
      <c r="E1121" s="14">
        <f>IFERROR(__xludf.DUMMYFUNCTION("GOOGLEFINANCE(B1121,""Volume"")"),66389.0)</f>
        <v>66389</v>
      </c>
      <c r="F1121" s="14">
        <f t="array" ref="F1121">F1120</f>
        <v>14</v>
      </c>
      <c r="G1121" s="15" t="str">
        <f>IFERROR(__xludf.DUMMYFUNCTION("IF(E1121&gt;AVERAGE(INDEX(GOOGLEFINANCE(B1121,""volume"",WORKDAY(TODAY(),-$F$1),TODAY()),,2)),""Breakout"","""")"),"")</f>
        <v/>
      </c>
      <c r="H1121" s="16">
        <f>IFERROR(__xludf.DUMMYFUNCTION("GOOGLEFINANCE(B1121,""price"")"),444.6)</f>
        <v>444.6</v>
      </c>
      <c r="I1121" s="17">
        <f>IFERROR(__xludf.DUMMYFUNCTION("AVERAGE(QUERY(SORT(GOOGLEFINANCE(B1121,""price"",TODAY()-365,TODAY()),1,0),""select Col2 limit 10""))"),468.055)</f>
        <v>468.055</v>
      </c>
      <c r="J1121" s="17">
        <f>IFERROR(__xludf.DUMMYFUNCTION("AVERAGE(QUERY(SORT(GOOGLEFINANCE(B1121,""price"",TODAY()-365,TODAY()),1,0),""select Col2 limit 30""))"),450.1933333333334)</f>
        <v>450.1933333</v>
      </c>
      <c r="K1121" s="18">
        <f>IFERROR(__xludf.DUMMYFUNCTION("AVERAGE(QUERY(SORT(GOOGLEFINANCE(B1121,""price"",TODAY()-365,TODAY()),1,0),""select Col2 limit 60""))"),436.68916666666667)</f>
        <v>436.6891667</v>
      </c>
      <c r="L1121" s="17">
        <f>IFERROR(__xludf.DUMMYFUNCTION("AVERAGE(QUERY(SORT(GOOGLEFINANCE(B1121,""price"",TODAY()-365,TODAY()),1,0),""select Col2 limit 90""))"),450.26222222222214)</f>
        <v>450.2622222</v>
      </c>
      <c r="M1121" s="17">
        <f>IFERROR(__xludf.DUMMYFUNCTION("AVERAGE(QUERY(SORT(GOOGLEFINANCE(B1121,""price"",TODAY()-365,TODAY()),1,0),""select Col2 limit 120""))"),461.6112499999998)</f>
        <v>461.61125</v>
      </c>
      <c r="N1121" s="19">
        <f>IFERROR(__xludf.DUMMYFUNCTION("AVERAGE(QUERY(SORT(GOOGLEFINANCE(B1121,""price"",TODAY()-365,TODAY()),1,0),""select Col2 limit 200""))"),486.70599999999985)</f>
        <v>486.706</v>
      </c>
      <c r="O1121" s="20" t="str">
        <f t="shared" si="2"/>
        <v>Avoid</v>
      </c>
      <c r="P1121" s="21" t="str">
        <f t="shared" si="3"/>
        <v/>
      </c>
      <c r="Q1121" s="21" t="str">
        <f t="shared" si="4"/>
        <v/>
      </c>
      <c r="R1121" s="22" t="str">
        <f>IFERROR(__xludf.DUMMYFUNCTION("GOOGLEFINANCE(B1121, ""pe"")
"),"#N/A")</f>
        <v>#N/A</v>
      </c>
    </row>
    <row r="1122">
      <c r="A1122" s="9" t="s">
        <v>1132</v>
      </c>
      <c r="B1122" s="11" t="str">
        <f t="shared" si="1"/>
        <v>NSE:TIL</v>
      </c>
      <c r="C1122" s="12">
        <f>IFERROR(__xludf.DUMMYFUNCTION("GOOGLEFINANCE(B1122,""marketcap"")/10000000"),2264.4697)</f>
        <v>2264.4697</v>
      </c>
      <c r="D1122" s="13">
        <f>IFERROR(__xludf.DUMMYFUNCTION("GOOGLEFINANCE(B1122,""price"")"),340.0)</f>
        <v>340</v>
      </c>
      <c r="E1122" s="14">
        <f>IFERROR(__xludf.DUMMYFUNCTION("GOOGLEFINANCE(B1122,""Volume"")"),3417.0)</f>
        <v>3417</v>
      </c>
      <c r="F1122" s="14">
        <f t="array" ref="F1122">F1121</f>
        <v>14</v>
      </c>
      <c r="G1122" s="15" t="str">
        <f>IFERROR(__xludf.DUMMYFUNCTION("IF(E1122&gt;AVERAGE(INDEX(GOOGLEFINANCE(B1122,""volume"",WORKDAY(TODAY(),-$F$1),TODAY()),,2)),""Breakout"","""")"),"")</f>
        <v/>
      </c>
      <c r="H1122" s="16">
        <f>IFERROR(__xludf.DUMMYFUNCTION("GOOGLEFINANCE(B1122,""price"")"),340.0)</f>
        <v>340</v>
      </c>
      <c r="I1122" s="17">
        <f>IFERROR(__xludf.DUMMYFUNCTION("AVERAGE(QUERY(SORT(GOOGLEFINANCE(B1122,""price"",TODAY()-365,TODAY()),1,0),""select Col2 limit 10""))"),376.95000000000005)</f>
        <v>376.95</v>
      </c>
      <c r="J1122" s="17">
        <f>IFERROR(__xludf.DUMMYFUNCTION("AVERAGE(QUERY(SORT(GOOGLEFINANCE(B1122,""price"",TODAY()-365,TODAY()),1,0),""select Col2 limit 30""))"),379.4716666666666)</f>
        <v>379.4716667</v>
      </c>
      <c r="K1122" s="18">
        <f>IFERROR(__xludf.DUMMYFUNCTION("AVERAGE(QUERY(SORT(GOOGLEFINANCE(B1122,""price"",TODAY()-365,TODAY()),1,0),""select Col2 limit 60""))"),339.9028333333334)</f>
        <v>339.9028333</v>
      </c>
      <c r="L1122" s="17">
        <f>IFERROR(__xludf.DUMMYFUNCTION("AVERAGE(QUERY(SORT(GOOGLEFINANCE(B1122,""price"",TODAY()-365,TODAY()),1,0),""select Col2 limit 90""))"),300.9484444444444)</f>
        <v>300.9484444</v>
      </c>
      <c r="M1122" s="17">
        <f>IFERROR(__xludf.DUMMYFUNCTION("AVERAGE(QUERY(SORT(GOOGLEFINANCE(B1122,""price"",TODAY()-365,TODAY()),1,0),""select Col2 limit 120""))"),277.23400000000004)</f>
        <v>277.234</v>
      </c>
      <c r="N1122" s="19">
        <f>IFERROR(__xludf.DUMMYFUNCTION("AVERAGE(QUERY(SORT(GOOGLEFINANCE(B1122,""price"",TODAY()-365,TODAY()),1,0),""select Col2 limit 200""))"),288.6949)</f>
        <v>288.6949</v>
      </c>
      <c r="O1122" s="20" t="str">
        <f t="shared" si="2"/>
        <v>Avoid</v>
      </c>
      <c r="P1122" s="21" t="str">
        <f t="shared" si="3"/>
        <v/>
      </c>
      <c r="Q1122" s="21" t="str">
        <f t="shared" si="4"/>
        <v/>
      </c>
      <c r="R1122" s="22">
        <f>IFERROR(__xludf.DUMMYFUNCTION("GOOGLEFINANCE(B1122, ""pe"")
"),790.7)</f>
        <v>790.7</v>
      </c>
    </row>
    <row r="1123">
      <c r="A1123" s="9" t="s">
        <v>1133</v>
      </c>
      <c r="B1123" s="11" t="str">
        <f t="shared" si="1"/>
        <v>NSE:GOLDIAM</v>
      </c>
      <c r="C1123" s="12">
        <f>IFERROR(__xludf.DUMMYFUNCTION("GOOGLEFINANCE(B1123,""marketcap"")/10000000"),3618.7520286)</f>
        <v>3618.752029</v>
      </c>
      <c r="D1123" s="13">
        <f>IFERROR(__xludf.DUMMYFUNCTION("GOOGLEFINANCE(B1123,""price"")"),337.05)</f>
        <v>337.05</v>
      </c>
      <c r="E1123" s="14">
        <f>IFERROR(__xludf.DUMMYFUNCTION("GOOGLEFINANCE(B1123,""Volume"")"),113986.0)</f>
        <v>113986</v>
      </c>
      <c r="F1123" s="14">
        <f t="array" ref="F1123">F1122</f>
        <v>14</v>
      </c>
      <c r="G1123" s="15" t="str">
        <f>IFERROR(__xludf.DUMMYFUNCTION("IF(E1123&gt;AVERAGE(INDEX(GOOGLEFINANCE(B1123,""volume"",WORKDAY(TODAY(),-$F$1),TODAY()),,2)),""Breakout"","""")"),"")</f>
        <v/>
      </c>
      <c r="H1123" s="16">
        <f>IFERROR(__xludf.DUMMYFUNCTION("GOOGLEFINANCE(B1123,""price"")"),337.05)</f>
        <v>337.05</v>
      </c>
      <c r="I1123" s="17">
        <f>IFERROR(__xludf.DUMMYFUNCTION("AVERAGE(QUERY(SORT(GOOGLEFINANCE(B1123,""price"",TODAY()-365,TODAY()),1,0),""select Col2 limit 10""))"),350.005)</f>
        <v>350.005</v>
      </c>
      <c r="J1123" s="17">
        <f>IFERROR(__xludf.DUMMYFUNCTION("AVERAGE(QUERY(SORT(GOOGLEFINANCE(B1123,""price"",TODAY()-365,TODAY()),1,0),""select Col2 limit 30""))"),347.7)</f>
        <v>347.7</v>
      </c>
      <c r="K1123" s="18">
        <f>IFERROR(__xludf.DUMMYFUNCTION("AVERAGE(QUERY(SORT(GOOGLEFINANCE(B1123,""price"",TODAY()-365,TODAY()),1,0),""select Col2 limit 60""))"),358.6058333333334)</f>
        <v>358.6058333</v>
      </c>
      <c r="L1123" s="17">
        <f>IFERROR(__xludf.DUMMYFUNCTION("AVERAGE(QUERY(SORT(GOOGLEFINANCE(B1123,""price"",TODAY()-365,TODAY()),1,0),""select Col2 limit 90""))"),362.77555555555574)</f>
        <v>362.7755556</v>
      </c>
      <c r="M1123" s="17">
        <f>IFERROR(__xludf.DUMMYFUNCTION("AVERAGE(QUERY(SORT(GOOGLEFINANCE(B1123,""price"",TODAY()-365,TODAY()),1,0),""select Col2 limit 120""))"),377.60916666666685)</f>
        <v>377.6091667</v>
      </c>
      <c r="N1123" s="19">
        <f>IFERROR(__xludf.DUMMYFUNCTION("AVERAGE(QUERY(SORT(GOOGLEFINANCE(B1123,""price"",TODAY()-365,TODAY()),1,0),""select Col2 limit 200""))"),383.5450000000004)</f>
        <v>383.545</v>
      </c>
      <c r="O1123" s="20" t="str">
        <f t="shared" si="2"/>
        <v>Avoid</v>
      </c>
      <c r="P1123" s="21" t="str">
        <f t="shared" si="3"/>
        <v/>
      </c>
      <c r="Q1123" s="21" t="str">
        <f t="shared" si="4"/>
        <v/>
      </c>
      <c r="R1123" s="22">
        <f>IFERROR(__xludf.DUMMYFUNCTION("GOOGLEFINANCE(B1123, ""pe"")
"),30.77)</f>
        <v>30.77</v>
      </c>
    </row>
    <row r="1124">
      <c r="A1124" s="9" t="s">
        <v>1134</v>
      </c>
      <c r="B1124" s="11" t="str">
        <f t="shared" si="1"/>
        <v>NSE:RIIL</v>
      </c>
      <c r="C1124" s="12">
        <f>IFERROR(__xludf.DUMMYFUNCTION("GOOGLEFINANCE(B1124,""marketcap"")/10000000"),1353.2620184)</f>
        <v>1353.262018</v>
      </c>
      <c r="D1124" s="13">
        <f>IFERROR(__xludf.DUMMYFUNCTION("GOOGLEFINANCE(B1124,""price"")"),898.3)</f>
        <v>898.3</v>
      </c>
      <c r="E1124" s="14">
        <f>IFERROR(__xludf.DUMMYFUNCTION("GOOGLEFINANCE(B1124,""Volume"")"),32900.0)</f>
        <v>32900</v>
      </c>
      <c r="F1124" s="14">
        <f t="array" ref="F1124">F1123</f>
        <v>14</v>
      </c>
      <c r="G1124" s="15" t="str">
        <f>IFERROR(__xludf.DUMMYFUNCTION("IF(E1124&gt;AVERAGE(INDEX(GOOGLEFINANCE(B1124,""volume"",WORKDAY(TODAY(),-$F$1),TODAY()),,2)),""Breakout"","""")"),"")</f>
        <v/>
      </c>
      <c r="H1124" s="16">
        <f>IFERROR(__xludf.DUMMYFUNCTION("GOOGLEFINANCE(B1124,""price"")"),898.3)</f>
        <v>898.3</v>
      </c>
      <c r="I1124" s="17">
        <f>IFERROR(__xludf.DUMMYFUNCTION("AVERAGE(QUERY(SORT(GOOGLEFINANCE(B1124,""price"",TODAY()-365,TODAY()),1,0),""select Col2 limit 10""))"),940.6849999999998)</f>
        <v>940.685</v>
      </c>
      <c r="J1124" s="17">
        <f>IFERROR(__xludf.DUMMYFUNCTION("AVERAGE(QUERY(SORT(GOOGLEFINANCE(B1124,""price"",TODAY()-365,TODAY()),1,0),""select Col2 limit 30""))"),949.95)</f>
        <v>949.95</v>
      </c>
      <c r="K1124" s="18">
        <f>IFERROR(__xludf.DUMMYFUNCTION("AVERAGE(QUERY(SORT(GOOGLEFINANCE(B1124,""price"",TODAY()-365,TODAY()),1,0),""select Col2 limit 60""))"),935.2608333333332)</f>
        <v>935.2608333</v>
      </c>
      <c r="L1124" s="17">
        <f>IFERROR(__xludf.DUMMYFUNCTION("AVERAGE(QUERY(SORT(GOOGLEFINANCE(B1124,""price"",TODAY()-365,TODAY()),1,0),""select Col2 limit 90""))"),899.5161111111113)</f>
        <v>899.5161111</v>
      </c>
      <c r="M1124" s="17">
        <f>IFERROR(__xludf.DUMMYFUNCTION("AVERAGE(QUERY(SORT(GOOGLEFINANCE(B1124,""price"",TODAY()-365,TODAY()),1,0),""select Col2 limit 120""))"),892.1429166666671)</f>
        <v>892.1429167</v>
      </c>
      <c r="N1124" s="19">
        <f>IFERROR(__xludf.DUMMYFUNCTION("AVERAGE(QUERY(SORT(GOOGLEFINANCE(B1124,""price"",TODAY()-365,TODAY()),1,0),""select Col2 limit 200""))"),979.9687500000005)</f>
        <v>979.96875</v>
      </c>
      <c r="O1124" s="20" t="str">
        <f t="shared" si="2"/>
        <v>Avoid</v>
      </c>
      <c r="P1124" s="21" t="str">
        <f t="shared" si="3"/>
        <v>90 DMA</v>
      </c>
      <c r="Q1124" s="21" t="str">
        <f t="shared" si="4"/>
        <v/>
      </c>
      <c r="R1124" s="22">
        <f>IFERROR(__xludf.DUMMYFUNCTION("GOOGLEFINANCE(B1124, ""pe"")
"),111.47)</f>
        <v>111.47</v>
      </c>
    </row>
    <row r="1125">
      <c r="A1125" s="9" t="s">
        <v>1135</v>
      </c>
      <c r="B1125" s="11" t="str">
        <f t="shared" si="1"/>
        <v>NSE:EVERESTIND</v>
      </c>
      <c r="C1125" s="12">
        <f>IFERROR(__xludf.DUMMYFUNCTION("GOOGLEFINANCE(B1125,""marketcap"")/10000000"),865.346889)</f>
        <v>865.346889</v>
      </c>
      <c r="D1125" s="13">
        <f>IFERROR(__xludf.DUMMYFUNCTION("GOOGLEFINANCE(B1125,""price"")"),547.0)</f>
        <v>547</v>
      </c>
      <c r="E1125" s="14">
        <f>IFERROR(__xludf.DUMMYFUNCTION("GOOGLEFINANCE(B1125,""Volume"")"),3697.0)</f>
        <v>3697</v>
      </c>
      <c r="F1125" s="14">
        <f t="array" ref="F1125">F1124</f>
        <v>14</v>
      </c>
      <c r="G1125" s="15" t="str">
        <f>IFERROR(__xludf.DUMMYFUNCTION("IF(E1125&gt;AVERAGE(INDEX(GOOGLEFINANCE(B1125,""volume"",WORKDAY(TODAY(),-$F$1),TODAY()),,2)),""Breakout"","""")"),"")</f>
        <v/>
      </c>
      <c r="H1125" s="16">
        <f>IFERROR(__xludf.DUMMYFUNCTION("GOOGLEFINANCE(B1125,""price"")"),547.0)</f>
        <v>547</v>
      </c>
      <c r="I1125" s="17">
        <f>IFERROR(__xludf.DUMMYFUNCTION("AVERAGE(QUERY(SORT(GOOGLEFINANCE(B1125,""price"",TODAY()-365,TODAY()),1,0),""select Col2 limit 10""))"),566.7049999999999)</f>
        <v>566.705</v>
      </c>
      <c r="J1125" s="17">
        <f>IFERROR(__xludf.DUMMYFUNCTION("AVERAGE(QUERY(SORT(GOOGLEFINANCE(B1125,""price"",TODAY()-365,TODAY()),1,0),""select Col2 limit 30""))"),551.2616666666667)</f>
        <v>551.2616667</v>
      </c>
      <c r="K1125" s="18">
        <f>IFERROR(__xludf.DUMMYFUNCTION("AVERAGE(QUERY(SORT(GOOGLEFINANCE(B1125,""price"",TODAY()-365,TODAY()),1,0),""select Col2 limit 60""))"),520.6583333333333)</f>
        <v>520.6583333</v>
      </c>
      <c r="L1125" s="17">
        <f>IFERROR(__xludf.DUMMYFUNCTION("AVERAGE(QUERY(SORT(GOOGLEFINANCE(B1125,""price"",TODAY()-365,TODAY()),1,0),""select Col2 limit 90""))"),505.09555555555556)</f>
        <v>505.0955556</v>
      </c>
      <c r="M1125" s="17">
        <f>IFERROR(__xludf.DUMMYFUNCTION("AVERAGE(QUERY(SORT(GOOGLEFINANCE(B1125,""price"",TODAY()-365,TODAY()),1,0),""select Col2 limit 120""))"),523.7533333333334)</f>
        <v>523.7533333</v>
      </c>
      <c r="N1125" s="19">
        <f>IFERROR(__xludf.DUMMYFUNCTION("AVERAGE(QUERY(SORT(GOOGLEFINANCE(B1125,""price"",TODAY()-365,TODAY()),1,0),""select Col2 limit 200""))"),654.2507500000002)</f>
        <v>654.25075</v>
      </c>
      <c r="O1125" s="20" t="str">
        <f t="shared" si="2"/>
        <v>Avoid</v>
      </c>
      <c r="P1125" s="21" t="str">
        <f t="shared" si="3"/>
        <v>30 DMA</v>
      </c>
      <c r="Q1125" s="21" t="str">
        <f t="shared" si="4"/>
        <v/>
      </c>
      <c r="R1125" s="22" t="str">
        <f>IFERROR(__xludf.DUMMYFUNCTION("GOOGLEFINANCE(B1125, ""pe"")
"),"#N/A")</f>
        <v>#N/A</v>
      </c>
    </row>
    <row r="1126">
      <c r="A1126" s="9" t="s">
        <v>1136</v>
      </c>
      <c r="B1126" s="11" t="str">
        <f t="shared" si="1"/>
        <v>NSE:GTPL</v>
      </c>
      <c r="C1126" s="12">
        <f>IFERROR(__xludf.DUMMYFUNCTION("GOOGLEFINANCE(B1126,""marketcap"")/10000000"),1353.0568507)</f>
        <v>1353.056851</v>
      </c>
      <c r="D1126" s="13">
        <f>IFERROR(__xludf.DUMMYFUNCTION("GOOGLEFINANCE(B1126,""price"")"),121.5)</f>
        <v>121.5</v>
      </c>
      <c r="E1126" s="14">
        <f>IFERROR(__xludf.DUMMYFUNCTION("GOOGLEFINANCE(B1126,""Volume"")"),9950.0)</f>
        <v>9950</v>
      </c>
      <c r="F1126" s="14">
        <f t="array" ref="F1126">F1125</f>
        <v>14</v>
      </c>
      <c r="G1126" s="15" t="str">
        <f>IFERROR(__xludf.DUMMYFUNCTION("IF(E1126&gt;AVERAGE(INDEX(GOOGLEFINANCE(B1126,""volume"",WORKDAY(TODAY(),-$F$1),TODAY()),,2)),""Breakout"","""")"),"")</f>
        <v/>
      </c>
      <c r="H1126" s="16">
        <f>IFERROR(__xludf.DUMMYFUNCTION("GOOGLEFINANCE(B1126,""price"")"),121.5)</f>
        <v>121.5</v>
      </c>
      <c r="I1126" s="17">
        <f>IFERROR(__xludf.DUMMYFUNCTION("AVERAGE(QUERY(SORT(GOOGLEFINANCE(B1126,""price"",TODAY()-365,TODAY()),1,0),""select Col2 limit 10""))"),118.36800000000001)</f>
        <v>118.368</v>
      </c>
      <c r="J1126" s="17">
        <f>IFERROR(__xludf.DUMMYFUNCTION("AVERAGE(QUERY(SORT(GOOGLEFINANCE(B1126,""price"",TODAY()-365,TODAY()),1,0),""select Col2 limit 30""))"),118.704)</f>
        <v>118.704</v>
      </c>
      <c r="K1126" s="18">
        <f>IFERROR(__xludf.DUMMYFUNCTION("AVERAGE(QUERY(SORT(GOOGLEFINANCE(B1126,""price"",TODAY()-365,TODAY()),1,0),""select Col2 limit 60""))"),114.21433333333334)</f>
        <v>114.2143333</v>
      </c>
      <c r="L1126" s="17">
        <f>IFERROR(__xludf.DUMMYFUNCTION("AVERAGE(QUERY(SORT(GOOGLEFINANCE(B1126,""price"",TODAY()-365,TODAY()),1,0),""select Col2 limit 90""))"),112.74377777777778)</f>
        <v>112.7437778</v>
      </c>
      <c r="M1126" s="17">
        <f>IFERROR(__xludf.DUMMYFUNCTION("AVERAGE(QUERY(SORT(GOOGLEFINANCE(B1126,""price"",TODAY()-365,TODAY()),1,0),""select Col2 limit 120""))"),112.38374999999996)</f>
        <v>112.38375</v>
      </c>
      <c r="N1126" s="19">
        <f>IFERROR(__xludf.DUMMYFUNCTION("AVERAGE(QUERY(SORT(GOOGLEFINANCE(B1126,""price"",TODAY()-365,TODAY()),1,0),""select Col2 limit 200""))"),124.71620000000003)</f>
        <v>124.7162</v>
      </c>
      <c r="O1126" s="20" t="str">
        <f t="shared" si="2"/>
        <v>Buy Above 200 DMA</v>
      </c>
      <c r="P1126" s="21" t="str">
        <f t="shared" si="3"/>
        <v/>
      </c>
      <c r="Q1126" s="21" t="str">
        <f t="shared" si="4"/>
        <v/>
      </c>
      <c r="R1126" s="22">
        <f>IFERROR(__xludf.DUMMYFUNCTION("GOOGLEFINANCE(B1126, ""pe"")
"),30.73)</f>
        <v>30.73</v>
      </c>
    </row>
    <row r="1127">
      <c r="A1127" s="9" t="s">
        <v>1137</v>
      </c>
      <c r="B1127" s="11" t="str">
        <f t="shared" si="1"/>
        <v>NSE:IRMENERGY</v>
      </c>
      <c r="C1127" s="12">
        <f>IFERROR(__xludf.DUMMYFUNCTION("GOOGLEFINANCE(B1127,""marketcap"")/10000000"),1198.942072)</f>
        <v>1198.942072</v>
      </c>
      <c r="D1127" s="13">
        <f>IFERROR(__xludf.DUMMYFUNCTION("GOOGLEFINANCE(B1127,""price"")"),292.3)</f>
        <v>292.3</v>
      </c>
      <c r="E1127" s="14">
        <f>IFERROR(__xludf.DUMMYFUNCTION("GOOGLEFINANCE(B1127,""Volume"")"),4791.0)</f>
        <v>4791</v>
      </c>
      <c r="F1127" s="14">
        <f t="array" ref="F1127">F1126</f>
        <v>14</v>
      </c>
      <c r="G1127" s="15" t="str">
        <f>IFERROR(__xludf.DUMMYFUNCTION("IF(E1127&gt;AVERAGE(INDEX(GOOGLEFINANCE(B1127,""volume"",WORKDAY(TODAY(),-$F$1),TODAY()),,2)),""Breakout"","""")"),"")</f>
        <v/>
      </c>
      <c r="H1127" s="16">
        <f>IFERROR(__xludf.DUMMYFUNCTION("GOOGLEFINANCE(B1127,""price"")"),292.3)</f>
        <v>292.3</v>
      </c>
      <c r="I1127" s="17">
        <f>IFERROR(__xludf.DUMMYFUNCTION("AVERAGE(QUERY(SORT(GOOGLEFINANCE(B1127,""price"",TODAY()-365,TODAY()),1,0),""select Col2 limit 10""))"),301.415)</f>
        <v>301.415</v>
      </c>
      <c r="J1127" s="17">
        <f>IFERROR(__xludf.DUMMYFUNCTION("AVERAGE(QUERY(SORT(GOOGLEFINANCE(B1127,""price"",TODAY()-365,TODAY()),1,0),""select Col2 limit 30""))"),302.4)</f>
        <v>302.4</v>
      </c>
      <c r="K1127" s="18">
        <f>IFERROR(__xludf.DUMMYFUNCTION("AVERAGE(QUERY(SORT(GOOGLEFINANCE(B1127,""price"",TODAY()-365,TODAY()),1,0),""select Col2 limit 60""))"),294.0916666666666)</f>
        <v>294.0916667</v>
      </c>
      <c r="L1127" s="17">
        <f>IFERROR(__xludf.DUMMYFUNCTION("AVERAGE(QUERY(SORT(GOOGLEFINANCE(B1127,""price"",TODAY()-365,TODAY()),1,0),""select Col2 limit 90""))"),291.4022222222222)</f>
        <v>291.4022222</v>
      </c>
      <c r="M1127" s="17">
        <f>IFERROR(__xludf.DUMMYFUNCTION("AVERAGE(QUERY(SORT(GOOGLEFINANCE(B1127,""price"",TODAY()-365,TODAY()),1,0),""select Col2 limit 120""))"),288.77416666666653)</f>
        <v>288.7741667</v>
      </c>
      <c r="N1127" s="19">
        <f>IFERROR(__xludf.DUMMYFUNCTION("AVERAGE(QUERY(SORT(GOOGLEFINANCE(B1127,""price"",TODAY()-365,TODAY()),1,0),""select Col2 limit 200""))"),323.54549999999995)</f>
        <v>323.5455</v>
      </c>
      <c r="O1127" s="20" t="str">
        <f t="shared" si="2"/>
        <v>Avoid</v>
      </c>
      <c r="P1127" s="21" t="str">
        <f t="shared" si="3"/>
        <v>60 DMA</v>
      </c>
      <c r="Q1127" s="21" t="str">
        <f t="shared" si="4"/>
        <v/>
      </c>
      <c r="R1127" s="22">
        <f>IFERROR(__xludf.DUMMYFUNCTION("GOOGLEFINANCE(B1127, ""pe"")
"),26.52)</f>
        <v>26.52</v>
      </c>
    </row>
    <row r="1128">
      <c r="A1128" s="9" t="s">
        <v>1138</v>
      </c>
      <c r="B1128" s="11" t="str">
        <f t="shared" si="1"/>
        <v>NSE:MADRASFERT</v>
      </c>
      <c r="C1128" s="12">
        <f>IFERROR(__xludf.DUMMYFUNCTION("GOOGLEFINANCE(B1128,""marketcap"")/10000000"),1428.163049)</f>
        <v>1428.163049</v>
      </c>
      <c r="D1128" s="13">
        <f>IFERROR(__xludf.DUMMYFUNCTION("GOOGLEFINANCE(B1128,""price"")"),88.51)</f>
        <v>88.51</v>
      </c>
      <c r="E1128" s="14">
        <f>IFERROR(__xludf.DUMMYFUNCTION("GOOGLEFINANCE(B1128,""Volume"")"),76278.0)</f>
        <v>76278</v>
      </c>
      <c r="F1128" s="14">
        <f t="array" ref="F1128">F1127</f>
        <v>14</v>
      </c>
      <c r="G1128" s="15" t="str">
        <f>IFERROR(__xludf.DUMMYFUNCTION("IF(E1128&gt;AVERAGE(INDEX(GOOGLEFINANCE(B1128,""volume"",WORKDAY(TODAY(),-$F$1),TODAY()),,2)),""Breakout"","""")"),"")</f>
        <v/>
      </c>
      <c r="H1128" s="16">
        <f>IFERROR(__xludf.DUMMYFUNCTION("GOOGLEFINANCE(B1128,""price"")"),88.51)</f>
        <v>88.51</v>
      </c>
      <c r="I1128" s="17">
        <f>IFERROR(__xludf.DUMMYFUNCTION("AVERAGE(QUERY(SORT(GOOGLEFINANCE(B1128,""price"",TODAY()-365,TODAY()),1,0),""select Col2 limit 10""))"),90.05199999999999)</f>
        <v>90.052</v>
      </c>
      <c r="J1128" s="17">
        <f>IFERROR(__xludf.DUMMYFUNCTION("AVERAGE(QUERY(SORT(GOOGLEFINANCE(B1128,""price"",TODAY()-365,TODAY()),1,0),""select Col2 limit 30""))"),90.99166666666669)</f>
        <v>90.99166667</v>
      </c>
      <c r="K1128" s="18">
        <f>IFERROR(__xludf.DUMMYFUNCTION("AVERAGE(QUERY(SORT(GOOGLEFINANCE(B1128,""price"",TODAY()-365,TODAY()),1,0),""select Col2 limit 60""))"),92.11283333333333)</f>
        <v>92.11283333</v>
      </c>
      <c r="L1128" s="17">
        <f>IFERROR(__xludf.DUMMYFUNCTION("AVERAGE(QUERY(SORT(GOOGLEFINANCE(B1128,""price"",TODAY()-365,TODAY()),1,0),""select Col2 limit 90""))"),87.129)</f>
        <v>87.129</v>
      </c>
      <c r="M1128" s="17">
        <f>IFERROR(__xludf.DUMMYFUNCTION("AVERAGE(QUERY(SORT(GOOGLEFINANCE(B1128,""price"",TODAY()-365,TODAY()),1,0),""select Col2 limit 120""))"),85.45933333333338)</f>
        <v>85.45933333</v>
      </c>
      <c r="N1128" s="19">
        <f>IFERROR(__xludf.DUMMYFUNCTION("AVERAGE(QUERY(SORT(GOOGLEFINANCE(B1128,""price"",TODAY()-365,TODAY()),1,0),""select Col2 limit 200""))"),90.02935000000005)</f>
        <v>90.02935</v>
      </c>
      <c r="O1128" s="20" t="str">
        <f t="shared" si="2"/>
        <v>Avoid</v>
      </c>
      <c r="P1128" s="21" t="str">
        <f t="shared" si="3"/>
        <v/>
      </c>
      <c r="Q1128" s="21" t="str">
        <f t="shared" si="4"/>
        <v/>
      </c>
      <c r="R1128" s="22">
        <f>IFERROR(__xludf.DUMMYFUNCTION("GOOGLEFINANCE(B1128, ""pe"")
"),22.22)</f>
        <v>22.22</v>
      </c>
    </row>
    <row r="1129">
      <c r="A1129" s="9" t="s">
        <v>1139</v>
      </c>
      <c r="B1129" s="11" t="str">
        <f t="shared" si="1"/>
        <v>NSE:GMBREW</v>
      </c>
      <c r="C1129" s="12">
        <f>IFERROR(__xludf.DUMMYFUNCTION("GOOGLEFINANCE(B1129,""marketcap"")/10000000"),1636.410645)</f>
        <v>1636.410645</v>
      </c>
      <c r="D1129" s="13">
        <f>IFERROR(__xludf.DUMMYFUNCTION("GOOGLEFINANCE(B1129,""price"")"),715.5)</f>
        <v>715.5</v>
      </c>
      <c r="E1129" s="14">
        <f>IFERROR(__xludf.DUMMYFUNCTION("GOOGLEFINANCE(B1129,""Volume"")"),10297.0)</f>
        <v>10297</v>
      </c>
      <c r="F1129" s="14">
        <f t="array" ref="F1129">F1128</f>
        <v>14</v>
      </c>
      <c r="G1129" s="15" t="str">
        <f>IFERROR(__xludf.DUMMYFUNCTION("IF(E1129&gt;AVERAGE(INDEX(GOOGLEFINANCE(B1129,""volume"",WORKDAY(TODAY(),-$F$1),TODAY()),,2)),""Breakout"","""")"),"")</f>
        <v/>
      </c>
      <c r="H1129" s="16">
        <f>IFERROR(__xludf.DUMMYFUNCTION("GOOGLEFINANCE(B1129,""price"")"),715.5)</f>
        <v>715.5</v>
      </c>
      <c r="I1129" s="17">
        <f>IFERROR(__xludf.DUMMYFUNCTION("AVERAGE(QUERY(SORT(GOOGLEFINANCE(B1129,""price"",TODAY()-365,TODAY()),1,0),""select Col2 limit 10""))"),730.96)</f>
        <v>730.96</v>
      </c>
      <c r="J1129" s="17">
        <f>IFERROR(__xludf.DUMMYFUNCTION("AVERAGE(QUERY(SORT(GOOGLEFINANCE(B1129,""price"",TODAY()-365,TODAY()),1,0),""select Col2 limit 30""))"),734.8533333333332)</f>
        <v>734.8533333</v>
      </c>
      <c r="K1129" s="18">
        <f>IFERROR(__xludf.DUMMYFUNCTION("AVERAGE(QUERY(SORT(GOOGLEFINANCE(B1129,""price"",TODAY()-365,TODAY()),1,0),""select Col2 limit 60""))"),721.7191666666666)</f>
        <v>721.7191667</v>
      </c>
      <c r="L1129" s="17">
        <f>IFERROR(__xludf.DUMMYFUNCTION("AVERAGE(QUERY(SORT(GOOGLEFINANCE(B1129,""price"",TODAY()-365,TODAY()),1,0),""select Col2 limit 90""))"),700.1966666666667)</f>
        <v>700.1966667</v>
      </c>
      <c r="M1129" s="17">
        <f>IFERROR(__xludf.DUMMYFUNCTION("AVERAGE(QUERY(SORT(GOOGLEFINANCE(B1129,""price"",TODAY()-365,TODAY()),1,0),""select Col2 limit 120""))"),695.1808333333331)</f>
        <v>695.1808333</v>
      </c>
      <c r="N1129" s="19">
        <f>IFERROR(__xludf.DUMMYFUNCTION("AVERAGE(QUERY(SORT(GOOGLEFINANCE(B1129,""price"",TODAY()-365,TODAY()),1,0),""select Col2 limit 200""))"),734.8374999999995)</f>
        <v>734.8375</v>
      </c>
      <c r="O1129" s="20" t="str">
        <f t="shared" si="2"/>
        <v>Avoid</v>
      </c>
      <c r="P1129" s="21" t="str">
        <f t="shared" si="3"/>
        <v>60 DMA</v>
      </c>
      <c r="Q1129" s="21" t="str">
        <f t="shared" si="4"/>
        <v/>
      </c>
      <c r="R1129" s="22">
        <f>IFERROR(__xludf.DUMMYFUNCTION("GOOGLEFINANCE(B1129, ""pe"")
"),12.58)</f>
        <v>12.58</v>
      </c>
    </row>
    <row r="1130">
      <c r="A1130" s="9" t="s">
        <v>1140</v>
      </c>
      <c r="B1130" s="11" t="str">
        <f t="shared" si="1"/>
        <v>NSE:DCMSRIND</v>
      </c>
      <c r="C1130" s="12">
        <f>IFERROR(__xludf.DUMMYFUNCTION("GOOGLEFINANCE(B1130,""marketcap"")/10000000"),1461.9903877)</f>
        <v>1461.990388</v>
      </c>
      <c r="D1130" s="13">
        <f>IFERROR(__xludf.DUMMYFUNCTION("GOOGLEFINANCE(B1130,""price"")"),168.06)</f>
        <v>168.06</v>
      </c>
      <c r="E1130" s="14">
        <f>IFERROR(__xludf.DUMMYFUNCTION("GOOGLEFINANCE(B1130,""Volume"")"),30822.0)</f>
        <v>30822</v>
      </c>
      <c r="F1130" s="14">
        <f t="array" ref="F1130">F1129</f>
        <v>14</v>
      </c>
      <c r="G1130" s="15" t="str">
        <f>IFERROR(__xludf.DUMMYFUNCTION("IF(E1130&gt;AVERAGE(INDEX(GOOGLEFINANCE(B1130,""volume"",WORKDAY(TODAY(),-$F$1),TODAY()),,2)),""Breakout"","""")"),"#N/A")</f>
        <v>#N/A</v>
      </c>
      <c r="H1130" s="16">
        <f>IFERROR(__xludf.DUMMYFUNCTION("GOOGLEFINANCE(B1130,""price"")"),168.06)</f>
        <v>168.06</v>
      </c>
      <c r="I1130" s="17">
        <f>IFERROR(__xludf.DUMMYFUNCTION("AVERAGE(QUERY(SORT(GOOGLEFINANCE(B1130,""price"",TODAY()-365,TODAY()),1,0),""select Col2 limit 10""))"),172.467)</f>
        <v>172.467</v>
      </c>
      <c r="J1130" s="17">
        <f>IFERROR(__xludf.DUMMYFUNCTION("AVERAGE(QUERY(SORT(GOOGLEFINANCE(B1130,""price"",TODAY()-365,TODAY()),1,0),""select Col2 limit 30""))"),168.41866666666664)</f>
        <v>168.4186667</v>
      </c>
      <c r="K1130" s="18">
        <f>IFERROR(__xludf.DUMMYFUNCTION("AVERAGE(QUERY(SORT(GOOGLEFINANCE(B1130,""price"",TODAY()-365,TODAY()),1,0),""select Col2 limit 60""))"),172.87983333333335)</f>
        <v>172.8798333</v>
      </c>
      <c r="L1130" s="17">
        <f>IFERROR(__xludf.DUMMYFUNCTION("AVERAGE(QUERY(SORT(GOOGLEFINANCE(B1130,""price"",TODAY()-365,TODAY()),1,0),""select Col2 limit 90""))"),172.00100000000006)</f>
        <v>172.001</v>
      </c>
      <c r="M1130" s="17">
        <f>IFERROR(__xludf.DUMMYFUNCTION("AVERAGE(QUERY(SORT(GOOGLEFINANCE(B1130,""price"",TODAY()-365,TODAY()),1,0),""select Col2 limit 120""))"),169.04258333333334)</f>
        <v>169.0425833</v>
      </c>
      <c r="N1130" s="19">
        <f>IFERROR(__xludf.DUMMYFUNCTION("AVERAGE(QUERY(SORT(GOOGLEFINANCE(B1130,""price"",TODAY()-365,TODAY()),1,0),""select Col2 limit 200""))"),175.5986499999999)</f>
        <v>175.59865</v>
      </c>
      <c r="O1130" s="20" t="str">
        <f t="shared" si="2"/>
        <v>Avoid</v>
      </c>
      <c r="P1130" s="21" t="str">
        <f t="shared" si="3"/>
        <v>30 DMA</v>
      </c>
      <c r="Q1130" s="21" t="str">
        <f t="shared" si="4"/>
        <v/>
      </c>
      <c r="R1130" s="22">
        <f>IFERROR(__xludf.DUMMYFUNCTION("GOOGLEFINANCE(B1130, ""pe"")
"),14.41)</f>
        <v>14.41</v>
      </c>
    </row>
    <row r="1131">
      <c r="A1131" s="9" t="s">
        <v>1141</v>
      </c>
      <c r="B1131" s="11" t="str">
        <f t="shared" si="1"/>
        <v>NSE:MUFIN</v>
      </c>
      <c r="C1131" s="12">
        <f>IFERROR(__xludf.DUMMYFUNCTION("GOOGLEFINANCE(B1131,""marketcap"")/10000000"),1513.8768444)</f>
        <v>1513.876844</v>
      </c>
      <c r="D1131" s="13">
        <f>IFERROR(__xludf.DUMMYFUNCTION("GOOGLEFINANCE(B1131,""price"")"),87.53)</f>
        <v>87.53</v>
      </c>
      <c r="E1131" s="14">
        <f>IFERROR(__xludf.DUMMYFUNCTION("GOOGLEFINANCE(B1131,""Volume"")"),70427.0)</f>
        <v>70427</v>
      </c>
      <c r="F1131" s="14">
        <f t="array" ref="F1131">F1130</f>
        <v>14</v>
      </c>
      <c r="G1131" s="15" t="str">
        <f>IFERROR(__xludf.DUMMYFUNCTION("IF(E1131&gt;AVERAGE(INDEX(GOOGLEFINANCE(B1131,""volume"",WORKDAY(TODAY(),-$F$1),TODAY()),,2)),""Breakout"","""")"),"")</f>
        <v/>
      </c>
      <c r="H1131" s="16">
        <f>IFERROR(__xludf.DUMMYFUNCTION("GOOGLEFINANCE(B1131,""price"")"),87.53)</f>
        <v>87.53</v>
      </c>
      <c r="I1131" s="17">
        <f>IFERROR(__xludf.DUMMYFUNCTION("AVERAGE(QUERY(SORT(GOOGLEFINANCE(B1131,""price"",TODAY()-365,TODAY()),1,0),""select Col2 limit 10""))"),91.262)</f>
        <v>91.262</v>
      </c>
      <c r="J1131" s="17">
        <f>IFERROR(__xludf.DUMMYFUNCTION("AVERAGE(QUERY(SORT(GOOGLEFINANCE(B1131,""price"",TODAY()-365,TODAY()),1,0),""select Col2 limit 30""))"),82.80433333333333)</f>
        <v>82.80433333</v>
      </c>
      <c r="K1131" s="18">
        <f>IFERROR(__xludf.DUMMYFUNCTION("AVERAGE(QUERY(SORT(GOOGLEFINANCE(B1131,""price"",TODAY()-365,TODAY()),1,0),""select Col2 limit 60""))"),79.96350000000001)</f>
        <v>79.9635</v>
      </c>
      <c r="L1131" s="17">
        <f>IFERROR(__xludf.DUMMYFUNCTION("AVERAGE(QUERY(SORT(GOOGLEFINANCE(B1131,""price"",TODAY()-365,TODAY()),1,0),""select Col2 limit 90""))"),77.1687777777778)</f>
        <v>77.16877778</v>
      </c>
      <c r="M1131" s="17">
        <f>IFERROR(__xludf.DUMMYFUNCTION("AVERAGE(QUERY(SORT(GOOGLEFINANCE(B1131,""price"",TODAY()-365,TODAY()),1,0),""select Col2 limit 120""))"),78.35900000000002)</f>
        <v>78.359</v>
      </c>
      <c r="N1131" s="19">
        <f>IFERROR(__xludf.DUMMYFUNCTION("AVERAGE(QUERY(SORT(GOOGLEFINANCE(B1131,""price"",TODAY()-365,TODAY()),1,0),""select Col2 limit 200""))"),90.72190000000002)</f>
        <v>90.7219</v>
      </c>
      <c r="O1131" s="20" t="str">
        <f t="shared" si="2"/>
        <v>Avoid</v>
      </c>
      <c r="P1131" s="21" t="str">
        <f t="shared" si="3"/>
        <v/>
      </c>
      <c r="Q1131" s="21" t="str">
        <f t="shared" si="4"/>
        <v/>
      </c>
      <c r="R1131" s="22">
        <f>IFERROR(__xludf.DUMMYFUNCTION("GOOGLEFINANCE(B1131, ""pe"")
"),74.18)</f>
        <v>74.18</v>
      </c>
    </row>
    <row r="1132">
      <c r="A1132" s="9" t="s">
        <v>1142</v>
      </c>
      <c r="B1132" s="11" t="str">
        <f t="shared" si="1"/>
        <v>NSE:IGPL</v>
      </c>
      <c r="C1132" s="12">
        <f>IFERROR(__xludf.DUMMYFUNCTION("GOOGLEFINANCE(B1132,""marketcap"")/10000000"),1478.1528)</f>
        <v>1478.1528</v>
      </c>
      <c r="D1132" s="13">
        <f>IFERROR(__xludf.DUMMYFUNCTION("GOOGLEFINANCE(B1132,""price"")"),480.0)</f>
        <v>480</v>
      </c>
      <c r="E1132" s="14">
        <f>IFERROR(__xludf.DUMMYFUNCTION("GOOGLEFINANCE(B1132,""Volume"")"),22528.0)</f>
        <v>22528</v>
      </c>
      <c r="F1132" s="14">
        <f t="array" ref="F1132">F1131</f>
        <v>14</v>
      </c>
      <c r="G1132" s="15" t="str">
        <f>IFERROR(__xludf.DUMMYFUNCTION("IF(E1132&gt;AVERAGE(INDEX(GOOGLEFINANCE(B1132,""volume"",WORKDAY(TODAY(),-$F$1),TODAY()),,2)),""Breakout"","""")"),"")</f>
        <v/>
      </c>
      <c r="H1132" s="16">
        <f>IFERROR(__xludf.DUMMYFUNCTION("GOOGLEFINANCE(B1132,""price"")"),480.0)</f>
        <v>480</v>
      </c>
      <c r="I1132" s="17">
        <f>IFERROR(__xludf.DUMMYFUNCTION("AVERAGE(QUERY(SORT(GOOGLEFINANCE(B1132,""price"",TODAY()-365,TODAY()),1,0),""select Col2 limit 10""))"),488.9150000000001)</f>
        <v>488.915</v>
      </c>
      <c r="J1132" s="17">
        <f>IFERROR(__xludf.DUMMYFUNCTION("AVERAGE(QUERY(SORT(GOOGLEFINANCE(B1132,""price"",TODAY()-365,TODAY()),1,0),""select Col2 limit 30""))"),477.0916666666666)</f>
        <v>477.0916667</v>
      </c>
      <c r="K1132" s="18">
        <f>IFERROR(__xludf.DUMMYFUNCTION("AVERAGE(QUERY(SORT(GOOGLEFINANCE(B1132,""price"",TODAY()-365,TODAY()),1,0),""select Col2 limit 60""))"),469.0058333333331)</f>
        <v>469.0058333</v>
      </c>
      <c r="L1132" s="17">
        <f>IFERROR(__xludf.DUMMYFUNCTION("AVERAGE(QUERY(SORT(GOOGLEFINANCE(B1132,""price"",TODAY()-365,TODAY()),1,0),""select Col2 limit 90""))"),456.9099999999998)</f>
        <v>456.91</v>
      </c>
      <c r="M1132" s="17">
        <f>IFERROR(__xludf.DUMMYFUNCTION("AVERAGE(QUERY(SORT(GOOGLEFINANCE(B1132,""price"",TODAY()-365,TODAY()),1,0),""select Col2 limit 120""))"),451.2587499999998)</f>
        <v>451.25875</v>
      </c>
      <c r="N1132" s="19">
        <f>IFERROR(__xludf.DUMMYFUNCTION("AVERAGE(QUERY(SORT(GOOGLEFINANCE(B1132,""price"",TODAY()-365,TODAY()),1,0),""select Col2 limit 200""))"),490.8064999999996)</f>
        <v>490.8065</v>
      </c>
      <c r="O1132" s="20" t="str">
        <f t="shared" si="2"/>
        <v>Avoid</v>
      </c>
      <c r="P1132" s="21" t="str">
        <f t="shared" si="3"/>
        <v/>
      </c>
      <c r="Q1132" s="21" t="str">
        <f t="shared" si="4"/>
        <v/>
      </c>
      <c r="R1132" s="22">
        <f>IFERROR(__xludf.DUMMYFUNCTION("GOOGLEFINANCE(B1132, ""pe"")
"),13.68)</f>
        <v>13.68</v>
      </c>
    </row>
    <row r="1133">
      <c r="A1133" s="9" t="s">
        <v>1143</v>
      </c>
      <c r="B1133" s="11" t="str">
        <f t="shared" si="1"/>
        <v>NSE:TNPL</v>
      </c>
      <c r="C1133" s="12">
        <f>IFERROR(__xludf.DUMMYFUNCTION("GOOGLEFINANCE(B1133,""marketcap"")/10000000"),1090.4818815)</f>
        <v>1090.481882</v>
      </c>
      <c r="D1133" s="13">
        <f>IFERROR(__xludf.DUMMYFUNCTION("GOOGLEFINANCE(B1133,""price"")"),157.6)</f>
        <v>157.6</v>
      </c>
      <c r="E1133" s="14">
        <f>IFERROR(__xludf.DUMMYFUNCTION("GOOGLEFINANCE(B1133,""Volume"")"),150784.0)</f>
        <v>150784</v>
      </c>
      <c r="F1133" s="14">
        <f t="array" ref="F1133">F1132</f>
        <v>14</v>
      </c>
      <c r="G1133" s="15" t="str">
        <f>IFERROR(__xludf.DUMMYFUNCTION("IF(E1133&gt;AVERAGE(INDEX(GOOGLEFINANCE(B1133,""volume"",WORKDAY(TODAY(),-$F$1),TODAY()),,2)),""Breakout"","""")"),"Breakout")</f>
        <v>Breakout</v>
      </c>
      <c r="H1133" s="16">
        <f>IFERROR(__xludf.DUMMYFUNCTION("GOOGLEFINANCE(B1133,""price"")"),157.6)</f>
        <v>157.6</v>
      </c>
      <c r="I1133" s="17">
        <f>IFERROR(__xludf.DUMMYFUNCTION("AVERAGE(QUERY(SORT(GOOGLEFINANCE(B1133,""price"",TODAY()-365,TODAY()),1,0),""select Col2 limit 10""))"),169.268)</f>
        <v>169.268</v>
      </c>
      <c r="J1133" s="17">
        <f>IFERROR(__xludf.DUMMYFUNCTION("AVERAGE(QUERY(SORT(GOOGLEFINANCE(B1133,""price"",TODAY()-365,TODAY()),1,0),""select Col2 limit 30""))"),167.70733333333337)</f>
        <v>167.7073333</v>
      </c>
      <c r="K1133" s="18">
        <f>IFERROR(__xludf.DUMMYFUNCTION("AVERAGE(QUERY(SORT(GOOGLEFINANCE(B1133,""price"",TODAY()-365,TODAY()),1,0),""select Col2 limit 60""))"),162.29416666666668)</f>
        <v>162.2941667</v>
      </c>
      <c r="L1133" s="17">
        <f>IFERROR(__xludf.DUMMYFUNCTION("AVERAGE(QUERY(SORT(GOOGLEFINANCE(B1133,""price"",TODAY()-365,TODAY()),1,0),""select Col2 limit 90""))"),151.30866666666668)</f>
        <v>151.3086667</v>
      </c>
      <c r="M1133" s="17">
        <f>IFERROR(__xludf.DUMMYFUNCTION("AVERAGE(QUERY(SORT(GOOGLEFINANCE(B1133,""price"",TODAY()-365,TODAY()),1,0),""select Col2 limit 120""))"),149.9633333333334)</f>
        <v>149.9633333</v>
      </c>
      <c r="N1133" s="19">
        <f>IFERROR(__xludf.DUMMYFUNCTION("AVERAGE(QUERY(SORT(GOOGLEFINANCE(B1133,""price"",TODAY()-365,TODAY()),1,0),""select Col2 limit 200""))"),163.45130000000006)</f>
        <v>163.4513</v>
      </c>
      <c r="O1133" s="20" t="str">
        <f t="shared" si="2"/>
        <v>Avoid</v>
      </c>
      <c r="P1133" s="21" t="str">
        <f t="shared" si="3"/>
        <v/>
      </c>
      <c r="Q1133" s="21" t="str">
        <f t="shared" si="4"/>
        <v/>
      </c>
      <c r="R1133" s="22">
        <f>IFERROR(__xludf.DUMMYFUNCTION("GOOGLEFINANCE(B1133, ""pe"")
"),292.13)</f>
        <v>292.13</v>
      </c>
    </row>
    <row r="1134">
      <c r="A1134" s="9" t="s">
        <v>1144</v>
      </c>
      <c r="B1134" s="11" t="str">
        <f t="shared" si="1"/>
        <v>NSE:JINDRILL</v>
      </c>
      <c r="C1134" s="12">
        <f>IFERROR(__xludf.DUMMYFUNCTION("GOOGLEFINANCE(B1134,""marketcap"")/10000000"),1800.4508375)</f>
        <v>1800.450838</v>
      </c>
      <c r="D1134" s="13">
        <f>IFERROR(__xludf.DUMMYFUNCTION("GOOGLEFINANCE(B1134,""price"")"),621.35)</f>
        <v>621.35</v>
      </c>
      <c r="E1134" s="14">
        <f>IFERROR(__xludf.DUMMYFUNCTION("GOOGLEFINANCE(B1134,""Volume"")"),30537.0)</f>
        <v>30537</v>
      </c>
      <c r="F1134" s="14">
        <f t="array" ref="F1134">F1133</f>
        <v>14</v>
      </c>
      <c r="G1134" s="15" t="str">
        <f>IFERROR(__xludf.DUMMYFUNCTION("IF(E1134&gt;AVERAGE(INDEX(GOOGLEFINANCE(B1134,""volume"",WORKDAY(TODAY(),-$F$1),TODAY()),,2)),""Breakout"","""")"),"")</f>
        <v/>
      </c>
      <c r="H1134" s="16">
        <f>IFERROR(__xludf.DUMMYFUNCTION("GOOGLEFINANCE(B1134,""price"")"),621.35)</f>
        <v>621.35</v>
      </c>
      <c r="I1134" s="17">
        <f>IFERROR(__xludf.DUMMYFUNCTION("AVERAGE(QUERY(SORT(GOOGLEFINANCE(B1134,""price"",TODAY()-365,TODAY()),1,0),""select Col2 limit 10""))"),624.0350000000001)</f>
        <v>624.035</v>
      </c>
      <c r="J1134" s="17">
        <f>IFERROR(__xludf.DUMMYFUNCTION("AVERAGE(QUERY(SORT(GOOGLEFINANCE(B1134,""price"",TODAY()-365,TODAY()),1,0),""select Col2 limit 30""))"),631.1283333333333)</f>
        <v>631.1283333</v>
      </c>
      <c r="K1134" s="18">
        <f>IFERROR(__xludf.DUMMYFUNCTION("AVERAGE(QUERY(SORT(GOOGLEFINANCE(B1134,""price"",TODAY()-365,TODAY()),1,0),""select Col2 limit 60""))"),640.1749999999997)</f>
        <v>640.175</v>
      </c>
      <c r="L1134" s="17">
        <f>IFERROR(__xludf.DUMMYFUNCTION("AVERAGE(QUERY(SORT(GOOGLEFINANCE(B1134,""price"",TODAY()-365,TODAY()),1,0),""select Col2 limit 90""))"),690.4577777777777)</f>
        <v>690.4577778</v>
      </c>
      <c r="M1134" s="17">
        <f>IFERROR(__xludf.DUMMYFUNCTION("AVERAGE(QUERY(SORT(GOOGLEFINANCE(B1134,""price"",TODAY()-365,TODAY()),1,0),""select Col2 limit 120""))"),737.0595833333335)</f>
        <v>737.0595833</v>
      </c>
      <c r="N1134" s="19">
        <f>IFERROR(__xludf.DUMMYFUNCTION("AVERAGE(QUERY(SORT(GOOGLEFINANCE(B1134,""price"",TODAY()-365,TODAY()),1,0),""select Col2 limit 200""))"),731.6247500000002)</f>
        <v>731.62475</v>
      </c>
      <c r="O1134" s="20" t="str">
        <f t="shared" si="2"/>
        <v>Avoid</v>
      </c>
      <c r="P1134" s="21" t="str">
        <f t="shared" si="3"/>
        <v>10 DMA</v>
      </c>
      <c r="Q1134" s="21" t="str">
        <f t="shared" si="4"/>
        <v>10 DMA cross best</v>
      </c>
      <c r="R1134" s="22">
        <f>IFERROR(__xludf.DUMMYFUNCTION("GOOGLEFINANCE(B1134, ""pe"")
"),8.34)</f>
        <v>8.34</v>
      </c>
    </row>
    <row r="1135">
      <c r="A1135" s="9" t="s">
        <v>1145</v>
      </c>
      <c r="B1135" s="11" t="str">
        <f t="shared" si="1"/>
        <v>NSE:SWELECTES</v>
      </c>
      <c r="C1135" s="12">
        <f>IFERROR(__xludf.DUMMYFUNCTION("GOOGLEFINANCE(B1135,""marketcap"")/10000000"),1022.5341372)</f>
        <v>1022.534137</v>
      </c>
      <c r="D1135" s="13">
        <f>IFERROR(__xludf.DUMMYFUNCTION("GOOGLEFINANCE(B1135,""price"")"),674.55)</f>
        <v>674.55</v>
      </c>
      <c r="E1135" s="14">
        <f>IFERROR(__xludf.DUMMYFUNCTION("GOOGLEFINANCE(B1135,""Volume"")"),5172.0)</f>
        <v>5172</v>
      </c>
      <c r="F1135" s="14">
        <f t="array" ref="F1135">F1134</f>
        <v>14</v>
      </c>
      <c r="G1135" s="15" t="str">
        <f>IFERROR(__xludf.DUMMYFUNCTION("IF(E1135&gt;AVERAGE(INDEX(GOOGLEFINANCE(B1135,""volume"",WORKDAY(TODAY(),-$F$1),TODAY()),,2)),""Breakout"","""")"),"")</f>
        <v/>
      </c>
      <c r="H1135" s="16">
        <f>IFERROR(__xludf.DUMMYFUNCTION("GOOGLEFINANCE(B1135,""price"")"),674.55)</f>
        <v>674.55</v>
      </c>
      <c r="I1135" s="17">
        <f>IFERROR(__xludf.DUMMYFUNCTION("AVERAGE(QUERY(SORT(GOOGLEFINANCE(B1135,""price"",TODAY()-365,TODAY()),1,0),""select Col2 limit 10""))"),632.21)</f>
        <v>632.21</v>
      </c>
      <c r="J1135" s="17">
        <f>IFERROR(__xludf.DUMMYFUNCTION("AVERAGE(QUERY(SORT(GOOGLEFINANCE(B1135,""price"",TODAY()-365,TODAY()),1,0),""select Col2 limit 30""))"),599.3683333333332)</f>
        <v>599.3683333</v>
      </c>
      <c r="K1135" s="18">
        <f>IFERROR(__xludf.DUMMYFUNCTION("AVERAGE(QUERY(SORT(GOOGLEFINANCE(B1135,""price"",TODAY()-365,TODAY()),1,0),""select Col2 limit 60""))"),589.2299999999998)</f>
        <v>589.23</v>
      </c>
      <c r="L1135" s="17">
        <f>IFERROR(__xludf.DUMMYFUNCTION("AVERAGE(QUERY(SORT(GOOGLEFINANCE(B1135,""price"",TODAY()-365,TODAY()),1,0),""select Col2 limit 90""))"),581.8788888888887)</f>
        <v>581.8788889</v>
      </c>
      <c r="M1135" s="17">
        <f>IFERROR(__xludf.DUMMYFUNCTION("AVERAGE(QUERY(SORT(GOOGLEFINANCE(B1135,""price"",TODAY()-365,TODAY()),1,0),""select Col2 limit 120""))"),598.6066666666666)</f>
        <v>598.6066667</v>
      </c>
      <c r="N1135" s="19">
        <f>IFERROR(__xludf.DUMMYFUNCTION("AVERAGE(QUERY(SORT(GOOGLEFINANCE(B1135,""price"",TODAY()-365,TODAY()),1,0),""select Col2 limit 200""))"),781.7660000000001)</f>
        <v>781.766</v>
      </c>
      <c r="O1135" s="20" t="str">
        <f t="shared" si="2"/>
        <v>Buy Above 200 DMA</v>
      </c>
      <c r="P1135" s="21" t="str">
        <f t="shared" si="3"/>
        <v/>
      </c>
      <c r="Q1135" s="21" t="str">
        <f t="shared" si="4"/>
        <v/>
      </c>
      <c r="R1135" s="22">
        <f>IFERROR(__xludf.DUMMYFUNCTION("GOOGLEFINANCE(B1135, ""pe"")
"),80.97)</f>
        <v>80.97</v>
      </c>
    </row>
    <row r="1136">
      <c r="A1136" s="9" t="s">
        <v>1146</v>
      </c>
      <c r="B1136" s="11" t="str">
        <f t="shared" si="1"/>
        <v>NSE:AGARIND</v>
      </c>
      <c r="C1136" s="12">
        <f>IFERROR(__xludf.DUMMYFUNCTION("GOOGLEFINANCE(B1136,""marketcap"")/10000000"),1449.7828265)</f>
        <v>1449.782827</v>
      </c>
      <c r="D1136" s="13">
        <f>IFERROR(__xludf.DUMMYFUNCTION("GOOGLEFINANCE(B1136,""price"")"),969.25)</f>
        <v>969.25</v>
      </c>
      <c r="E1136" s="14">
        <f>IFERROR(__xludf.DUMMYFUNCTION("GOOGLEFINANCE(B1136,""Volume"")"),18399.0)</f>
        <v>18399</v>
      </c>
      <c r="F1136" s="14">
        <f t="array" ref="F1136">F1135</f>
        <v>14</v>
      </c>
      <c r="G1136" s="15" t="str">
        <f>IFERROR(__xludf.DUMMYFUNCTION("IF(E1136&gt;AVERAGE(INDEX(GOOGLEFINANCE(B1136,""volume"",WORKDAY(TODAY(),-$F$1),TODAY()),,2)),""Breakout"","""")"),"")</f>
        <v/>
      </c>
      <c r="H1136" s="16">
        <f>IFERROR(__xludf.DUMMYFUNCTION("GOOGLEFINANCE(B1136,""price"")"),969.25)</f>
        <v>969.25</v>
      </c>
      <c r="I1136" s="17">
        <f>IFERROR(__xludf.DUMMYFUNCTION("AVERAGE(QUERY(SORT(GOOGLEFINANCE(B1136,""price"",TODAY()-365,TODAY()),1,0),""select Col2 limit 10""))"),948.1700000000001)</f>
        <v>948.17</v>
      </c>
      <c r="J1136" s="17">
        <f>IFERROR(__xludf.DUMMYFUNCTION("AVERAGE(QUERY(SORT(GOOGLEFINANCE(B1136,""price"",TODAY()-365,TODAY()),1,0),""select Col2 limit 30""))"),956.9033333333334)</f>
        <v>956.9033333</v>
      </c>
      <c r="K1136" s="18">
        <f>IFERROR(__xludf.DUMMYFUNCTION("AVERAGE(QUERY(SORT(GOOGLEFINANCE(B1136,""price"",TODAY()-365,TODAY()),1,0),""select Col2 limit 60""))"),973.2875000000001)</f>
        <v>973.2875</v>
      </c>
      <c r="L1136" s="17">
        <f>IFERROR(__xludf.DUMMYFUNCTION("AVERAGE(QUERY(SORT(GOOGLEFINANCE(B1136,""price"",TODAY()-365,TODAY()),1,0),""select Col2 limit 90""))"),984.9388888888888)</f>
        <v>984.9388889</v>
      </c>
      <c r="M1136" s="17">
        <f>IFERROR(__xludf.DUMMYFUNCTION("AVERAGE(QUERY(SORT(GOOGLEFINANCE(B1136,""price"",TODAY()-365,TODAY()),1,0),""select Col2 limit 120""))"),988.4649999999999)</f>
        <v>988.465</v>
      </c>
      <c r="N1136" s="19">
        <f>IFERROR(__xludf.DUMMYFUNCTION("AVERAGE(QUERY(SORT(GOOGLEFINANCE(B1136,""price"",TODAY()-365,TODAY()),1,0),""select Col2 limit 200""))"),1056.6432500000003)</f>
        <v>1056.64325</v>
      </c>
      <c r="O1136" s="20" t="str">
        <f t="shared" si="2"/>
        <v>Avoid</v>
      </c>
      <c r="P1136" s="21" t="str">
        <f t="shared" si="3"/>
        <v>60 DMA</v>
      </c>
      <c r="Q1136" s="21" t="str">
        <f t="shared" si="4"/>
        <v>60 DMA cross best</v>
      </c>
      <c r="R1136" s="22">
        <f>IFERROR(__xludf.DUMMYFUNCTION("GOOGLEFINANCE(B1136, ""pe"")
"),12.53)</f>
        <v>12.53</v>
      </c>
    </row>
    <row r="1137">
      <c r="A1137" s="9" t="s">
        <v>1147</v>
      </c>
      <c r="B1137" s="11" t="str">
        <f t="shared" si="1"/>
        <v>NSE:INDNIPPON</v>
      </c>
      <c r="C1137" s="12">
        <f>IFERROR(__xludf.DUMMYFUNCTION("GOOGLEFINANCE(B1137,""marketcap"")/10000000"),1748.635766)</f>
        <v>1748.635766</v>
      </c>
      <c r="D1137" s="13">
        <f>IFERROR(__xludf.DUMMYFUNCTION("GOOGLEFINANCE(B1137,""price"")"),768.1)</f>
        <v>768.1</v>
      </c>
      <c r="E1137" s="14">
        <f>IFERROR(__xludf.DUMMYFUNCTION("GOOGLEFINANCE(B1137,""Volume"")"),9074.0)</f>
        <v>9074</v>
      </c>
      <c r="F1137" s="14">
        <f t="array" ref="F1137">F1136</f>
        <v>14</v>
      </c>
      <c r="G1137" s="15" t="str">
        <f>IFERROR(__xludf.DUMMYFUNCTION("IF(E1137&gt;AVERAGE(INDEX(GOOGLEFINANCE(B1137,""volume"",WORKDAY(TODAY(),-$F$1),TODAY()),,2)),""Breakout"","""")"),"")</f>
        <v/>
      </c>
      <c r="H1137" s="16">
        <f>IFERROR(__xludf.DUMMYFUNCTION("GOOGLEFINANCE(B1137,""price"")"),768.1)</f>
        <v>768.1</v>
      </c>
      <c r="I1137" s="17">
        <f>IFERROR(__xludf.DUMMYFUNCTION("AVERAGE(QUERY(SORT(GOOGLEFINANCE(B1137,""price"",TODAY()-365,TODAY()),1,0),""select Col2 limit 10""))"),784.68)</f>
        <v>784.68</v>
      </c>
      <c r="J1137" s="17">
        <f>IFERROR(__xludf.DUMMYFUNCTION("AVERAGE(QUERY(SORT(GOOGLEFINANCE(B1137,""price"",TODAY()-365,TODAY()),1,0),""select Col2 limit 30""))"),757.3533333333337)</f>
        <v>757.3533333</v>
      </c>
      <c r="K1137" s="18">
        <f>IFERROR(__xludf.DUMMYFUNCTION("AVERAGE(QUERY(SORT(GOOGLEFINANCE(B1137,""price"",TODAY()-365,TODAY()),1,0),""select Col2 limit 60""))"),713.7583333333336)</f>
        <v>713.7583333</v>
      </c>
      <c r="L1137" s="17">
        <f>IFERROR(__xludf.DUMMYFUNCTION("AVERAGE(QUERY(SORT(GOOGLEFINANCE(B1137,""price"",TODAY()-365,TODAY()),1,0),""select Col2 limit 90""))"),676.303888888889)</f>
        <v>676.3038889</v>
      </c>
      <c r="M1137" s="17">
        <f>IFERROR(__xludf.DUMMYFUNCTION("AVERAGE(QUERY(SORT(GOOGLEFINANCE(B1137,""price"",TODAY()-365,TODAY()),1,0),""select Col2 limit 120""))"),657.1012500000005)</f>
        <v>657.10125</v>
      </c>
      <c r="N1137" s="19">
        <f>IFERROR(__xludf.DUMMYFUNCTION("AVERAGE(QUERY(SORT(GOOGLEFINANCE(B1137,""price"",TODAY()-365,TODAY()),1,0),""select Col2 limit 200""))"),671.33725)</f>
        <v>671.33725</v>
      </c>
      <c r="O1137" s="20" t="str">
        <f t="shared" si="2"/>
        <v>Avoid</v>
      </c>
      <c r="P1137" s="21" t="str">
        <f t="shared" si="3"/>
        <v/>
      </c>
      <c r="Q1137" s="21" t="str">
        <f t="shared" si="4"/>
        <v/>
      </c>
      <c r="R1137" s="22">
        <f>IFERROR(__xludf.DUMMYFUNCTION("GOOGLEFINANCE(B1137, ""pe"")
"),21.04)</f>
        <v>21.04</v>
      </c>
    </row>
    <row r="1138">
      <c r="A1138" s="9" t="s">
        <v>1148</v>
      </c>
      <c r="B1138" s="11" t="str">
        <f t="shared" si="1"/>
        <v>NSE:GNA</v>
      </c>
      <c r="C1138" s="12">
        <f>IFERROR(__xludf.DUMMYFUNCTION("GOOGLEFINANCE(B1138,""marketcap"")/10000000"),1343.734353)</f>
        <v>1343.734353</v>
      </c>
      <c r="D1138" s="13">
        <f>IFERROR(__xludf.DUMMYFUNCTION("GOOGLEFINANCE(B1138,""price"")"),313.0)</f>
        <v>313</v>
      </c>
      <c r="E1138" s="14">
        <f>IFERROR(__xludf.DUMMYFUNCTION("GOOGLEFINANCE(B1138,""Volume"")"),30395.0)</f>
        <v>30395</v>
      </c>
      <c r="F1138" s="14">
        <f t="array" ref="F1138">F1137</f>
        <v>14</v>
      </c>
      <c r="G1138" s="15" t="str">
        <f>IFERROR(__xludf.DUMMYFUNCTION("IF(E1138&gt;AVERAGE(INDEX(GOOGLEFINANCE(B1138,""volume"",WORKDAY(TODAY(),-$F$1),TODAY()),,2)),""Breakout"","""")"),"")</f>
        <v/>
      </c>
      <c r="H1138" s="16">
        <f>IFERROR(__xludf.DUMMYFUNCTION("GOOGLEFINANCE(B1138,""price"")"),313.0)</f>
        <v>313</v>
      </c>
      <c r="I1138" s="17">
        <f>IFERROR(__xludf.DUMMYFUNCTION("AVERAGE(QUERY(SORT(GOOGLEFINANCE(B1138,""price"",TODAY()-365,TODAY()),1,0),""select Col2 limit 10""))"),332.65000000000003)</f>
        <v>332.65</v>
      </c>
      <c r="J1138" s="17">
        <f>IFERROR(__xludf.DUMMYFUNCTION("AVERAGE(QUERY(SORT(GOOGLEFINANCE(B1138,""price"",TODAY()-365,TODAY()),1,0),""select Col2 limit 30""))"),325.2116666666667)</f>
        <v>325.2116667</v>
      </c>
      <c r="K1138" s="18">
        <f>IFERROR(__xludf.DUMMYFUNCTION("AVERAGE(QUERY(SORT(GOOGLEFINANCE(B1138,""price"",TODAY()-365,TODAY()),1,0),""select Col2 limit 60""))"),327.21416666666664)</f>
        <v>327.2141667</v>
      </c>
      <c r="L1138" s="17">
        <f>IFERROR(__xludf.DUMMYFUNCTION("AVERAGE(QUERY(SORT(GOOGLEFINANCE(B1138,""price"",TODAY()-365,TODAY()),1,0),""select Col2 limit 90""))"),326.72888888888895)</f>
        <v>326.7288889</v>
      </c>
      <c r="M1138" s="17">
        <f>IFERROR(__xludf.DUMMYFUNCTION("AVERAGE(QUERY(SORT(GOOGLEFINANCE(B1138,""price"",TODAY()-365,TODAY()),1,0),""select Col2 limit 120""))"),326.43041666666676)</f>
        <v>326.4304167</v>
      </c>
      <c r="N1138" s="19">
        <f>IFERROR(__xludf.DUMMYFUNCTION("AVERAGE(QUERY(SORT(GOOGLEFINANCE(B1138,""price"",TODAY()-365,TODAY()),1,0),""select Col2 limit 200""))"),360.2127500000001)</f>
        <v>360.21275</v>
      </c>
      <c r="O1138" s="20" t="str">
        <f t="shared" si="2"/>
        <v>Avoid</v>
      </c>
      <c r="P1138" s="21" t="str">
        <f t="shared" si="3"/>
        <v/>
      </c>
      <c r="Q1138" s="21" t="str">
        <f t="shared" si="4"/>
        <v/>
      </c>
      <c r="R1138" s="22">
        <f>IFERROR(__xludf.DUMMYFUNCTION("GOOGLEFINANCE(B1138, ""pe"")
"),12.55)</f>
        <v>12.55</v>
      </c>
    </row>
    <row r="1139">
      <c r="A1139" s="9" t="s">
        <v>1149</v>
      </c>
      <c r="B1139" s="11" t="str">
        <f t="shared" si="1"/>
        <v>NSE:HITECHGEAR</v>
      </c>
      <c r="C1139" s="12">
        <f>IFERROR(__xludf.DUMMYFUNCTION("GOOGLEFINANCE(B1139,""marketcap"")/10000000"),1324.7334187)</f>
        <v>1324.733419</v>
      </c>
      <c r="D1139" s="13">
        <f>IFERROR(__xludf.DUMMYFUNCTION("GOOGLEFINANCE(B1139,""price"")"),697.0)</f>
        <v>697</v>
      </c>
      <c r="E1139" s="14">
        <f>IFERROR(__xludf.DUMMYFUNCTION("GOOGLEFINANCE(B1139,""Volume"")"),426.0)</f>
        <v>426</v>
      </c>
      <c r="F1139" s="14">
        <f t="array" ref="F1139">F1138</f>
        <v>14</v>
      </c>
      <c r="G1139" s="15" t="str">
        <f>IFERROR(__xludf.DUMMYFUNCTION("IF(E1139&gt;AVERAGE(INDEX(GOOGLEFINANCE(B1139,""volume"",WORKDAY(TODAY(),-$F$1),TODAY()),,2)),""Breakout"","""")"),"")</f>
        <v/>
      </c>
      <c r="H1139" s="16">
        <f>IFERROR(__xludf.DUMMYFUNCTION("GOOGLEFINANCE(B1139,""price"")"),697.0)</f>
        <v>697</v>
      </c>
      <c r="I1139" s="17">
        <f>IFERROR(__xludf.DUMMYFUNCTION("AVERAGE(QUERY(SORT(GOOGLEFINANCE(B1139,""price"",TODAY()-365,TODAY()),1,0),""select Col2 limit 10""))"),685.7)</f>
        <v>685.7</v>
      </c>
      <c r="J1139" s="17">
        <f>IFERROR(__xludf.DUMMYFUNCTION("AVERAGE(QUERY(SORT(GOOGLEFINANCE(B1139,""price"",TODAY()-365,TODAY()),1,0),""select Col2 limit 30""))"),718.32)</f>
        <v>718.32</v>
      </c>
      <c r="K1139" s="18">
        <f>IFERROR(__xludf.DUMMYFUNCTION("AVERAGE(QUERY(SORT(GOOGLEFINANCE(B1139,""price"",TODAY()-365,TODAY()),1,0),""select Col2 limit 60""))"),676.7291666666667)</f>
        <v>676.7291667</v>
      </c>
      <c r="L1139" s="17">
        <f>IFERROR(__xludf.DUMMYFUNCTION("AVERAGE(QUERY(SORT(GOOGLEFINANCE(B1139,""price"",TODAY()-365,TODAY()),1,0),""select Col2 limit 90""))"),649.2250000000001)</f>
        <v>649.225</v>
      </c>
      <c r="M1139" s="17">
        <f>IFERROR(__xludf.DUMMYFUNCTION("AVERAGE(QUERY(SORT(GOOGLEFINANCE(B1139,""price"",TODAY()-365,TODAY()),1,0),""select Col2 limit 120""))"),650.6604166666663)</f>
        <v>650.6604167</v>
      </c>
      <c r="N1139" s="19">
        <f>IFERROR(__xludf.DUMMYFUNCTION("AVERAGE(QUERY(SORT(GOOGLEFINANCE(B1139,""price"",TODAY()-365,TODAY()),1,0),""select Col2 limit 200""))"),716.0094999999997)</f>
        <v>716.0095</v>
      </c>
      <c r="O1139" s="20" t="str">
        <f t="shared" si="2"/>
        <v>Avoid</v>
      </c>
      <c r="P1139" s="21" t="str">
        <f t="shared" si="3"/>
        <v/>
      </c>
      <c r="Q1139" s="21" t="str">
        <f t="shared" si="4"/>
        <v/>
      </c>
      <c r="R1139" s="22">
        <f>IFERROR(__xludf.DUMMYFUNCTION("GOOGLEFINANCE(B1139, ""pe"")
"),32.85)</f>
        <v>32.85</v>
      </c>
    </row>
    <row r="1140">
      <c r="A1140" s="9" t="s">
        <v>1150</v>
      </c>
      <c r="B1140" s="11" t="str">
        <f t="shared" si="1"/>
        <v>NSE:RAMRAT</v>
      </c>
      <c r="C1140" s="12">
        <f>IFERROR(__xludf.DUMMYFUNCTION("GOOGLEFINANCE(B1140,""marketcap"")/10000000"),3311.648583)</f>
        <v>3311.648583</v>
      </c>
      <c r="D1140" s="13">
        <f>IFERROR(__xludf.DUMMYFUNCTION("GOOGLEFINANCE(B1140,""price"")"),713.45)</f>
        <v>713.45</v>
      </c>
      <c r="E1140" s="14">
        <f>IFERROR(__xludf.DUMMYFUNCTION("GOOGLEFINANCE(B1140,""Volume"")"),52620.0)</f>
        <v>52620</v>
      </c>
      <c r="F1140" s="14">
        <f t="array" ref="F1140">F1139</f>
        <v>14</v>
      </c>
      <c r="G1140" s="15" t="str">
        <f>IFERROR(__xludf.DUMMYFUNCTION("IF(E1140&gt;AVERAGE(INDEX(GOOGLEFINANCE(B1140,""volume"",WORKDAY(TODAY(),-$F$1),TODAY()),,2)),""Breakout"","""")"),"Breakout")</f>
        <v>Breakout</v>
      </c>
      <c r="H1140" s="16">
        <f>IFERROR(__xludf.DUMMYFUNCTION("GOOGLEFINANCE(B1140,""price"")"),713.45)</f>
        <v>713.45</v>
      </c>
      <c r="I1140" s="17">
        <f>IFERROR(__xludf.DUMMYFUNCTION("AVERAGE(QUERY(SORT(GOOGLEFINANCE(B1140,""price"",TODAY()-365,TODAY()),1,0),""select Col2 limit 10""))"),679.3549999999999)</f>
        <v>679.355</v>
      </c>
      <c r="J1140" s="17">
        <f>IFERROR(__xludf.DUMMYFUNCTION("AVERAGE(QUERY(SORT(GOOGLEFINANCE(B1140,""price"",TODAY()-365,TODAY()),1,0),""select Col2 limit 30""))"),677.4833333333333)</f>
        <v>677.4833333</v>
      </c>
      <c r="K1140" s="18">
        <f>IFERROR(__xludf.DUMMYFUNCTION("AVERAGE(QUERY(SORT(GOOGLEFINANCE(B1140,""price"",TODAY()-365,TODAY()),1,0),""select Col2 limit 60""))"),643.2408333333334)</f>
        <v>643.2408333</v>
      </c>
      <c r="L1140" s="17">
        <f>IFERROR(__xludf.DUMMYFUNCTION("AVERAGE(QUERY(SORT(GOOGLEFINANCE(B1140,""price"",TODAY()-365,TODAY()),1,0),""select Col2 limit 90""))"),604.8444444444443)</f>
        <v>604.8444444</v>
      </c>
      <c r="M1140" s="17">
        <f>IFERROR(__xludf.DUMMYFUNCTION("AVERAGE(QUERY(SORT(GOOGLEFINANCE(B1140,""price"",TODAY()-365,TODAY()),1,0),""select Col2 limit 120""))"),584.9445833333332)</f>
        <v>584.9445833</v>
      </c>
      <c r="N1140" s="19">
        <f>IFERROR(__xludf.DUMMYFUNCTION("AVERAGE(QUERY(SORT(GOOGLEFINANCE(B1140,""price"",TODAY()-365,TODAY()),1,0),""select Col2 limit 200""))"),590.7264999999998)</f>
        <v>590.7265</v>
      </c>
      <c r="O1140" s="20" t="str">
        <f t="shared" si="2"/>
        <v>Avoid</v>
      </c>
      <c r="P1140" s="21" t="str">
        <f t="shared" si="3"/>
        <v/>
      </c>
      <c r="Q1140" s="21" t="str">
        <f t="shared" si="4"/>
        <v/>
      </c>
      <c r="R1140" s="22">
        <f>IFERROR(__xludf.DUMMYFUNCTION("GOOGLEFINANCE(B1140, ""pe"")
"),49.74)</f>
        <v>49.74</v>
      </c>
    </row>
    <row r="1141">
      <c r="A1141" s="9" t="s">
        <v>1151</v>
      </c>
      <c r="B1141" s="11" t="str">
        <f t="shared" si="1"/>
        <v>NSE:NELCO</v>
      </c>
      <c r="C1141" s="12">
        <f>IFERROR(__xludf.DUMMYFUNCTION("GOOGLEFINANCE(B1141,""marketcap"")/10000000"),1919.7119641)</f>
        <v>1919.711964</v>
      </c>
      <c r="D1141" s="13">
        <f>IFERROR(__xludf.DUMMYFUNCTION("GOOGLEFINANCE(B1141,""price"")"),842.4)</f>
        <v>842.4</v>
      </c>
      <c r="E1141" s="14">
        <f>IFERROR(__xludf.DUMMYFUNCTION("GOOGLEFINANCE(B1141,""Volume"")"),27153.0)</f>
        <v>27153</v>
      </c>
      <c r="F1141" s="14">
        <f t="array" ref="F1141">F1140</f>
        <v>14</v>
      </c>
      <c r="G1141" s="15" t="str">
        <f>IFERROR(__xludf.DUMMYFUNCTION("IF(E1141&gt;AVERAGE(INDEX(GOOGLEFINANCE(B1141,""volume"",WORKDAY(TODAY(),-$F$1),TODAY()),,2)),""Breakout"","""")"),"")</f>
        <v/>
      </c>
      <c r="H1141" s="16">
        <f>IFERROR(__xludf.DUMMYFUNCTION("GOOGLEFINANCE(B1141,""price"")"),842.4)</f>
        <v>842.4</v>
      </c>
      <c r="I1141" s="17">
        <f>IFERROR(__xludf.DUMMYFUNCTION("AVERAGE(QUERY(SORT(GOOGLEFINANCE(B1141,""price"",TODAY()-365,TODAY()),1,0),""select Col2 limit 10""))"),876.3699999999999)</f>
        <v>876.37</v>
      </c>
      <c r="J1141" s="17">
        <f>IFERROR(__xludf.DUMMYFUNCTION("AVERAGE(QUERY(SORT(GOOGLEFINANCE(B1141,""price"",TODAY()-365,TODAY()),1,0),""select Col2 limit 30""))"),977.4566666666667)</f>
        <v>977.4566667</v>
      </c>
      <c r="K1141" s="18">
        <f>IFERROR(__xludf.DUMMYFUNCTION("AVERAGE(QUERY(SORT(GOOGLEFINANCE(B1141,""price"",TODAY()-365,TODAY()),1,0),""select Col2 limit 60""))"),939.0091666666665)</f>
        <v>939.0091667</v>
      </c>
      <c r="L1141" s="17">
        <f>IFERROR(__xludf.DUMMYFUNCTION("AVERAGE(QUERY(SORT(GOOGLEFINANCE(B1141,""price"",TODAY()-365,TODAY()),1,0),""select Col2 limit 90""))"),913.3483333333329)</f>
        <v>913.3483333</v>
      </c>
      <c r="M1141" s="17">
        <f>IFERROR(__xludf.DUMMYFUNCTION("AVERAGE(QUERY(SORT(GOOGLEFINANCE(B1141,""price"",TODAY()-365,TODAY()),1,0),""select Col2 limit 120""))"),904.9074999999998)</f>
        <v>904.9075</v>
      </c>
      <c r="N1141" s="19">
        <f>IFERROR(__xludf.DUMMYFUNCTION("AVERAGE(QUERY(SORT(GOOGLEFINANCE(B1141,""price"",TODAY()-365,TODAY()),1,0),""select Col2 limit 200""))"),987.3199999999998)</f>
        <v>987.32</v>
      </c>
      <c r="O1141" s="20" t="str">
        <f t="shared" si="2"/>
        <v>Avoid</v>
      </c>
      <c r="P1141" s="21" t="str">
        <f t="shared" si="3"/>
        <v/>
      </c>
      <c r="Q1141" s="21" t="str">
        <f t="shared" si="4"/>
        <v/>
      </c>
      <c r="R1141" s="22">
        <f>IFERROR(__xludf.DUMMYFUNCTION("GOOGLEFINANCE(B1141, ""pe"")
"),283.86)</f>
        <v>283.86</v>
      </c>
    </row>
    <row r="1142">
      <c r="A1142" s="9" t="s">
        <v>1152</v>
      </c>
      <c r="B1142" s="11" t="str">
        <f t="shared" si="1"/>
        <v>NSE:JPASSOCIAT</v>
      </c>
      <c r="C1142" s="12">
        <f>IFERROR(__xludf.DUMMYFUNCTION("GOOGLEFINANCE(B1142,""marketcap"")/10000000"),738.8330926)</f>
        <v>738.8330926</v>
      </c>
      <c r="D1142" s="13">
        <f>IFERROR(__xludf.DUMMYFUNCTION("GOOGLEFINANCE(B1142,""price"")"),3.01)</f>
        <v>3.01</v>
      </c>
      <c r="E1142" s="14">
        <f>IFERROR(__xludf.DUMMYFUNCTION("GOOGLEFINANCE(B1142,""Volume"")"),1583969.0)</f>
        <v>1583969</v>
      </c>
      <c r="F1142" s="14">
        <f t="array" ref="F1142">F1141</f>
        <v>14</v>
      </c>
      <c r="G1142" s="15" t="str">
        <f>IFERROR(__xludf.DUMMYFUNCTION("IF(E1142&gt;AVERAGE(INDEX(GOOGLEFINANCE(B1142,""volume"",WORKDAY(TODAY(),-$F$1),TODAY()),,2)),""Breakout"","""")"),"")</f>
        <v/>
      </c>
      <c r="H1142" s="16">
        <f>IFERROR(__xludf.DUMMYFUNCTION("GOOGLEFINANCE(B1142,""price"")"),3.01)</f>
        <v>3.01</v>
      </c>
      <c r="I1142" s="17">
        <f>IFERROR(__xludf.DUMMYFUNCTION("AVERAGE(QUERY(SORT(GOOGLEFINANCE(B1142,""price"",TODAY()-365,TODAY()),1,0),""select Col2 limit 10""))"),3.2619999999999996)</f>
        <v>3.262</v>
      </c>
      <c r="J1142" s="17">
        <f>IFERROR(__xludf.DUMMYFUNCTION("AVERAGE(QUERY(SORT(GOOGLEFINANCE(B1142,""price"",TODAY()-365,TODAY()),1,0),""select Col2 limit 30""))"),3.269333333333333)</f>
        <v>3.269333333</v>
      </c>
      <c r="K1142" s="18">
        <f>IFERROR(__xludf.DUMMYFUNCTION("AVERAGE(QUERY(SORT(GOOGLEFINANCE(B1142,""price"",TODAY()-365,TODAY()),1,0),""select Col2 limit 60""))"),3.7323333333333326)</f>
        <v>3.732333333</v>
      </c>
      <c r="L1142" s="17">
        <f>IFERROR(__xludf.DUMMYFUNCTION("AVERAGE(QUERY(SORT(GOOGLEFINANCE(B1142,""price"",TODAY()-365,TODAY()),1,0),""select Col2 limit 90""))"),4.674999999999999)</f>
        <v>4.675</v>
      </c>
      <c r="M1142" s="17">
        <f>IFERROR(__xludf.DUMMYFUNCTION("AVERAGE(QUERY(SORT(GOOGLEFINANCE(B1142,""price"",TODAY()-365,TODAY()),1,0),""select Col2 limit 120""))"),5.2364150943396215)</f>
        <v>5.236415094</v>
      </c>
      <c r="N1142" s="19">
        <f>IFERROR(__xludf.DUMMYFUNCTION("AVERAGE(QUERY(SORT(GOOGLEFINANCE(B1142,""price"",TODAY()-365,TODAY()),1,0),""select Col2 limit 200""))"),5.2364150943396215)</f>
        <v>5.236415094</v>
      </c>
      <c r="O1142" s="20" t="str">
        <f t="shared" si="2"/>
        <v>Avoid</v>
      </c>
      <c r="P1142" s="21" t="str">
        <f t="shared" si="3"/>
        <v/>
      </c>
      <c r="Q1142" s="21" t="str">
        <f t="shared" si="4"/>
        <v/>
      </c>
      <c r="R1142" s="22" t="str">
        <f>IFERROR(__xludf.DUMMYFUNCTION("GOOGLEFINANCE(B1142, ""pe"")
"),"#N/A")</f>
        <v>#N/A</v>
      </c>
    </row>
    <row r="1143">
      <c r="A1143" s="9" t="s">
        <v>1153</v>
      </c>
      <c r="B1143" s="11" t="str">
        <f t="shared" si="1"/>
        <v>NSE:PRECAM</v>
      </c>
      <c r="C1143" s="12">
        <f>IFERROR(__xludf.DUMMYFUNCTION("GOOGLEFINANCE(B1143,""marketcap"")/10000000"),1756.762342)</f>
        <v>1756.762342</v>
      </c>
      <c r="D1143" s="13">
        <f>IFERROR(__xludf.DUMMYFUNCTION("GOOGLEFINANCE(B1143,""price"")"),185.06)</f>
        <v>185.06</v>
      </c>
      <c r="E1143" s="14">
        <f>IFERROR(__xludf.DUMMYFUNCTION("GOOGLEFINANCE(B1143,""Volume"")"),95427.0)</f>
        <v>95427</v>
      </c>
      <c r="F1143" s="14">
        <f t="array" ref="F1143">F1142</f>
        <v>14</v>
      </c>
      <c r="G1143" s="15" t="str">
        <f>IFERROR(__xludf.DUMMYFUNCTION("IF(E1143&gt;AVERAGE(INDEX(GOOGLEFINANCE(B1143,""volume"",WORKDAY(TODAY(),-$F$1),TODAY()),,2)),""Breakout"","""")"),"#N/A")</f>
        <v>#N/A</v>
      </c>
      <c r="H1143" s="16">
        <f>IFERROR(__xludf.DUMMYFUNCTION("GOOGLEFINANCE(B1143,""price"")"),185.06)</f>
        <v>185.06</v>
      </c>
      <c r="I1143" s="17">
        <f>IFERROR(__xludf.DUMMYFUNCTION("AVERAGE(QUERY(SORT(GOOGLEFINANCE(B1143,""price"",TODAY()-365,TODAY()),1,0),""select Col2 limit 10""))"),200.517)</f>
        <v>200.517</v>
      </c>
      <c r="J1143" s="17">
        <f>IFERROR(__xludf.DUMMYFUNCTION("AVERAGE(QUERY(SORT(GOOGLEFINANCE(B1143,""price"",TODAY()-365,TODAY()),1,0),""select Col2 limit 30""))"),205.2766666666666)</f>
        <v>205.2766667</v>
      </c>
      <c r="K1143" s="18">
        <f>IFERROR(__xludf.DUMMYFUNCTION("AVERAGE(QUERY(SORT(GOOGLEFINANCE(B1143,""price"",TODAY()-365,TODAY()),1,0),""select Col2 limit 60""))"),195.69266666666664)</f>
        <v>195.6926667</v>
      </c>
      <c r="L1143" s="17">
        <f>IFERROR(__xludf.DUMMYFUNCTION("AVERAGE(QUERY(SORT(GOOGLEFINANCE(B1143,""price"",TODAY()-365,TODAY()),1,0),""select Col2 limit 90""))"),186.69722222222225)</f>
        <v>186.6972222</v>
      </c>
      <c r="M1143" s="17">
        <f>IFERROR(__xludf.DUMMYFUNCTION("AVERAGE(QUERY(SORT(GOOGLEFINANCE(B1143,""price"",TODAY()-365,TODAY()),1,0),""select Col2 limit 120""))"),194.89308333333338)</f>
        <v>194.8930833</v>
      </c>
      <c r="N1143" s="19">
        <f>IFERROR(__xludf.DUMMYFUNCTION("AVERAGE(QUERY(SORT(GOOGLEFINANCE(B1143,""price"",TODAY()-365,TODAY()),1,0),""select Col2 limit 200""))"),243.06305000000003)</f>
        <v>243.06305</v>
      </c>
      <c r="O1143" s="20" t="str">
        <f t="shared" si="2"/>
        <v>Avoid</v>
      </c>
      <c r="P1143" s="21" t="str">
        <f t="shared" si="3"/>
        <v>90 DMA</v>
      </c>
      <c r="Q1143" s="21" t="str">
        <f t="shared" si="4"/>
        <v/>
      </c>
      <c r="R1143" s="22">
        <f>IFERROR(__xludf.DUMMYFUNCTION("GOOGLEFINANCE(B1143, ""pe"")
"),32.47)</f>
        <v>32.47</v>
      </c>
    </row>
    <row r="1144">
      <c r="A1144" s="9" t="s">
        <v>1154</v>
      </c>
      <c r="B1144" s="11" t="str">
        <f t="shared" si="1"/>
        <v>NSE:EIMCOELECO</v>
      </c>
      <c r="C1144" s="12">
        <f>IFERROR(__xludf.DUMMYFUNCTION("GOOGLEFINANCE(B1144,""marketcap"")/10000000"),1401.6598148)</f>
        <v>1401.659815</v>
      </c>
      <c r="D1144" s="13">
        <f>IFERROR(__xludf.DUMMYFUNCTION("GOOGLEFINANCE(B1144,""price"")"),2413.3)</f>
        <v>2413.3</v>
      </c>
      <c r="E1144" s="14">
        <f>IFERROR(__xludf.DUMMYFUNCTION("GOOGLEFINANCE(B1144,""Volume"")"),14656.0)</f>
        <v>14656</v>
      </c>
      <c r="F1144" s="14">
        <f t="array" ref="F1144">F1143</f>
        <v>14</v>
      </c>
      <c r="G1144" s="15" t="str">
        <f>IFERROR(__xludf.DUMMYFUNCTION("IF(E1144&gt;AVERAGE(INDEX(GOOGLEFINANCE(B1144,""volume"",WORKDAY(TODAY(),-$F$1),TODAY()),,2)),""Breakout"","""")"),"")</f>
        <v/>
      </c>
      <c r="H1144" s="16">
        <f>IFERROR(__xludf.DUMMYFUNCTION("GOOGLEFINANCE(B1144,""price"")"),2413.3)</f>
        <v>2413.3</v>
      </c>
      <c r="I1144" s="17">
        <f>IFERROR(__xludf.DUMMYFUNCTION("AVERAGE(QUERY(SORT(GOOGLEFINANCE(B1144,""price"",TODAY()-365,TODAY()),1,0),""select Col2 limit 10""))"),2395.3599999999997)</f>
        <v>2395.36</v>
      </c>
      <c r="J1144" s="17">
        <f>IFERROR(__xludf.DUMMYFUNCTION("AVERAGE(QUERY(SORT(GOOGLEFINANCE(B1144,""price"",TODAY()-365,TODAY()),1,0),""select Col2 limit 30""))"),2498.0833333333335)</f>
        <v>2498.083333</v>
      </c>
      <c r="K1144" s="18">
        <f>IFERROR(__xludf.DUMMYFUNCTION("AVERAGE(QUERY(SORT(GOOGLEFINANCE(B1144,""price"",TODAY()-365,TODAY()),1,0),""select Col2 limit 60""))"),2343.911666666667)</f>
        <v>2343.911667</v>
      </c>
      <c r="L1144" s="17">
        <f>IFERROR(__xludf.DUMMYFUNCTION("AVERAGE(QUERY(SORT(GOOGLEFINANCE(B1144,""price"",TODAY()-365,TODAY()),1,0),""select Col2 limit 90""))"),2093.7877777777762)</f>
        <v>2093.787778</v>
      </c>
      <c r="M1144" s="17">
        <f>IFERROR(__xludf.DUMMYFUNCTION("AVERAGE(QUERY(SORT(GOOGLEFINANCE(B1144,""price"",TODAY()-365,TODAY()),1,0),""select Col2 limit 120""))"),1948.6412499999997)</f>
        <v>1948.64125</v>
      </c>
      <c r="N1144" s="19">
        <f>IFERROR(__xludf.DUMMYFUNCTION("AVERAGE(QUERY(SORT(GOOGLEFINANCE(B1144,""price"",TODAY()-365,TODAY()),1,0),""select Col2 limit 200""))"),2126.3649999999993)</f>
        <v>2126.365</v>
      </c>
      <c r="O1144" s="20" t="str">
        <f t="shared" si="2"/>
        <v>Avoid</v>
      </c>
      <c r="P1144" s="21" t="str">
        <f t="shared" si="3"/>
        <v/>
      </c>
      <c r="Q1144" s="21" t="str">
        <f t="shared" si="4"/>
        <v/>
      </c>
      <c r="R1144" s="22">
        <f>IFERROR(__xludf.DUMMYFUNCTION("GOOGLEFINANCE(B1144, ""pe"")
"),28.64)</f>
        <v>28.64</v>
      </c>
    </row>
    <row r="1145">
      <c r="A1145" s="9" t="s">
        <v>1155</v>
      </c>
      <c r="B1145" s="11" t="str">
        <f t="shared" si="1"/>
        <v>NSE:FAIRCHEMOR</v>
      </c>
      <c r="C1145" s="12">
        <f>IFERROR(__xludf.DUMMYFUNCTION("GOOGLEFINANCE(B1145,""marketcap"")/10000000"),1164.9709918)</f>
        <v>1164.970992</v>
      </c>
      <c r="D1145" s="13">
        <f>IFERROR(__xludf.DUMMYFUNCTION("GOOGLEFINANCE(B1145,""price"")"),894.0)</f>
        <v>894</v>
      </c>
      <c r="E1145" s="14">
        <f>IFERROR(__xludf.DUMMYFUNCTION("GOOGLEFINANCE(B1145,""Volume"")"),4193.0)</f>
        <v>4193</v>
      </c>
      <c r="F1145" s="14">
        <f t="array" ref="F1145">F1144</f>
        <v>14</v>
      </c>
      <c r="G1145" s="15" t="str">
        <f>IFERROR(__xludf.DUMMYFUNCTION("IF(E1145&gt;AVERAGE(INDEX(GOOGLEFINANCE(B1145,""volume"",WORKDAY(TODAY(),-$F$1),TODAY()),,2)),""Breakout"","""")"),"")</f>
        <v/>
      </c>
      <c r="H1145" s="16">
        <f>IFERROR(__xludf.DUMMYFUNCTION("GOOGLEFINANCE(B1145,""price"")"),894.0)</f>
        <v>894</v>
      </c>
      <c r="I1145" s="17">
        <f>IFERROR(__xludf.DUMMYFUNCTION("AVERAGE(QUERY(SORT(GOOGLEFINANCE(B1145,""price"",TODAY()-365,TODAY()),1,0),""select Col2 limit 10""))"),949.6899999999999)</f>
        <v>949.69</v>
      </c>
      <c r="J1145" s="17">
        <f>IFERROR(__xludf.DUMMYFUNCTION("AVERAGE(QUERY(SORT(GOOGLEFINANCE(B1145,""price"",TODAY()-365,TODAY()),1,0),""select Col2 limit 30""))"),958.6850000000001)</f>
        <v>958.685</v>
      </c>
      <c r="K1145" s="18">
        <f>IFERROR(__xludf.DUMMYFUNCTION("AVERAGE(QUERY(SORT(GOOGLEFINANCE(B1145,""price"",TODAY()-365,TODAY()),1,0),""select Col2 limit 60""))"),911.7724999999997)</f>
        <v>911.7725</v>
      </c>
      <c r="L1145" s="17">
        <f>IFERROR(__xludf.DUMMYFUNCTION("AVERAGE(QUERY(SORT(GOOGLEFINANCE(B1145,""price"",TODAY()-365,TODAY()),1,0),""select Col2 limit 90""))"),906.6983333333334)</f>
        <v>906.6983333</v>
      </c>
      <c r="M1145" s="17">
        <f>IFERROR(__xludf.DUMMYFUNCTION("AVERAGE(QUERY(SORT(GOOGLEFINANCE(B1145,""price"",TODAY()-365,TODAY()),1,0),""select Col2 limit 120""))"),927.8658333333334)</f>
        <v>927.8658333</v>
      </c>
      <c r="N1145" s="19">
        <f>IFERROR(__xludf.DUMMYFUNCTION("AVERAGE(QUERY(SORT(GOOGLEFINANCE(B1145,""price"",TODAY()-365,TODAY()),1,0),""select Col2 limit 200""))"),969.5235000000002)</f>
        <v>969.5235</v>
      </c>
      <c r="O1145" s="20" t="str">
        <f t="shared" si="2"/>
        <v>Avoid</v>
      </c>
      <c r="P1145" s="21" t="str">
        <f t="shared" si="3"/>
        <v/>
      </c>
      <c r="Q1145" s="21" t="str">
        <f t="shared" si="4"/>
        <v/>
      </c>
      <c r="R1145" s="22">
        <f>IFERROR(__xludf.DUMMYFUNCTION("GOOGLEFINANCE(B1145, ""pe"")
"),52.97)</f>
        <v>52.97</v>
      </c>
    </row>
    <row r="1146">
      <c r="A1146" s="9" t="s">
        <v>1156</v>
      </c>
      <c r="B1146" s="11" t="str">
        <f t="shared" si="1"/>
        <v>NSE:WALCHANNAG</v>
      </c>
      <c r="C1146" s="12">
        <f>IFERROR(__xludf.DUMMYFUNCTION("GOOGLEFINANCE(B1146,""marketcap"")/10000000"),1387.4553607)</f>
        <v>1387.455361</v>
      </c>
      <c r="D1146" s="13">
        <f>IFERROR(__xludf.DUMMYFUNCTION("GOOGLEFINANCE(B1146,""price"")"),203.35)</f>
        <v>203.35</v>
      </c>
      <c r="E1146" s="14">
        <f>IFERROR(__xludf.DUMMYFUNCTION("GOOGLEFINANCE(B1146,""Volume"")"),23956.0)</f>
        <v>23956</v>
      </c>
      <c r="F1146" s="14">
        <f t="array" ref="F1146">F1145</f>
        <v>14</v>
      </c>
      <c r="G1146" s="15" t="str">
        <f>IFERROR(__xludf.DUMMYFUNCTION("IF(E1146&gt;AVERAGE(INDEX(GOOGLEFINANCE(B1146,""volume"",WORKDAY(TODAY(),-$F$1),TODAY()),,2)),""Breakout"","""")"),"")</f>
        <v/>
      </c>
      <c r="H1146" s="16">
        <f>IFERROR(__xludf.DUMMYFUNCTION("GOOGLEFINANCE(B1146,""price"")"),203.35)</f>
        <v>203.35</v>
      </c>
      <c r="I1146" s="17">
        <f>IFERROR(__xludf.DUMMYFUNCTION("AVERAGE(QUERY(SORT(GOOGLEFINANCE(B1146,""price"",TODAY()-365,TODAY()),1,0),""select Col2 limit 10""))"),211.872)</f>
        <v>211.872</v>
      </c>
      <c r="J1146" s="17">
        <f>IFERROR(__xludf.DUMMYFUNCTION("AVERAGE(QUERY(SORT(GOOGLEFINANCE(B1146,""price"",TODAY()-365,TODAY()),1,0),""select Col2 limit 30""))"),220.4916666666667)</f>
        <v>220.4916667</v>
      </c>
      <c r="K1146" s="18">
        <f>IFERROR(__xludf.DUMMYFUNCTION("AVERAGE(QUERY(SORT(GOOGLEFINANCE(B1146,""price"",TODAY()-365,TODAY()),1,0),""select Col2 limit 60""))"),219.5104999999999)</f>
        <v>219.5105</v>
      </c>
      <c r="L1146" s="17">
        <f>IFERROR(__xludf.DUMMYFUNCTION("AVERAGE(QUERY(SORT(GOOGLEFINANCE(B1146,""price"",TODAY()-365,TODAY()),1,0),""select Col2 limit 90""))"),204.5478888888888)</f>
        <v>204.5478889</v>
      </c>
      <c r="M1146" s="17">
        <f>IFERROR(__xludf.DUMMYFUNCTION("AVERAGE(QUERY(SORT(GOOGLEFINANCE(B1146,""price"",TODAY()-365,TODAY()),1,0),""select Col2 limit 120""))"),201.55983333333327)</f>
        <v>201.5598333</v>
      </c>
      <c r="N1146" s="19">
        <f>IFERROR(__xludf.DUMMYFUNCTION("AVERAGE(QUERY(SORT(GOOGLEFINANCE(B1146,""price"",TODAY()-365,TODAY()),1,0),""select Col2 limit 200""))"),229.57089999999994)</f>
        <v>229.5709</v>
      </c>
      <c r="O1146" s="20" t="str">
        <f t="shared" si="2"/>
        <v>Avoid</v>
      </c>
      <c r="P1146" s="21" t="str">
        <f t="shared" si="3"/>
        <v>90 DMA</v>
      </c>
      <c r="Q1146" s="21" t="str">
        <f t="shared" si="4"/>
        <v/>
      </c>
      <c r="R1146" s="22" t="str">
        <f>IFERROR(__xludf.DUMMYFUNCTION("GOOGLEFINANCE(B1146, ""pe"")
"),"#N/A")</f>
        <v>#N/A</v>
      </c>
    </row>
    <row r="1147">
      <c r="A1147" s="9" t="s">
        <v>1157</v>
      </c>
      <c r="B1147" s="11" t="str">
        <f t="shared" si="1"/>
        <v>NSE:KIRIINDUS</v>
      </c>
      <c r="C1147" s="12">
        <f>IFERROR(__xludf.DUMMYFUNCTION("GOOGLEFINANCE(B1147,""marketcap"")/10000000"),3096.3077777)</f>
        <v>3096.307778</v>
      </c>
      <c r="D1147" s="13">
        <f>IFERROR(__xludf.DUMMYFUNCTION("GOOGLEFINANCE(B1147,""price"")"),557.7)</f>
        <v>557.7</v>
      </c>
      <c r="E1147" s="14">
        <f>IFERROR(__xludf.DUMMYFUNCTION("GOOGLEFINANCE(B1147,""Volume"")"),99503.0)</f>
        <v>99503</v>
      </c>
      <c r="F1147" s="14">
        <f t="array" ref="F1147">F1146</f>
        <v>14</v>
      </c>
      <c r="G1147" s="15" t="str">
        <f>IFERROR(__xludf.DUMMYFUNCTION("IF(E1147&gt;AVERAGE(INDEX(GOOGLEFINANCE(B1147,""volume"",WORKDAY(TODAY(),-$F$1),TODAY()),,2)),""Breakout"","""")"),"")</f>
        <v/>
      </c>
      <c r="H1147" s="16">
        <f>IFERROR(__xludf.DUMMYFUNCTION("GOOGLEFINANCE(B1147,""price"")"),557.7)</f>
        <v>557.7</v>
      </c>
      <c r="I1147" s="17">
        <f>IFERROR(__xludf.DUMMYFUNCTION("AVERAGE(QUERY(SORT(GOOGLEFINANCE(B1147,""price"",TODAY()-365,TODAY()),1,0),""select Col2 limit 10""))"),574.45)</f>
        <v>574.45</v>
      </c>
      <c r="J1147" s="17">
        <f>IFERROR(__xludf.DUMMYFUNCTION("AVERAGE(QUERY(SORT(GOOGLEFINANCE(B1147,""price"",TODAY()-365,TODAY()),1,0),""select Col2 limit 30""))"),572.945)</f>
        <v>572.945</v>
      </c>
      <c r="K1147" s="18">
        <f>IFERROR(__xludf.DUMMYFUNCTION("AVERAGE(QUERY(SORT(GOOGLEFINANCE(B1147,""price"",TODAY()-365,TODAY()),1,0),""select Col2 limit 60""))"),602.1266666666667)</f>
        <v>602.1266667</v>
      </c>
      <c r="L1147" s="17">
        <f>IFERROR(__xludf.DUMMYFUNCTION("AVERAGE(QUERY(SORT(GOOGLEFINANCE(B1147,""price"",TODAY()-365,TODAY()),1,0),""select Col2 limit 90""))"),605.0727777777778)</f>
        <v>605.0727778</v>
      </c>
      <c r="M1147" s="17">
        <f>IFERROR(__xludf.DUMMYFUNCTION("AVERAGE(QUERY(SORT(GOOGLEFINANCE(B1147,""price"",TODAY()-365,TODAY()),1,0),""select Col2 limit 120""))"),597.9266666666667)</f>
        <v>597.9266667</v>
      </c>
      <c r="N1147" s="19">
        <f>IFERROR(__xludf.DUMMYFUNCTION("AVERAGE(QUERY(SORT(GOOGLEFINANCE(B1147,""price"",TODAY()-365,TODAY()),1,0),""select Col2 limit 200""))"),565.3509999999999)</f>
        <v>565.351</v>
      </c>
      <c r="O1147" s="20" t="str">
        <f t="shared" si="2"/>
        <v>Avoid</v>
      </c>
      <c r="P1147" s="21" t="str">
        <f t="shared" si="3"/>
        <v/>
      </c>
      <c r="Q1147" s="21" t="str">
        <f t="shared" si="4"/>
        <v/>
      </c>
      <c r="R1147" s="22">
        <f>IFERROR(__xludf.DUMMYFUNCTION("GOOGLEFINANCE(B1147, ""pe"")
"),13.0)</f>
        <v>13</v>
      </c>
    </row>
    <row r="1148">
      <c r="A1148" s="9" t="s">
        <v>1158</v>
      </c>
      <c r="B1148" s="11" t="str">
        <f t="shared" si="1"/>
        <v>NSE:MACPOWER</v>
      </c>
      <c r="C1148" s="12">
        <f>IFERROR(__xludf.DUMMYFUNCTION("GOOGLEFINANCE(B1148,""marketcap"")/10000000"),1021.423715)</f>
        <v>1021.423715</v>
      </c>
      <c r="D1148" s="13">
        <f>IFERROR(__xludf.DUMMYFUNCTION("GOOGLEFINANCE(B1148,""price"")"),1021.0)</f>
        <v>1021</v>
      </c>
      <c r="E1148" s="14">
        <f>IFERROR(__xludf.DUMMYFUNCTION("GOOGLEFINANCE(B1148,""Volume"")"),788.0)</f>
        <v>788</v>
      </c>
      <c r="F1148" s="14">
        <f t="array" ref="F1148">F1147</f>
        <v>14</v>
      </c>
      <c r="G1148" s="15" t="str">
        <f>IFERROR(__xludf.DUMMYFUNCTION("IF(E1148&gt;AVERAGE(INDEX(GOOGLEFINANCE(B1148,""volume"",WORKDAY(TODAY(),-$F$1),TODAY()),,2)),""Breakout"","""")"),"")</f>
        <v/>
      </c>
      <c r="H1148" s="16">
        <f>IFERROR(__xludf.DUMMYFUNCTION("GOOGLEFINANCE(B1148,""price"")"),1021.0)</f>
        <v>1021</v>
      </c>
      <c r="I1148" s="17">
        <f>IFERROR(__xludf.DUMMYFUNCTION("AVERAGE(QUERY(SORT(GOOGLEFINANCE(B1148,""price"",TODAY()-365,TODAY()),1,0),""select Col2 limit 10""))"),1049.29)</f>
        <v>1049.29</v>
      </c>
      <c r="J1148" s="17">
        <f>IFERROR(__xludf.DUMMYFUNCTION("AVERAGE(QUERY(SORT(GOOGLEFINANCE(B1148,""price"",TODAY()-365,TODAY()),1,0),""select Col2 limit 30""))"),1004.81)</f>
        <v>1004.81</v>
      </c>
      <c r="K1148" s="18">
        <f>IFERROR(__xludf.DUMMYFUNCTION("AVERAGE(QUERY(SORT(GOOGLEFINANCE(B1148,""price"",TODAY()-365,TODAY()),1,0),""select Col2 limit 60""))"),949.3458333333332)</f>
        <v>949.3458333</v>
      </c>
      <c r="L1148" s="17">
        <f>IFERROR(__xludf.DUMMYFUNCTION("AVERAGE(QUERY(SORT(GOOGLEFINANCE(B1148,""price"",TODAY()-365,TODAY()),1,0),""select Col2 limit 90""))"),893.6716666666666)</f>
        <v>893.6716667</v>
      </c>
      <c r="M1148" s="17">
        <f>IFERROR(__xludf.DUMMYFUNCTION("AVERAGE(QUERY(SORT(GOOGLEFINANCE(B1148,""price"",TODAY()-365,TODAY()),1,0),""select Col2 limit 120""))"),909.115)</f>
        <v>909.115</v>
      </c>
      <c r="N1148" s="19">
        <f>IFERROR(__xludf.DUMMYFUNCTION("AVERAGE(QUERY(SORT(GOOGLEFINANCE(B1148,""price"",TODAY()-365,TODAY()),1,0),""select Col2 limit 200""))"),1086.30025)</f>
        <v>1086.30025</v>
      </c>
      <c r="O1148" s="20" t="str">
        <f t="shared" si="2"/>
        <v>Avoid</v>
      </c>
      <c r="P1148" s="21" t="str">
        <f t="shared" si="3"/>
        <v/>
      </c>
      <c r="Q1148" s="21" t="str">
        <f t="shared" si="4"/>
        <v/>
      </c>
      <c r="R1148" s="22">
        <f>IFERROR(__xludf.DUMMYFUNCTION("GOOGLEFINANCE(B1148, ""pe"")
"),40.15)</f>
        <v>40.15</v>
      </c>
    </row>
    <row r="1149">
      <c r="A1149" s="9" t="s">
        <v>1159</v>
      </c>
      <c r="B1149" s="11" t="str">
        <f t="shared" si="1"/>
        <v>NSE:YUKEN</v>
      </c>
      <c r="C1149" s="12">
        <f>IFERROR(__xludf.DUMMYFUNCTION("GOOGLEFINANCE(B1149,""marketcap"")/10000000"),1373.7088798)</f>
        <v>1373.70888</v>
      </c>
      <c r="D1149" s="13">
        <f>IFERROR(__xludf.DUMMYFUNCTION("GOOGLEFINANCE(B1149,""price"")"),1057.2)</f>
        <v>1057.2</v>
      </c>
      <c r="E1149" s="14">
        <f>IFERROR(__xludf.DUMMYFUNCTION("GOOGLEFINANCE(B1149,""Volume"")"),2618.0)</f>
        <v>2618</v>
      </c>
      <c r="F1149" s="14">
        <f t="array" ref="F1149">F1148</f>
        <v>14</v>
      </c>
      <c r="G1149" s="15" t="str">
        <f>IFERROR(__xludf.DUMMYFUNCTION("IF(E1149&gt;AVERAGE(INDEX(GOOGLEFINANCE(B1149,""volume"",WORKDAY(TODAY(),-$F$1),TODAY()),,2)),""Breakout"","""")"),"")</f>
        <v/>
      </c>
      <c r="H1149" s="16">
        <f>IFERROR(__xludf.DUMMYFUNCTION("GOOGLEFINANCE(B1149,""price"")"),1057.2)</f>
        <v>1057.2</v>
      </c>
      <c r="I1149" s="17">
        <f>IFERROR(__xludf.DUMMYFUNCTION("AVERAGE(QUERY(SORT(GOOGLEFINANCE(B1149,""price"",TODAY()-365,TODAY()),1,0),""select Col2 limit 10""))"),1120.28)</f>
        <v>1120.28</v>
      </c>
      <c r="J1149" s="17">
        <f>IFERROR(__xludf.DUMMYFUNCTION("AVERAGE(QUERY(SORT(GOOGLEFINANCE(B1149,""price"",TODAY()-365,TODAY()),1,0),""select Col2 limit 30""))"),1120.9766666666665)</f>
        <v>1120.976667</v>
      </c>
      <c r="K1149" s="18">
        <f>IFERROR(__xludf.DUMMYFUNCTION("AVERAGE(QUERY(SORT(GOOGLEFINANCE(B1149,""price"",TODAY()-365,TODAY()),1,0),""select Col2 limit 60""))"),1054.1516666666664)</f>
        <v>1054.151667</v>
      </c>
      <c r="L1149" s="17">
        <f>IFERROR(__xludf.DUMMYFUNCTION("AVERAGE(QUERY(SORT(GOOGLEFINANCE(B1149,""price"",TODAY()-365,TODAY()),1,0),""select Col2 limit 90""))"),972.391666666667)</f>
        <v>972.3916667</v>
      </c>
      <c r="M1149" s="17">
        <f>IFERROR(__xludf.DUMMYFUNCTION("AVERAGE(QUERY(SORT(GOOGLEFINANCE(B1149,""price"",TODAY()-365,TODAY()),1,0),""select Col2 limit 120""))"),933.1395833333338)</f>
        <v>933.1395833</v>
      </c>
      <c r="N1149" s="19">
        <f>IFERROR(__xludf.DUMMYFUNCTION("AVERAGE(QUERY(SORT(GOOGLEFINANCE(B1149,""price"",TODAY()-365,TODAY()),1,0),""select Col2 limit 200""))"),995.60425)</f>
        <v>995.60425</v>
      </c>
      <c r="O1149" s="20" t="str">
        <f t="shared" si="2"/>
        <v>Avoid</v>
      </c>
      <c r="P1149" s="21" t="str">
        <f t="shared" si="3"/>
        <v/>
      </c>
      <c r="Q1149" s="21" t="str">
        <f t="shared" si="4"/>
        <v/>
      </c>
      <c r="R1149" s="22">
        <f>IFERROR(__xludf.DUMMYFUNCTION("GOOGLEFINANCE(B1149, ""pe"")
"),55.79)</f>
        <v>55.79</v>
      </c>
    </row>
    <row r="1150">
      <c r="A1150" s="9" t="s">
        <v>1160</v>
      </c>
      <c r="B1150" s="11" t="str">
        <f t="shared" si="1"/>
        <v>NSE:ALLSEC</v>
      </c>
      <c r="C1150" s="12" t="str">
        <f>IFERROR(__xludf.DUMMYFUNCTION("GOOGLEFINANCE(B1150,""marketcap"")/10000000"),"#N/A")</f>
        <v>#N/A</v>
      </c>
      <c r="D1150" s="13" t="str">
        <f>IFERROR(__xludf.DUMMYFUNCTION("GOOGLEFINANCE(B1150,""price"")"),"#N/A")</f>
        <v>#N/A</v>
      </c>
      <c r="E1150" s="14" t="str">
        <f>IFERROR(__xludf.DUMMYFUNCTION("GOOGLEFINANCE(B1150,""Volume"")"),"#N/A")</f>
        <v>#N/A</v>
      </c>
      <c r="F1150" s="14">
        <f t="array" ref="F1150">F1149</f>
        <v>14</v>
      </c>
      <c r="G1150" s="15" t="str">
        <f>IFERROR(__xludf.DUMMYFUNCTION("IF(E1150&gt;AVERAGE(INDEX(GOOGLEFINANCE(B1150,""volume"",WORKDAY(TODAY(),-$F$1),TODAY()),,2)),""Breakout"","""")"),"#N/A")</f>
        <v>#N/A</v>
      </c>
      <c r="H1150" s="16" t="str">
        <f>IFERROR(__xludf.DUMMYFUNCTION("GOOGLEFINANCE(B1150,""price"")"),"#N/A")</f>
        <v>#N/A</v>
      </c>
      <c r="I1150" s="17" t="str">
        <f>IFERROR(__xludf.DUMMYFUNCTION("AVERAGE(QUERY(SORT(GOOGLEFINANCE(B1150,""price"",TODAY()-365,TODAY()),1,0),""select Col2 limit 10""))"),"#N/A")</f>
        <v>#N/A</v>
      </c>
      <c r="J1150" s="17" t="str">
        <f>IFERROR(__xludf.DUMMYFUNCTION("AVERAGE(QUERY(SORT(GOOGLEFINANCE(B1150,""price"",TODAY()-365,TODAY()),1,0),""select Col2 limit 30""))"),"#N/A")</f>
        <v>#N/A</v>
      </c>
      <c r="K1150" s="18" t="str">
        <f>IFERROR(__xludf.DUMMYFUNCTION("AVERAGE(QUERY(SORT(GOOGLEFINANCE(B1150,""price"",TODAY()-365,TODAY()),1,0),""select Col2 limit 60""))"),"#N/A")</f>
        <v>#N/A</v>
      </c>
      <c r="L1150" s="17" t="str">
        <f>IFERROR(__xludf.DUMMYFUNCTION("AVERAGE(QUERY(SORT(GOOGLEFINANCE(B1150,""price"",TODAY()-365,TODAY()),1,0),""select Col2 limit 90""))"),"#N/A")</f>
        <v>#N/A</v>
      </c>
      <c r="M1150" s="17" t="str">
        <f>IFERROR(__xludf.DUMMYFUNCTION("AVERAGE(QUERY(SORT(GOOGLEFINANCE(B1150,""price"",TODAY()-365,TODAY()),1,0),""select Col2 limit 120""))"),"#N/A")</f>
        <v>#N/A</v>
      </c>
      <c r="N1150" s="19" t="str">
        <f>IFERROR(__xludf.DUMMYFUNCTION("AVERAGE(QUERY(SORT(GOOGLEFINANCE(B1150,""price"",TODAY()-365,TODAY()),1,0),""select Col2 limit 200""))"),"#N/A")</f>
        <v>#N/A</v>
      </c>
      <c r="O1150" s="20" t="str">
        <f t="shared" si="2"/>
        <v>#N/A</v>
      </c>
      <c r="P1150" s="21" t="str">
        <f t="shared" si="3"/>
        <v>#N/A</v>
      </c>
      <c r="Q1150" s="21" t="str">
        <f t="shared" si="4"/>
        <v>#N/A</v>
      </c>
      <c r="R1150" s="22" t="str">
        <f>IFERROR(__xludf.DUMMYFUNCTION("GOOGLEFINANCE(B1150, ""pe"")
"),"#N/A")</f>
        <v>#N/A</v>
      </c>
    </row>
    <row r="1151">
      <c r="A1151" s="9" t="s">
        <v>1161</v>
      </c>
      <c r="B1151" s="11" t="str">
        <f t="shared" si="1"/>
        <v>NSE:SUBEXLTD</v>
      </c>
      <c r="C1151" s="12">
        <f>IFERROR(__xludf.DUMMYFUNCTION("GOOGLEFINANCE(B1151,""marketcap"")/10000000"),769.0294267)</f>
        <v>769.0294267</v>
      </c>
      <c r="D1151" s="13">
        <f>IFERROR(__xludf.DUMMYFUNCTION("GOOGLEFINANCE(B1151,""price"")"),13.75)</f>
        <v>13.75</v>
      </c>
      <c r="E1151" s="14">
        <f>IFERROR(__xludf.DUMMYFUNCTION("GOOGLEFINANCE(B1151,""Volume"")"),312674.0)</f>
        <v>312674</v>
      </c>
      <c r="F1151" s="14">
        <f t="array" ref="F1151">F1150</f>
        <v>14</v>
      </c>
      <c r="G1151" s="15" t="str">
        <f>IFERROR(__xludf.DUMMYFUNCTION("IF(E1151&gt;AVERAGE(INDEX(GOOGLEFINANCE(B1151,""volume"",WORKDAY(TODAY(),-$F$1),TODAY()),,2)),""Breakout"","""")"),"")</f>
        <v/>
      </c>
      <c r="H1151" s="16">
        <f>IFERROR(__xludf.DUMMYFUNCTION("GOOGLEFINANCE(B1151,""price"")"),13.75)</f>
        <v>13.75</v>
      </c>
      <c r="I1151" s="17">
        <f>IFERROR(__xludf.DUMMYFUNCTION("AVERAGE(QUERY(SORT(GOOGLEFINANCE(B1151,""price"",TODAY()-365,TODAY()),1,0),""select Col2 limit 10""))"),14.073000000000002)</f>
        <v>14.073</v>
      </c>
      <c r="J1151" s="17">
        <f>IFERROR(__xludf.DUMMYFUNCTION("AVERAGE(QUERY(SORT(GOOGLEFINANCE(B1151,""price"",TODAY()-365,TODAY()),1,0),""select Col2 limit 30""))"),14.160333333333332)</f>
        <v>14.16033333</v>
      </c>
      <c r="K1151" s="18">
        <f>IFERROR(__xludf.DUMMYFUNCTION("AVERAGE(QUERY(SORT(GOOGLEFINANCE(B1151,""price"",TODAY()-365,TODAY()),1,0),""select Col2 limit 60""))"),14.105)</f>
        <v>14.105</v>
      </c>
      <c r="L1151" s="17">
        <f>IFERROR(__xludf.DUMMYFUNCTION("AVERAGE(QUERY(SORT(GOOGLEFINANCE(B1151,""price"",TODAY()-365,TODAY()),1,0),""select Col2 limit 90""))"),13.498000000000001)</f>
        <v>13.498</v>
      </c>
      <c r="M1151" s="17">
        <f>IFERROR(__xludf.DUMMYFUNCTION("AVERAGE(QUERY(SORT(GOOGLEFINANCE(B1151,""price"",TODAY()-365,TODAY()),1,0),""select Col2 limit 120""))"),14.059500000000002)</f>
        <v>14.0595</v>
      </c>
      <c r="N1151" s="19">
        <f>IFERROR(__xludf.DUMMYFUNCTION("AVERAGE(QUERY(SORT(GOOGLEFINANCE(B1151,""price"",TODAY()-365,TODAY()),1,0),""select Col2 limit 200""))"),17.821899999999992)</f>
        <v>17.8219</v>
      </c>
      <c r="O1151" s="20" t="str">
        <f t="shared" si="2"/>
        <v>Avoid</v>
      </c>
      <c r="P1151" s="21" t="str">
        <f t="shared" si="3"/>
        <v/>
      </c>
      <c r="Q1151" s="21" t="str">
        <f t="shared" si="4"/>
        <v/>
      </c>
      <c r="R1151" s="22" t="str">
        <f>IFERROR(__xludf.DUMMYFUNCTION("GOOGLEFINANCE(B1151, ""pe"")
"),"#N/A")</f>
        <v>#N/A</v>
      </c>
    </row>
    <row r="1152">
      <c r="A1152" s="9" t="s">
        <v>1162</v>
      </c>
      <c r="B1152" s="11" t="str">
        <f t="shared" si="1"/>
        <v>NSE:PVSL</v>
      </c>
      <c r="C1152" s="12">
        <f>IFERROR(__xludf.DUMMYFUNCTION("GOOGLEFINANCE(B1152,""marketcap"")/10000000"),884.9276299)</f>
        <v>884.9276299</v>
      </c>
      <c r="D1152" s="13">
        <f>IFERROR(__xludf.DUMMYFUNCTION("GOOGLEFINANCE(B1152,""price"")"),124.5)</f>
        <v>124.5</v>
      </c>
      <c r="E1152" s="14">
        <f>IFERROR(__xludf.DUMMYFUNCTION("GOOGLEFINANCE(B1152,""Volume"")"),14578.0)</f>
        <v>14578</v>
      </c>
      <c r="F1152" s="14">
        <f t="array" ref="F1152">F1151</f>
        <v>14</v>
      </c>
      <c r="G1152" s="15" t="str">
        <f>IFERROR(__xludf.DUMMYFUNCTION("IF(E1152&gt;AVERAGE(INDEX(GOOGLEFINANCE(B1152,""volume"",WORKDAY(TODAY(),-$F$1),TODAY()),,2)),""Breakout"","""")"),"")</f>
        <v/>
      </c>
      <c r="H1152" s="16">
        <f>IFERROR(__xludf.DUMMYFUNCTION("GOOGLEFINANCE(B1152,""price"")"),124.5)</f>
        <v>124.5</v>
      </c>
      <c r="I1152" s="17">
        <f>IFERROR(__xludf.DUMMYFUNCTION("AVERAGE(QUERY(SORT(GOOGLEFINANCE(B1152,""price"",TODAY()-365,TODAY()),1,0),""select Col2 limit 10""))"),131.641)</f>
        <v>131.641</v>
      </c>
      <c r="J1152" s="17">
        <f>IFERROR(__xludf.DUMMYFUNCTION("AVERAGE(QUERY(SORT(GOOGLEFINANCE(B1152,""price"",TODAY()-365,TODAY()),1,0),""select Col2 limit 30""))"),129.50466666666662)</f>
        <v>129.5046667</v>
      </c>
      <c r="K1152" s="18">
        <f>IFERROR(__xludf.DUMMYFUNCTION("AVERAGE(QUERY(SORT(GOOGLEFINANCE(B1152,""price"",TODAY()-365,TODAY()),1,0),""select Col2 limit 60""))"),123.18033333333331)</f>
        <v>123.1803333</v>
      </c>
      <c r="L1152" s="17">
        <f>IFERROR(__xludf.DUMMYFUNCTION("AVERAGE(QUERY(SORT(GOOGLEFINANCE(B1152,""price"",TODAY()-365,TODAY()),1,0),""select Col2 limit 90""))"),115.16188888888891)</f>
        <v>115.1618889</v>
      </c>
      <c r="M1152" s="17">
        <f>IFERROR(__xludf.DUMMYFUNCTION("AVERAGE(QUERY(SORT(GOOGLEFINANCE(B1152,""price"",TODAY()-365,TODAY()),1,0),""select Col2 limit 120""))"),117.33375000000001)</f>
        <v>117.33375</v>
      </c>
      <c r="N1152" s="19">
        <f>IFERROR(__xludf.DUMMYFUNCTION("AVERAGE(QUERY(SORT(GOOGLEFINANCE(B1152,""price"",TODAY()-365,TODAY()),1,0),""select Col2 limit 200""))"),137.63445)</f>
        <v>137.63445</v>
      </c>
      <c r="O1152" s="20" t="str">
        <f t="shared" si="2"/>
        <v>Avoid</v>
      </c>
      <c r="P1152" s="21" t="str">
        <f t="shared" si="3"/>
        <v/>
      </c>
      <c r="Q1152" s="21" t="str">
        <f t="shared" si="4"/>
        <v/>
      </c>
      <c r="R1152" s="22" t="str">
        <f>IFERROR(__xludf.DUMMYFUNCTION("GOOGLEFINANCE(B1152, ""pe"")
"),"#N/A")</f>
        <v>#N/A</v>
      </c>
    </row>
    <row r="1153">
      <c r="A1153" s="9" t="s">
        <v>1163</v>
      </c>
      <c r="B1153" s="11" t="str">
        <f t="shared" si="1"/>
        <v>NSE:SHRIRAMPPS</v>
      </c>
      <c r="C1153" s="12">
        <f>IFERROR(__xludf.DUMMYFUNCTION("GOOGLEFINANCE(B1153,""marketcap"")/10000000"),1595.6955831)</f>
        <v>1595.695583</v>
      </c>
      <c r="D1153" s="13">
        <f>IFERROR(__xludf.DUMMYFUNCTION("GOOGLEFINANCE(B1153,""price"")"),93.87)</f>
        <v>93.87</v>
      </c>
      <c r="E1153" s="14">
        <f>IFERROR(__xludf.DUMMYFUNCTION("GOOGLEFINANCE(B1153,""Volume"")"),564865.0)</f>
        <v>564865</v>
      </c>
      <c r="F1153" s="14">
        <f t="array" ref="F1153">F1152</f>
        <v>14</v>
      </c>
      <c r="G1153" s="15" t="str">
        <f>IFERROR(__xludf.DUMMYFUNCTION("IF(E1153&gt;AVERAGE(INDEX(GOOGLEFINANCE(B1153,""volume"",WORKDAY(TODAY(),-$F$1),TODAY()),,2)),""Breakout"","""")"),"")</f>
        <v/>
      </c>
      <c r="H1153" s="16">
        <f>IFERROR(__xludf.DUMMYFUNCTION("GOOGLEFINANCE(B1153,""price"")"),93.87)</f>
        <v>93.87</v>
      </c>
      <c r="I1153" s="17">
        <f>IFERROR(__xludf.DUMMYFUNCTION("AVERAGE(QUERY(SORT(GOOGLEFINANCE(B1153,""price"",TODAY()-365,TODAY()),1,0),""select Col2 limit 10""))"),97.165)</f>
        <v>97.165</v>
      </c>
      <c r="J1153" s="17">
        <f>IFERROR(__xludf.DUMMYFUNCTION("AVERAGE(QUERY(SORT(GOOGLEFINANCE(B1153,""price"",TODAY()-365,TODAY()),1,0),""select Col2 limit 30""))"),98.2)</f>
        <v>98.2</v>
      </c>
      <c r="K1153" s="18">
        <f>IFERROR(__xludf.DUMMYFUNCTION("AVERAGE(QUERY(SORT(GOOGLEFINANCE(B1153,""price"",TODAY()-365,TODAY()),1,0),""select Col2 limit 60""))"),92.91699999999999)</f>
        <v>92.917</v>
      </c>
      <c r="L1153" s="17">
        <f>IFERROR(__xludf.DUMMYFUNCTION("AVERAGE(QUERY(SORT(GOOGLEFINANCE(B1153,""price"",TODAY()-365,TODAY()),1,0),""select Col2 limit 90""))"),86.85044444444445)</f>
        <v>86.85044444</v>
      </c>
      <c r="M1153" s="17">
        <f>IFERROR(__xludf.DUMMYFUNCTION("AVERAGE(QUERY(SORT(GOOGLEFINANCE(B1153,""price"",TODAY()-365,TODAY()),1,0),""select Col2 limit 120""))"),84.2158333333333)</f>
        <v>84.21583333</v>
      </c>
      <c r="N1153" s="19">
        <f>IFERROR(__xludf.DUMMYFUNCTION("AVERAGE(QUERY(SORT(GOOGLEFINANCE(B1153,""price"",TODAY()-365,TODAY()),1,0),""select Col2 limit 200""))"),93.11474999999999)</f>
        <v>93.11475</v>
      </c>
      <c r="O1153" s="20" t="str">
        <f t="shared" si="2"/>
        <v>Avoid</v>
      </c>
      <c r="P1153" s="21" t="str">
        <f t="shared" si="3"/>
        <v/>
      </c>
      <c r="Q1153" s="21" t="str">
        <f t="shared" si="4"/>
        <v/>
      </c>
      <c r="R1153" s="22">
        <f>IFERROR(__xludf.DUMMYFUNCTION("GOOGLEFINANCE(B1153, ""pe"")
"),20.68)</f>
        <v>20.68</v>
      </c>
    </row>
    <row r="1154">
      <c r="A1154" s="9" t="s">
        <v>1164</v>
      </c>
      <c r="B1154" s="11" t="str">
        <f t="shared" si="1"/>
        <v>NSE:LIKHITHA</v>
      </c>
      <c r="C1154" s="12">
        <f>IFERROR(__xludf.DUMMYFUNCTION("GOOGLEFINANCE(B1154,""marketcap"")/10000000"),1092.765)</f>
        <v>1092.765</v>
      </c>
      <c r="D1154" s="13">
        <f>IFERROR(__xludf.DUMMYFUNCTION("GOOGLEFINANCE(B1154,""price"")"),279.2)</f>
        <v>279.2</v>
      </c>
      <c r="E1154" s="14">
        <f>IFERROR(__xludf.DUMMYFUNCTION("GOOGLEFINANCE(B1154,""Volume"")"),54901.0)</f>
        <v>54901</v>
      </c>
      <c r="F1154" s="14">
        <f t="array" ref="F1154">F1153</f>
        <v>14</v>
      </c>
      <c r="G1154" s="15" t="str">
        <f>IFERROR(__xludf.DUMMYFUNCTION("IF(E1154&gt;AVERAGE(INDEX(GOOGLEFINANCE(B1154,""volume"",WORKDAY(TODAY(),-$F$1),TODAY()),,2)),""Breakout"","""")"),"Breakout")</f>
        <v>Breakout</v>
      </c>
      <c r="H1154" s="16">
        <f>IFERROR(__xludf.DUMMYFUNCTION("GOOGLEFINANCE(B1154,""price"")"),279.2)</f>
        <v>279.2</v>
      </c>
      <c r="I1154" s="17">
        <f>IFERROR(__xludf.DUMMYFUNCTION("AVERAGE(QUERY(SORT(GOOGLEFINANCE(B1154,""price"",TODAY()-365,TODAY()),1,0),""select Col2 limit 10""))"),281.235)</f>
        <v>281.235</v>
      </c>
      <c r="J1154" s="17">
        <f>IFERROR(__xludf.DUMMYFUNCTION("AVERAGE(QUERY(SORT(GOOGLEFINANCE(B1154,""price"",TODAY()-365,TODAY()),1,0),""select Col2 limit 30""))"),285.96166666666664)</f>
        <v>285.9616667</v>
      </c>
      <c r="K1154" s="18">
        <f>IFERROR(__xludf.DUMMYFUNCTION("AVERAGE(QUERY(SORT(GOOGLEFINANCE(B1154,""price"",TODAY()-365,TODAY()),1,0),""select Col2 limit 60""))"),284.1141666666667)</f>
        <v>284.1141667</v>
      </c>
      <c r="L1154" s="17">
        <f>IFERROR(__xludf.DUMMYFUNCTION("AVERAGE(QUERY(SORT(GOOGLEFINANCE(B1154,""price"",TODAY()-365,TODAY()),1,0),""select Col2 limit 90""))"),279.8949999999999)</f>
        <v>279.895</v>
      </c>
      <c r="M1154" s="17">
        <f>IFERROR(__xludf.DUMMYFUNCTION("AVERAGE(QUERY(SORT(GOOGLEFINANCE(B1154,""price"",TODAY()-365,TODAY()),1,0),""select Col2 limit 120""))"),280.03166666666664)</f>
        <v>280.0316667</v>
      </c>
      <c r="N1154" s="19">
        <f>IFERROR(__xludf.DUMMYFUNCTION("AVERAGE(QUERY(SORT(GOOGLEFINANCE(B1154,""price"",TODAY()-365,TODAY()),1,0),""select Col2 limit 200""))"),311.0685000000001)</f>
        <v>311.0685</v>
      </c>
      <c r="O1154" s="20" t="str">
        <f t="shared" si="2"/>
        <v>Avoid</v>
      </c>
      <c r="P1154" s="21" t="str">
        <f t="shared" si="3"/>
        <v>10 DMA</v>
      </c>
      <c r="Q1154" s="21" t="str">
        <f t="shared" si="4"/>
        <v>10 DMA cross best</v>
      </c>
      <c r="R1154" s="22">
        <f>IFERROR(__xludf.DUMMYFUNCTION("GOOGLEFINANCE(B1154, ""pe"")
"),15.89)</f>
        <v>15.89</v>
      </c>
    </row>
    <row r="1155">
      <c r="A1155" s="9" t="s">
        <v>1165</v>
      </c>
      <c r="B1155" s="11" t="str">
        <f t="shared" si="1"/>
        <v>NSE:SPIC</v>
      </c>
      <c r="C1155" s="12">
        <f>IFERROR(__xludf.DUMMYFUNCTION("GOOGLEFINANCE(B1155,""marketcap"")/10000000"),1996.6932036)</f>
        <v>1996.693204</v>
      </c>
      <c r="D1155" s="13">
        <f>IFERROR(__xludf.DUMMYFUNCTION("GOOGLEFINANCE(B1155,""price"")"),98.11)</f>
        <v>98.11</v>
      </c>
      <c r="E1155" s="14">
        <f>IFERROR(__xludf.DUMMYFUNCTION("GOOGLEFINANCE(B1155,""Volume"")"),1708396.0)</f>
        <v>1708396</v>
      </c>
      <c r="F1155" s="14">
        <f t="array" ref="F1155">F1154</f>
        <v>14</v>
      </c>
      <c r="G1155" s="15" t="str">
        <f>IFERROR(__xludf.DUMMYFUNCTION("IF(E1155&gt;AVERAGE(INDEX(GOOGLEFINANCE(B1155,""volume"",WORKDAY(TODAY(),-$F$1),TODAY()),,2)),""Breakout"","""")"),"")</f>
        <v/>
      </c>
      <c r="H1155" s="16">
        <f>IFERROR(__xludf.DUMMYFUNCTION("GOOGLEFINANCE(B1155,""price"")"),98.11)</f>
        <v>98.11</v>
      </c>
      <c r="I1155" s="17">
        <f>IFERROR(__xludf.DUMMYFUNCTION("AVERAGE(QUERY(SORT(GOOGLEFINANCE(B1155,""price"",TODAY()-365,TODAY()),1,0),""select Col2 limit 10""))"),87.58200000000001)</f>
        <v>87.582</v>
      </c>
      <c r="J1155" s="17">
        <f>IFERROR(__xludf.DUMMYFUNCTION("AVERAGE(QUERY(SORT(GOOGLEFINANCE(B1155,""price"",TODAY()-365,TODAY()),1,0),""select Col2 limit 30""))"),86.91933333333333)</f>
        <v>86.91933333</v>
      </c>
      <c r="K1155" s="18">
        <f>IFERROR(__xludf.DUMMYFUNCTION("AVERAGE(QUERY(SORT(GOOGLEFINANCE(B1155,""price"",TODAY()-365,TODAY()),1,0),""select Col2 limit 60""))"),85.83799999999997)</f>
        <v>85.838</v>
      </c>
      <c r="L1155" s="17">
        <f>IFERROR(__xludf.DUMMYFUNCTION("AVERAGE(QUERY(SORT(GOOGLEFINANCE(B1155,""price"",TODAY()-365,TODAY()),1,0),""select Col2 limit 90""))"),84.6942222222222)</f>
        <v>84.69422222</v>
      </c>
      <c r="M1155" s="17">
        <f>IFERROR(__xludf.DUMMYFUNCTION("AVERAGE(QUERY(SORT(GOOGLEFINANCE(B1155,""price"",TODAY()-365,TODAY()),1,0),""select Col2 limit 120""))"),83.12241666666661)</f>
        <v>83.12241667</v>
      </c>
      <c r="N1155" s="19">
        <f>IFERROR(__xludf.DUMMYFUNCTION("AVERAGE(QUERY(SORT(GOOGLEFINANCE(B1155,""price"",TODAY()-365,TODAY()),1,0),""select Col2 limit 200""))"),80.51029999999996)</f>
        <v>80.5103</v>
      </c>
      <c r="O1155" s="20" t="str">
        <f t="shared" si="2"/>
        <v>Avoid</v>
      </c>
      <c r="P1155" s="21" t="str">
        <f t="shared" si="3"/>
        <v/>
      </c>
      <c r="Q1155" s="21" t="str">
        <f t="shared" si="4"/>
        <v/>
      </c>
      <c r="R1155" s="22">
        <f>IFERROR(__xludf.DUMMYFUNCTION("GOOGLEFINANCE(B1155, ""pe"")
"),12.84)</f>
        <v>12.84</v>
      </c>
    </row>
    <row r="1156">
      <c r="A1156" s="9" t="s">
        <v>1166</v>
      </c>
      <c r="B1156" s="11" t="str">
        <f t="shared" si="1"/>
        <v>NSE:AWHCL</v>
      </c>
      <c r="C1156" s="12">
        <f>IFERROR(__xludf.DUMMYFUNCTION("GOOGLEFINANCE(B1156,""marketcap"")/10000000"),1692.2504613)</f>
        <v>1692.250461</v>
      </c>
      <c r="D1156" s="13">
        <f>IFERROR(__xludf.DUMMYFUNCTION("GOOGLEFINANCE(B1156,""price"")"),597.3)</f>
        <v>597.3</v>
      </c>
      <c r="E1156" s="14">
        <f>IFERROR(__xludf.DUMMYFUNCTION("GOOGLEFINANCE(B1156,""Volume"")"),53366.0)</f>
        <v>53366</v>
      </c>
      <c r="F1156" s="14">
        <f t="array" ref="F1156">F1155</f>
        <v>14</v>
      </c>
      <c r="G1156" s="15" t="str">
        <f>IFERROR(__xludf.DUMMYFUNCTION("IF(E1156&gt;AVERAGE(INDEX(GOOGLEFINANCE(B1156,""volume"",WORKDAY(TODAY(),-$F$1),TODAY()),,2)),""Breakout"","""")"),"")</f>
        <v/>
      </c>
      <c r="H1156" s="16">
        <f>IFERROR(__xludf.DUMMYFUNCTION("GOOGLEFINANCE(B1156,""price"")"),597.3)</f>
        <v>597.3</v>
      </c>
      <c r="I1156" s="17" t="str">
        <f>IFERROR(__xludf.DUMMYFUNCTION("AVERAGE(QUERY(SORT(GOOGLEFINANCE(B1156,""price"",TODAY()-365,TODAY()),1,0),""select Col2 limit 10""))"),"#N/A")</f>
        <v>#N/A</v>
      </c>
      <c r="J1156" s="17" t="str">
        <f>IFERROR(__xludf.DUMMYFUNCTION("AVERAGE(QUERY(SORT(GOOGLEFINANCE(B1156,""price"",TODAY()-365,TODAY()),1,0),""select Col2 limit 30""))"),"#N/A")</f>
        <v>#N/A</v>
      </c>
      <c r="K1156" s="18" t="str">
        <f>IFERROR(__xludf.DUMMYFUNCTION("AVERAGE(QUERY(SORT(GOOGLEFINANCE(B1156,""price"",TODAY()-365,TODAY()),1,0),""select Col2 limit 60""))"),"#N/A")</f>
        <v>#N/A</v>
      </c>
      <c r="L1156" s="17" t="str">
        <f>IFERROR(__xludf.DUMMYFUNCTION("AVERAGE(QUERY(SORT(GOOGLEFINANCE(B1156,""price"",TODAY()-365,TODAY()),1,0),""select Col2 limit 90""))"),"#N/A")</f>
        <v>#N/A</v>
      </c>
      <c r="M1156" s="17" t="str">
        <f>IFERROR(__xludf.DUMMYFUNCTION("AVERAGE(QUERY(SORT(GOOGLEFINANCE(B1156,""price"",TODAY()-365,TODAY()),1,0),""select Col2 limit 120""))"),"#N/A")</f>
        <v>#N/A</v>
      </c>
      <c r="N1156" s="19" t="str">
        <f>IFERROR(__xludf.DUMMYFUNCTION("AVERAGE(QUERY(SORT(GOOGLEFINANCE(B1156,""price"",TODAY()-365,TODAY()),1,0),""select Col2 limit 200""))"),"#N/A")</f>
        <v>#N/A</v>
      </c>
      <c r="O1156" s="20" t="str">
        <f t="shared" si="2"/>
        <v>#N/A</v>
      </c>
      <c r="P1156" s="21" t="str">
        <f t="shared" si="3"/>
        <v>#N/A</v>
      </c>
      <c r="Q1156" s="21" t="str">
        <f t="shared" si="4"/>
        <v>#N/A</v>
      </c>
      <c r="R1156" s="22">
        <f>IFERROR(__xludf.DUMMYFUNCTION("GOOGLEFINANCE(B1156, ""pe"")
"),19.85)</f>
        <v>19.85</v>
      </c>
    </row>
    <row r="1157">
      <c r="A1157" s="9" t="s">
        <v>1167</v>
      </c>
      <c r="B1157" s="11" t="str">
        <f t="shared" si="1"/>
        <v>NSE:SPCENET</v>
      </c>
      <c r="C1157" s="12">
        <f>IFERROR(__xludf.DUMMYFUNCTION("GOOGLEFINANCE(B1157,""marketcap"")/10000000"),379.2895352)</f>
        <v>379.2895352</v>
      </c>
      <c r="D1157" s="13">
        <f>IFERROR(__xludf.DUMMYFUNCTION("GOOGLEFINANCE(B1157,""price"")"),6.7)</f>
        <v>6.7</v>
      </c>
      <c r="E1157" s="14">
        <f>IFERROR(__xludf.DUMMYFUNCTION("GOOGLEFINANCE(B1157,""Volume"")"),176235.0)</f>
        <v>176235</v>
      </c>
      <c r="F1157" s="14">
        <f t="array" ref="F1157">F1156</f>
        <v>14</v>
      </c>
      <c r="G1157" s="15" t="str">
        <f>IFERROR(__xludf.DUMMYFUNCTION("IF(E1157&gt;AVERAGE(INDEX(GOOGLEFINANCE(B1157,""volume"",WORKDAY(TODAY(),-$F$1),TODAY()),,2)),""Breakout"","""")"),"")</f>
        <v/>
      </c>
      <c r="H1157" s="16">
        <f>IFERROR(__xludf.DUMMYFUNCTION("GOOGLEFINANCE(B1157,""price"")"),6.7)</f>
        <v>6.7</v>
      </c>
      <c r="I1157" s="17">
        <f>IFERROR(__xludf.DUMMYFUNCTION("AVERAGE(QUERY(SORT(GOOGLEFINANCE(B1157,""price"",TODAY()-365,TODAY()),1,0),""select Col2 limit 10""))"),7.293000000000001)</f>
        <v>7.293</v>
      </c>
      <c r="J1157" s="17">
        <f>IFERROR(__xludf.DUMMYFUNCTION("AVERAGE(QUERY(SORT(GOOGLEFINANCE(B1157,""price"",TODAY()-365,TODAY()),1,0),""select Col2 limit 30""))"),7.395333333333332)</f>
        <v>7.395333333</v>
      </c>
      <c r="K1157" s="18">
        <f>IFERROR(__xludf.DUMMYFUNCTION("AVERAGE(QUERY(SORT(GOOGLEFINANCE(B1157,""price"",TODAY()-365,TODAY()),1,0),""select Col2 limit 60""))"),7.671333333333333)</f>
        <v>7.671333333</v>
      </c>
      <c r="L1157" s="17">
        <f>IFERROR(__xludf.DUMMYFUNCTION("AVERAGE(QUERY(SORT(GOOGLEFINANCE(B1157,""price"",TODAY()-365,TODAY()),1,0),""select Col2 limit 90""))"),7.626222222222221)</f>
        <v>7.626222222</v>
      </c>
      <c r="M1157" s="17">
        <f>IFERROR(__xludf.DUMMYFUNCTION("AVERAGE(QUERY(SORT(GOOGLEFINANCE(B1157,""price"",TODAY()-365,TODAY()),1,0),""select Col2 limit 120""))"),7.650999999999998)</f>
        <v>7.651</v>
      </c>
      <c r="N1157" s="19">
        <f>IFERROR(__xludf.DUMMYFUNCTION("AVERAGE(QUERY(SORT(GOOGLEFINANCE(B1157,""price"",TODAY()-365,TODAY()),1,0),""select Col2 limit 200""))"),12.489849999999999)</f>
        <v>12.48985</v>
      </c>
      <c r="O1157" s="20" t="str">
        <f t="shared" si="2"/>
        <v>Avoid</v>
      </c>
      <c r="P1157" s="21" t="str">
        <f t="shared" si="3"/>
        <v/>
      </c>
      <c r="Q1157" s="21" t="str">
        <f t="shared" si="4"/>
        <v/>
      </c>
      <c r="R1157" s="22">
        <f>IFERROR(__xludf.DUMMYFUNCTION("GOOGLEFINANCE(B1157, ""pe"")
"),42.49)</f>
        <v>42.49</v>
      </c>
    </row>
    <row r="1158">
      <c r="A1158" s="9" t="s">
        <v>1168</v>
      </c>
      <c r="B1158" s="11" t="str">
        <f t="shared" si="1"/>
        <v>NSE:KRISHANA</v>
      </c>
      <c r="C1158" s="12">
        <f>IFERROR(__xludf.DUMMYFUNCTION("GOOGLEFINANCE(B1158,""marketcap"")/10000000"),3226.782073)</f>
        <v>3226.782073</v>
      </c>
      <c r="D1158" s="13">
        <f>IFERROR(__xludf.DUMMYFUNCTION("GOOGLEFINANCE(B1158,""price"")"),523.55)</f>
        <v>523.55</v>
      </c>
      <c r="E1158" s="14">
        <f>IFERROR(__xludf.DUMMYFUNCTION("GOOGLEFINANCE(B1158,""Volume"")"),89803.0)</f>
        <v>89803</v>
      </c>
      <c r="F1158" s="14">
        <f t="array" ref="F1158">F1157</f>
        <v>14</v>
      </c>
      <c r="G1158" s="15" t="str">
        <f>IFERROR(__xludf.DUMMYFUNCTION("IF(E1158&gt;AVERAGE(INDEX(GOOGLEFINANCE(B1158,""volume"",WORKDAY(TODAY(),-$F$1),TODAY()),,2)),""Breakout"","""")"),"")</f>
        <v/>
      </c>
      <c r="H1158" s="16">
        <f>IFERROR(__xludf.DUMMYFUNCTION("GOOGLEFINANCE(B1158,""price"")"),523.55)</f>
        <v>523.55</v>
      </c>
      <c r="I1158" s="17">
        <f>IFERROR(__xludf.DUMMYFUNCTION("AVERAGE(QUERY(SORT(GOOGLEFINANCE(B1158,""price"",TODAY()-365,TODAY()),1,0),""select Col2 limit 10""))"),494.19000000000005)</f>
        <v>494.19</v>
      </c>
      <c r="J1158" s="17">
        <f>IFERROR(__xludf.DUMMYFUNCTION("AVERAGE(QUERY(SORT(GOOGLEFINANCE(B1158,""price"",TODAY()-365,TODAY()),1,0),""select Col2 limit 30""))"),488.12333333333333)</f>
        <v>488.1233333</v>
      </c>
      <c r="K1158" s="18">
        <f>IFERROR(__xludf.DUMMYFUNCTION("AVERAGE(QUERY(SORT(GOOGLEFINANCE(B1158,""price"",TODAY()-365,TODAY()),1,0),""select Col2 limit 60""))"),438.4925)</f>
        <v>438.4925</v>
      </c>
      <c r="L1158" s="17">
        <f>IFERROR(__xludf.DUMMYFUNCTION("AVERAGE(QUERY(SORT(GOOGLEFINANCE(B1158,""price"",TODAY()-365,TODAY()),1,0),""select Col2 limit 90""))"),375.48055555555555)</f>
        <v>375.4805556</v>
      </c>
      <c r="M1158" s="17">
        <f>IFERROR(__xludf.DUMMYFUNCTION("AVERAGE(QUERY(SORT(GOOGLEFINANCE(B1158,""price"",TODAY()-365,TODAY()),1,0),""select Col2 limit 120""))"),330.5456666666667)</f>
        <v>330.5456667</v>
      </c>
      <c r="N1158" s="19">
        <f>IFERROR(__xludf.DUMMYFUNCTION("AVERAGE(QUERY(SORT(GOOGLEFINANCE(B1158,""price"",TODAY()-365,TODAY()),1,0),""select Col2 limit 200""))"),282.42890000000006)</f>
        <v>282.4289</v>
      </c>
      <c r="O1158" s="20" t="str">
        <f t="shared" si="2"/>
        <v>Avoid</v>
      </c>
      <c r="P1158" s="21" t="str">
        <f t="shared" si="3"/>
        <v/>
      </c>
      <c r="Q1158" s="21" t="str">
        <f t="shared" si="4"/>
        <v/>
      </c>
      <c r="R1158" s="22">
        <f>IFERROR(__xludf.DUMMYFUNCTION("GOOGLEFINANCE(B1158, ""pe"")
"),32.14)</f>
        <v>32.14</v>
      </c>
    </row>
    <row r="1159">
      <c r="A1159" s="9" t="s">
        <v>1169</v>
      </c>
      <c r="B1159" s="11" t="str">
        <f t="shared" si="1"/>
        <v>NSE:MANALIPETC</v>
      </c>
      <c r="C1159" s="12">
        <f>IFERROR(__xludf.DUMMYFUNCTION("GOOGLEFINANCE(B1159,""marketcap"")/10000000"),1234.4374829)</f>
        <v>1234.437483</v>
      </c>
      <c r="D1159" s="13">
        <f>IFERROR(__xludf.DUMMYFUNCTION("GOOGLEFINANCE(B1159,""price"")"),71.72)</f>
        <v>71.72</v>
      </c>
      <c r="E1159" s="14">
        <f>IFERROR(__xludf.DUMMYFUNCTION("GOOGLEFINANCE(B1159,""Volume"")"),225004.0)</f>
        <v>225004</v>
      </c>
      <c r="F1159" s="14">
        <f t="array" ref="F1159">F1158</f>
        <v>14</v>
      </c>
      <c r="G1159" s="15" t="str">
        <f>IFERROR(__xludf.DUMMYFUNCTION("IF(E1159&gt;AVERAGE(INDEX(GOOGLEFINANCE(B1159,""volume"",WORKDAY(TODAY(),-$F$1),TODAY()),,2)),""Breakout"","""")"),"")</f>
        <v/>
      </c>
      <c r="H1159" s="16">
        <f>IFERROR(__xludf.DUMMYFUNCTION("GOOGLEFINANCE(B1159,""price"")"),71.72)</f>
        <v>71.72</v>
      </c>
      <c r="I1159" s="17">
        <f>IFERROR(__xludf.DUMMYFUNCTION("AVERAGE(QUERY(SORT(GOOGLEFINANCE(B1159,""price"",TODAY()-365,TODAY()),1,0),""select Col2 limit 10""))"),72.995)</f>
        <v>72.995</v>
      </c>
      <c r="J1159" s="17">
        <f>IFERROR(__xludf.DUMMYFUNCTION("AVERAGE(QUERY(SORT(GOOGLEFINANCE(B1159,""price"",TODAY()-365,TODAY()),1,0),""select Col2 limit 30""))"),70.20700000000001)</f>
        <v>70.207</v>
      </c>
      <c r="K1159" s="18">
        <f>IFERROR(__xludf.DUMMYFUNCTION("AVERAGE(QUERY(SORT(GOOGLEFINANCE(B1159,""price"",TODAY()-365,TODAY()),1,0),""select Col2 limit 60""))"),63.49333333333334)</f>
        <v>63.49333333</v>
      </c>
      <c r="L1159" s="17">
        <f>IFERROR(__xludf.DUMMYFUNCTION("AVERAGE(QUERY(SORT(GOOGLEFINANCE(B1159,""price"",TODAY()-365,TODAY()),1,0),""select Col2 limit 90""))"),61.29588888888892)</f>
        <v>61.29588889</v>
      </c>
      <c r="M1159" s="17">
        <f>IFERROR(__xludf.DUMMYFUNCTION("AVERAGE(QUERY(SORT(GOOGLEFINANCE(B1159,""price"",TODAY()-365,TODAY()),1,0),""select Col2 limit 120""))"),61.27766666666668)</f>
        <v>61.27766667</v>
      </c>
      <c r="N1159" s="19">
        <f>IFERROR(__xludf.DUMMYFUNCTION("AVERAGE(QUERY(SORT(GOOGLEFINANCE(B1159,""price"",TODAY()-365,TODAY()),1,0),""select Col2 limit 200""))"),62.873900000000006)</f>
        <v>62.8739</v>
      </c>
      <c r="O1159" s="20" t="str">
        <f t="shared" si="2"/>
        <v>Avoid</v>
      </c>
      <c r="P1159" s="21" t="str">
        <f t="shared" si="3"/>
        <v/>
      </c>
      <c r="Q1159" s="21" t="str">
        <f t="shared" si="4"/>
        <v/>
      </c>
      <c r="R1159" s="22">
        <f>IFERROR(__xludf.DUMMYFUNCTION("GOOGLEFINANCE(B1159, ""pe"")
"),42.19)</f>
        <v>42.19</v>
      </c>
    </row>
    <row r="1160">
      <c r="A1160" s="9" t="s">
        <v>1170</v>
      </c>
      <c r="B1160" s="11" t="str">
        <f t="shared" si="1"/>
        <v>NSE:TEXINFRA</v>
      </c>
      <c r="C1160" s="12">
        <f>IFERROR(__xludf.DUMMYFUNCTION("GOOGLEFINANCE(B1160,""marketcap"")/10000000"),1245.8488477)</f>
        <v>1245.848848</v>
      </c>
      <c r="D1160" s="13">
        <f>IFERROR(__xludf.DUMMYFUNCTION("GOOGLEFINANCE(B1160,""price"")"),97.77)</f>
        <v>97.77</v>
      </c>
      <c r="E1160" s="14">
        <f>IFERROR(__xludf.DUMMYFUNCTION("GOOGLEFINANCE(B1160,""Volume"")"),31109.0)</f>
        <v>31109</v>
      </c>
      <c r="F1160" s="14">
        <f t="array" ref="F1160">F1159</f>
        <v>14</v>
      </c>
      <c r="G1160" s="15" t="str">
        <f>IFERROR(__xludf.DUMMYFUNCTION("IF(E1160&gt;AVERAGE(INDEX(GOOGLEFINANCE(B1160,""volume"",WORKDAY(TODAY(),-$F$1),TODAY()),,2)),""Breakout"","""")"),"")</f>
        <v/>
      </c>
      <c r="H1160" s="16">
        <f>IFERROR(__xludf.DUMMYFUNCTION("GOOGLEFINANCE(B1160,""price"")"),97.77)</f>
        <v>97.77</v>
      </c>
      <c r="I1160" s="17">
        <f>IFERROR(__xludf.DUMMYFUNCTION("AVERAGE(QUERY(SORT(GOOGLEFINANCE(B1160,""price"",TODAY()-365,TODAY()),1,0),""select Col2 limit 10""))"),101.04399999999998)</f>
        <v>101.044</v>
      </c>
      <c r="J1160" s="17">
        <f>IFERROR(__xludf.DUMMYFUNCTION("AVERAGE(QUERY(SORT(GOOGLEFINANCE(B1160,""price"",TODAY()-365,TODAY()),1,0),""select Col2 limit 30""))"),102.00533333333333)</f>
        <v>102.0053333</v>
      </c>
      <c r="K1160" s="18">
        <f>IFERROR(__xludf.DUMMYFUNCTION("AVERAGE(QUERY(SORT(GOOGLEFINANCE(B1160,""price"",TODAY()-365,TODAY()),1,0),""select Col2 limit 60""))"),101.653)</f>
        <v>101.653</v>
      </c>
      <c r="L1160" s="17">
        <f>IFERROR(__xludf.DUMMYFUNCTION("AVERAGE(QUERY(SORT(GOOGLEFINANCE(B1160,""price"",TODAY()-365,TODAY()),1,0),""select Col2 limit 90""))"),101.80477777777779)</f>
        <v>101.8047778</v>
      </c>
      <c r="M1160" s="17">
        <f>IFERROR(__xludf.DUMMYFUNCTION("AVERAGE(QUERY(SORT(GOOGLEFINANCE(B1160,""price"",TODAY()-365,TODAY()),1,0),""select Col2 limit 120""))"),102.32725000000003)</f>
        <v>102.32725</v>
      </c>
      <c r="N1160" s="19">
        <f>IFERROR(__xludf.DUMMYFUNCTION("AVERAGE(QUERY(SORT(GOOGLEFINANCE(B1160,""price"",TODAY()-365,TODAY()),1,0),""select Col2 limit 200""))"),111.45000000000002)</f>
        <v>111.45</v>
      </c>
      <c r="O1160" s="20" t="str">
        <f t="shared" si="2"/>
        <v>Avoid</v>
      </c>
      <c r="P1160" s="21" t="str">
        <f t="shared" si="3"/>
        <v/>
      </c>
      <c r="Q1160" s="21" t="str">
        <f t="shared" si="4"/>
        <v/>
      </c>
      <c r="R1160" s="22" t="str">
        <f>IFERROR(__xludf.DUMMYFUNCTION("GOOGLEFINANCE(B1160, ""pe"")
"),"#N/A")</f>
        <v>#N/A</v>
      </c>
    </row>
    <row r="1161">
      <c r="A1161" s="9" t="s">
        <v>1171</v>
      </c>
      <c r="B1161" s="11" t="str">
        <f t="shared" si="1"/>
        <v>NSE:SHANKARA</v>
      </c>
      <c r="C1161" s="12">
        <f>IFERROR(__xludf.DUMMYFUNCTION("GOOGLEFINANCE(B1161,""marketcap"")/10000000"),2212.877838)</f>
        <v>2212.877838</v>
      </c>
      <c r="D1161" s="13">
        <f>IFERROR(__xludf.DUMMYFUNCTION("GOOGLEFINANCE(B1161,""price"")"),913.9)</f>
        <v>913.9</v>
      </c>
      <c r="E1161" s="14">
        <f>IFERROR(__xludf.DUMMYFUNCTION("GOOGLEFINANCE(B1161,""Volume"")"),376450.0)</f>
        <v>376450</v>
      </c>
      <c r="F1161" s="14">
        <f t="array" ref="F1161">F1160</f>
        <v>14</v>
      </c>
      <c r="G1161" s="15" t="str">
        <f>IFERROR(__xludf.DUMMYFUNCTION("IF(E1161&gt;AVERAGE(INDEX(GOOGLEFINANCE(B1161,""volume"",WORKDAY(TODAY(),-$F$1),TODAY()),,2)),""Breakout"","""")"),"Breakout")</f>
        <v>Breakout</v>
      </c>
      <c r="H1161" s="16">
        <f>IFERROR(__xludf.DUMMYFUNCTION("GOOGLEFINANCE(B1161,""price"")"),913.9)</f>
        <v>913.9</v>
      </c>
      <c r="I1161" s="17">
        <f>IFERROR(__xludf.DUMMYFUNCTION("AVERAGE(QUERY(SORT(GOOGLEFINANCE(B1161,""price"",TODAY()-365,TODAY()),1,0),""select Col2 limit 10""))"),1029.41)</f>
        <v>1029.41</v>
      </c>
      <c r="J1161" s="17">
        <f>IFERROR(__xludf.DUMMYFUNCTION("AVERAGE(QUERY(SORT(GOOGLEFINANCE(B1161,""price"",TODAY()-365,TODAY()),1,0),""select Col2 limit 30""))"),1023.7866666666666)</f>
        <v>1023.786667</v>
      </c>
      <c r="K1161" s="18">
        <f>IFERROR(__xludf.DUMMYFUNCTION("AVERAGE(QUERY(SORT(GOOGLEFINANCE(B1161,""price"",TODAY()-365,TODAY()),1,0),""select Col2 limit 60""))"),917.8166666666663)</f>
        <v>917.8166667</v>
      </c>
      <c r="L1161" s="17">
        <f>IFERROR(__xludf.DUMMYFUNCTION("AVERAGE(QUERY(SORT(GOOGLEFINANCE(B1161,""price"",TODAY()-365,TODAY()),1,0),""select Col2 limit 90""))"),808.3411111111109)</f>
        <v>808.3411111</v>
      </c>
      <c r="M1161" s="17">
        <f>IFERROR(__xludf.DUMMYFUNCTION("AVERAGE(QUERY(SORT(GOOGLEFINANCE(B1161,""price"",TODAY()-365,TODAY()),1,0),""select Col2 limit 120""))"),749.5391666666667)</f>
        <v>749.5391667</v>
      </c>
      <c r="N1161" s="19">
        <f>IFERROR(__xludf.DUMMYFUNCTION("AVERAGE(QUERY(SORT(GOOGLEFINANCE(B1161,""price"",TODAY()-365,TODAY()),1,0),""select Col2 limit 200""))"),690.57875)</f>
        <v>690.57875</v>
      </c>
      <c r="O1161" s="20" t="str">
        <f t="shared" si="2"/>
        <v>Avoid</v>
      </c>
      <c r="P1161" s="21" t="str">
        <f t="shared" si="3"/>
        <v>60 DMA</v>
      </c>
      <c r="Q1161" s="21" t="str">
        <f t="shared" si="4"/>
        <v/>
      </c>
      <c r="R1161" s="22">
        <f>IFERROR(__xludf.DUMMYFUNCTION("GOOGLEFINANCE(B1161, ""pe"")
"),28.77)</f>
        <v>28.77</v>
      </c>
    </row>
    <row r="1162">
      <c r="A1162" s="9" t="s">
        <v>1172</v>
      </c>
      <c r="B1162" s="11" t="str">
        <f t="shared" si="1"/>
        <v>NSE:RISHABH</v>
      </c>
      <c r="C1162" s="12">
        <f>IFERROR(__xludf.DUMMYFUNCTION("GOOGLEFINANCE(B1162,""marketcap"")/10000000"),1093.9008043)</f>
        <v>1093.900804</v>
      </c>
      <c r="D1162" s="13">
        <f>IFERROR(__xludf.DUMMYFUNCTION("GOOGLEFINANCE(B1162,""price"")"),283.95)</f>
        <v>283.95</v>
      </c>
      <c r="E1162" s="14">
        <f>IFERROR(__xludf.DUMMYFUNCTION("GOOGLEFINANCE(B1162,""Volume"")"),11746.0)</f>
        <v>11746</v>
      </c>
      <c r="F1162" s="14">
        <f t="array" ref="F1162">F1161</f>
        <v>14</v>
      </c>
      <c r="G1162" s="15" t="str">
        <f>IFERROR(__xludf.DUMMYFUNCTION("IF(E1162&gt;AVERAGE(INDEX(GOOGLEFINANCE(B1162,""volume"",WORKDAY(TODAY(),-$F$1),TODAY()),,2)),""Breakout"","""")"),"")</f>
        <v/>
      </c>
      <c r="H1162" s="16">
        <f>IFERROR(__xludf.DUMMYFUNCTION("GOOGLEFINANCE(B1162,""price"")"),283.95)</f>
        <v>283.95</v>
      </c>
      <c r="I1162" s="17">
        <f>IFERROR(__xludf.DUMMYFUNCTION("AVERAGE(QUERY(SORT(GOOGLEFINANCE(B1162,""price"",TODAY()-365,TODAY()),1,0),""select Col2 limit 10""))"),292.765)</f>
        <v>292.765</v>
      </c>
      <c r="J1162" s="17">
        <f>IFERROR(__xludf.DUMMYFUNCTION("AVERAGE(QUERY(SORT(GOOGLEFINANCE(B1162,""price"",TODAY()-365,TODAY()),1,0),""select Col2 limit 30""))"),289.67166666666674)</f>
        <v>289.6716667</v>
      </c>
      <c r="K1162" s="18">
        <f>IFERROR(__xludf.DUMMYFUNCTION("AVERAGE(QUERY(SORT(GOOGLEFINANCE(B1162,""price"",TODAY()-365,TODAY()),1,0),""select Col2 limit 60""))"),286.4091666666665)</f>
        <v>286.4091667</v>
      </c>
      <c r="L1162" s="17">
        <f>IFERROR(__xludf.DUMMYFUNCTION("AVERAGE(QUERY(SORT(GOOGLEFINANCE(B1162,""price"",TODAY()-365,TODAY()),1,0),""select Col2 limit 90""))"),270.4572222222221)</f>
        <v>270.4572222</v>
      </c>
      <c r="M1162" s="17">
        <f>IFERROR(__xludf.DUMMYFUNCTION("AVERAGE(QUERY(SORT(GOOGLEFINANCE(B1162,""price"",TODAY()-365,TODAY()),1,0),""select Col2 limit 120""))"),264.67391666666657)</f>
        <v>264.6739167</v>
      </c>
      <c r="N1162" s="19">
        <f>IFERROR(__xludf.DUMMYFUNCTION("AVERAGE(QUERY(SORT(GOOGLEFINANCE(B1162,""price"",TODAY()-365,TODAY()),1,0),""select Col2 limit 200""))"),295.74634999999995)</f>
        <v>295.74635</v>
      </c>
      <c r="O1162" s="20" t="str">
        <f t="shared" si="2"/>
        <v>Avoid</v>
      </c>
      <c r="P1162" s="21" t="str">
        <f t="shared" si="3"/>
        <v>60 DMA</v>
      </c>
      <c r="Q1162" s="21" t="str">
        <f t="shared" si="4"/>
        <v/>
      </c>
      <c r="R1162" s="22">
        <f>IFERROR(__xludf.DUMMYFUNCTION("GOOGLEFINANCE(B1162, ""pe"")
"),48.24)</f>
        <v>48.24</v>
      </c>
    </row>
    <row r="1163">
      <c r="A1163" s="9" t="s">
        <v>1173</v>
      </c>
      <c r="B1163" s="11" t="str">
        <f t="shared" si="1"/>
        <v>NSE:BHARATWIRE</v>
      </c>
      <c r="C1163" s="12">
        <f>IFERROR(__xludf.DUMMYFUNCTION("GOOGLEFINANCE(B1163,""marketcap"")/10000000"),1301.5990997)</f>
        <v>1301.5991</v>
      </c>
      <c r="D1163" s="13">
        <f>IFERROR(__xludf.DUMMYFUNCTION("GOOGLEFINANCE(B1163,""price"")"),189.12)</f>
        <v>189.12</v>
      </c>
      <c r="E1163" s="14">
        <f>IFERROR(__xludf.DUMMYFUNCTION("GOOGLEFINANCE(B1163,""Volume"")"),77286.0)</f>
        <v>77286</v>
      </c>
      <c r="F1163" s="14">
        <f t="array" ref="F1163">F1162</f>
        <v>14</v>
      </c>
      <c r="G1163" s="15" t="str">
        <f>IFERROR(__xludf.DUMMYFUNCTION("IF(E1163&gt;AVERAGE(INDEX(GOOGLEFINANCE(B1163,""volume"",WORKDAY(TODAY(),-$F$1),TODAY()),,2)),""Breakout"","""")"),"")</f>
        <v/>
      </c>
      <c r="H1163" s="16">
        <f>IFERROR(__xludf.DUMMYFUNCTION("GOOGLEFINANCE(B1163,""price"")"),189.12)</f>
        <v>189.12</v>
      </c>
      <c r="I1163" s="17">
        <f>IFERROR(__xludf.DUMMYFUNCTION("AVERAGE(QUERY(SORT(GOOGLEFINANCE(B1163,""price"",TODAY()-365,TODAY()),1,0),""select Col2 limit 10""))"),209.86599999999999)</f>
        <v>209.866</v>
      </c>
      <c r="J1163" s="17">
        <f>IFERROR(__xludf.DUMMYFUNCTION("AVERAGE(QUERY(SORT(GOOGLEFINANCE(B1163,""price"",TODAY()-365,TODAY()),1,0),""select Col2 limit 30""))"),215.15666666666667)</f>
        <v>215.1566667</v>
      </c>
      <c r="K1163" s="18">
        <f>IFERROR(__xludf.DUMMYFUNCTION("AVERAGE(QUERY(SORT(GOOGLEFINANCE(B1163,""price"",TODAY()-365,TODAY()),1,0),""select Col2 limit 60""))"),203.00750000000005)</f>
        <v>203.0075</v>
      </c>
      <c r="L1163" s="17">
        <f>IFERROR(__xludf.DUMMYFUNCTION("AVERAGE(QUERY(SORT(GOOGLEFINANCE(B1163,""price"",TODAY()-365,TODAY()),1,0),""select Col2 limit 90""))"),195.97688888888888)</f>
        <v>195.9768889</v>
      </c>
      <c r="M1163" s="17">
        <f>IFERROR(__xludf.DUMMYFUNCTION("AVERAGE(QUERY(SORT(GOOGLEFINANCE(B1163,""price"",TODAY()-365,TODAY()),1,0),""select Col2 limit 120""))"),187.70749999999998)</f>
        <v>187.7075</v>
      </c>
      <c r="N1163" s="19">
        <f>IFERROR(__xludf.DUMMYFUNCTION("AVERAGE(QUERY(SORT(GOOGLEFINANCE(B1163,""price"",TODAY()-365,TODAY()),1,0),""select Col2 limit 200""))"),202.60374999999996)</f>
        <v>202.60375</v>
      </c>
      <c r="O1163" s="20" t="str">
        <f t="shared" si="2"/>
        <v>Avoid</v>
      </c>
      <c r="P1163" s="21" t="str">
        <f t="shared" si="3"/>
        <v/>
      </c>
      <c r="Q1163" s="21" t="str">
        <f t="shared" si="4"/>
        <v/>
      </c>
      <c r="R1163" s="22">
        <f>IFERROR(__xludf.DUMMYFUNCTION("GOOGLEFINANCE(B1163, ""pe"")
"),17.84)</f>
        <v>17.84</v>
      </c>
    </row>
    <row r="1164">
      <c r="A1164" s="9" t="s">
        <v>1174</v>
      </c>
      <c r="B1164" s="11" t="str">
        <f t="shared" si="1"/>
        <v>NSE:TFCILTD</v>
      </c>
      <c r="C1164" s="12">
        <f>IFERROR(__xludf.DUMMYFUNCTION("GOOGLEFINANCE(B1164,""marketcap"")/10000000"),2595.4497898)</f>
        <v>2595.44979</v>
      </c>
      <c r="D1164" s="13">
        <f>IFERROR(__xludf.DUMMYFUNCTION("GOOGLEFINANCE(B1164,""price"")"),281.48)</f>
        <v>281.48</v>
      </c>
      <c r="E1164" s="14">
        <f>IFERROR(__xludf.DUMMYFUNCTION("GOOGLEFINANCE(B1164,""Volume"")"),768381.0)</f>
        <v>768381</v>
      </c>
      <c r="F1164" s="14">
        <f t="array" ref="F1164">F1163</f>
        <v>14</v>
      </c>
      <c r="G1164" s="15" t="str">
        <f>IFERROR(__xludf.DUMMYFUNCTION("IF(E1164&gt;AVERAGE(INDEX(GOOGLEFINANCE(B1164,""volume"",WORKDAY(TODAY(),-$F$1),TODAY()),,2)),""Breakout"","""")"),"")</f>
        <v/>
      </c>
      <c r="H1164" s="16">
        <f>IFERROR(__xludf.DUMMYFUNCTION("GOOGLEFINANCE(B1164,""price"")"),281.48)</f>
        <v>281.48</v>
      </c>
      <c r="I1164" s="17">
        <f>IFERROR(__xludf.DUMMYFUNCTION("AVERAGE(QUERY(SORT(GOOGLEFINANCE(B1164,""price"",TODAY()-365,TODAY()),1,0),""select Col2 limit 10""))"),286.331)</f>
        <v>286.331</v>
      </c>
      <c r="J1164" s="17">
        <f>IFERROR(__xludf.DUMMYFUNCTION("AVERAGE(QUERY(SORT(GOOGLEFINANCE(B1164,""price"",TODAY()-365,TODAY()),1,0),""select Col2 limit 30""))"),251.315)</f>
        <v>251.315</v>
      </c>
      <c r="K1164" s="18">
        <f>IFERROR(__xludf.DUMMYFUNCTION("AVERAGE(QUERY(SORT(GOOGLEFINANCE(B1164,""price"",TODAY()-365,TODAY()),1,0),""select Col2 limit 60""))"),230.34533333333331)</f>
        <v>230.3453333</v>
      </c>
      <c r="L1164" s="17">
        <f>IFERROR(__xludf.DUMMYFUNCTION("AVERAGE(QUERY(SORT(GOOGLEFINANCE(B1164,""price"",TODAY()-365,TODAY()),1,0),""select Col2 limit 90""))"),207.61022222222212)</f>
        <v>207.6102222</v>
      </c>
      <c r="M1164" s="17">
        <f>IFERROR(__xludf.DUMMYFUNCTION("AVERAGE(QUERY(SORT(GOOGLEFINANCE(B1164,""price"",TODAY()-365,TODAY()),1,0),""select Col2 limit 120""))"),191.13741666666658)</f>
        <v>191.1374167</v>
      </c>
      <c r="N1164" s="19">
        <f>IFERROR(__xludf.DUMMYFUNCTION("AVERAGE(QUERY(SORT(GOOGLEFINANCE(B1164,""price"",TODAY()-365,TODAY()),1,0),""select Col2 limit 200""))"),178.87484999999998)</f>
        <v>178.87485</v>
      </c>
      <c r="O1164" s="20" t="str">
        <f t="shared" si="2"/>
        <v>Avoid</v>
      </c>
      <c r="P1164" s="21" t="str">
        <f t="shared" si="3"/>
        <v/>
      </c>
      <c r="Q1164" s="21" t="str">
        <f t="shared" si="4"/>
        <v/>
      </c>
      <c r="R1164" s="22">
        <f>IFERROR(__xludf.DUMMYFUNCTION("GOOGLEFINANCE(B1164, ""pe"")
"),24.99)</f>
        <v>24.99</v>
      </c>
    </row>
    <row r="1165">
      <c r="A1165" s="9" t="s">
        <v>1175</v>
      </c>
      <c r="B1165" s="11" t="str">
        <f t="shared" si="1"/>
        <v>NSE:WEL</v>
      </c>
      <c r="C1165" s="12">
        <f>IFERROR(__xludf.DUMMYFUNCTION("GOOGLEFINANCE(B1165,""marketcap"")/10000000"),2244.2303176)</f>
        <v>2244.230318</v>
      </c>
      <c r="D1165" s="13">
        <f>IFERROR(__xludf.DUMMYFUNCTION("GOOGLEFINANCE(B1165,""price"")"),167.49)</f>
        <v>167.49</v>
      </c>
      <c r="E1165" s="14">
        <f>IFERROR(__xludf.DUMMYFUNCTION("GOOGLEFINANCE(B1165,""Volume"")"),32820.0)</f>
        <v>32820</v>
      </c>
      <c r="F1165" s="14">
        <f t="array" ref="F1165">F1164</f>
        <v>14</v>
      </c>
      <c r="G1165" s="15" t="str">
        <f>IFERROR(__xludf.DUMMYFUNCTION("IF(E1165&gt;AVERAGE(INDEX(GOOGLEFINANCE(B1165,""volume"",WORKDAY(TODAY(),-$F$1),TODAY()),,2)),""Breakout"","""")"),"")</f>
        <v/>
      </c>
      <c r="H1165" s="16">
        <f>IFERROR(__xludf.DUMMYFUNCTION("GOOGLEFINANCE(B1165,""price"")"),167.49)</f>
        <v>167.49</v>
      </c>
      <c r="I1165" s="17">
        <f>IFERROR(__xludf.DUMMYFUNCTION("AVERAGE(QUERY(SORT(GOOGLEFINANCE(B1165,""price"",TODAY()-365,TODAY()),1,0),""select Col2 limit 10""))"),161.988)</f>
        <v>161.988</v>
      </c>
      <c r="J1165" s="17">
        <f>IFERROR(__xludf.DUMMYFUNCTION("AVERAGE(QUERY(SORT(GOOGLEFINANCE(B1165,""price"",TODAY()-365,TODAY()),1,0),""select Col2 limit 30""))"),166.26299999999998)</f>
        <v>166.263</v>
      </c>
      <c r="K1165" s="18">
        <f>IFERROR(__xludf.DUMMYFUNCTION("AVERAGE(QUERY(SORT(GOOGLEFINANCE(B1165,""price"",TODAY()-365,TODAY()),1,0),""select Col2 limit 60""))"),168.66049999999996)</f>
        <v>168.6605</v>
      </c>
      <c r="L1165" s="17">
        <f>IFERROR(__xludf.DUMMYFUNCTION("AVERAGE(QUERY(SORT(GOOGLEFINANCE(B1165,""price"",TODAY()-365,TODAY()),1,0),""select Col2 limit 90""))"),168.62233333333324)</f>
        <v>168.6223333</v>
      </c>
      <c r="M1165" s="17">
        <f>IFERROR(__xludf.DUMMYFUNCTION("AVERAGE(QUERY(SORT(GOOGLEFINANCE(B1165,""price"",TODAY()-365,TODAY()),1,0),""select Col2 limit 120""))"),171.95816666666667)</f>
        <v>171.9581667</v>
      </c>
      <c r="N1165" s="19">
        <f>IFERROR(__xludf.DUMMYFUNCTION("AVERAGE(QUERY(SORT(GOOGLEFINANCE(B1165,""price"",TODAY()-365,TODAY()),1,0),""select Col2 limit 200""))"),164.56329999999994)</f>
        <v>164.5633</v>
      </c>
      <c r="O1165" s="20" t="str">
        <f t="shared" si="2"/>
        <v>Avoid</v>
      </c>
      <c r="P1165" s="21" t="str">
        <f t="shared" si="3"/>
        <v>60 DMA</v>
      </c>
      <c r="Q1165" s="21" t="str">
        <f t="shared" si="4"/>
        <v/>
      </c>
      <c r="R1165" s="22">
        <f>IFERROR(__xludf.DUMMYFUNCTION("GOOGLEFINANCE(B1165, ""pe"")
"),135.06)</f>
        <v>135.06</v>
      </c>
    </row>
    <row r="1166">
      <c r="A1166" s="9" t="s">
        <v>1176</v>
      </c>
      <c r="B1166" s="11" t="str">
        <f t="shared" si="1"/>
        <v>NSE:DSSL</v>
      </c>
      <c r="C1166" s="12">
        <f>IFERROR(__xludf.DUMMYFUNCTION("GOOGLEFINANCE(B1166,""marketcap"")/10000000"),1308.9274127)</f>
        <v>1308.927413</v>
      </c>
      <c r="D1166" s="13">
        <f>IFERROR(__xludf.DUMMYFUNCTION("GOOGLEFINANCE(B1166,""price"")"),1028.6)</f>
        <v>1028.6</v>
      </c>
      <c r="E1166" s="14">
        <f>IFERROR(__xludf.DUMMYFUNCTION("GOOGLEFINANCE(B1166,""Volume"")"),9437.0)</f>
        <v>9437</v>
      </c>
      <c r="F1166" s="14">
        <f t="array" ref="F1166">F1165</f>
        <v>14</v>
      </c>
      <c r="G1166" s="15" t="str">
        <f>IFERROR(__xludf.DUMMYFUNCTION("IF(E1166&gt;AVERAGE(INDEX(GOOGLEFINANCE(B1166,""volume"",WORKDAY(TODAY(),-$F$1),TODAY()),,2)),""Breakout"","""")"),"")</f>
        <v/>
      </c>
      <c r="H1166" s="16">
        <f>IFERROR(__xludf.DUMMYFUNCTION("GOOGLEFINANCE(B1166,""price"")"),1028.6)</f>
        <v>1028.6</v>
      </c>
      <c r="I1166" s="17">
        <f>IFERROR(__xludf.DUMMYFUNCTION("AVERAGE(QUERY(SORT(GOOGLEFINANCE(B1166,""price"",TODAY()-365,TODAY()),1,0),""select Col2 limit 10""))"),1049.1799999999998)</f>
        <v>1049.18</v>
      </c>
      <c r="J1166" s="17">
        <f>IFERROR(__xludf.DUMMYFUNCTION("AVERAGE(QUERY(SORT(GOOGLEFINANCE(B1166,""price"",TODAY()-365,TODAY()),1,0),""select Col2 limit 30""))"),1067.1933333333334)</f>
        <v>1067.193333</v>
      </c>
      <c r="K1166" s="18">
        <f>IFERROR(__xludf.DUMMYFUNCTION("AVERAGE(QUERY(SORT(GOOGLEFINANCE(B1166,""price"",TODAY()-365,TODAY()),1,0),""select Col2 limit 60""))"),1084.4549999999997)</f>
        <v>1084.455</v>
      </c>
      <c r="L1166" s="17">
        <f>IFERROR(__xludf.DUMMYFUNCTION("AVERAGE(QUERY(SORT(GOOGLEFINANCE(B1166,""price"",TODAY()-365,TODAY()),1,0),""select Col2 limit 90""))"),1076.5088888888888)</f>
        <v>1076.508889</v>
      </c>
      <c r="M1166" s="17">
        <f>IFERROR(__xludf.DUMMYFUNCTION("AVERAGE(QUERY(SORT(GOOGLEFINANCE(B1166,""price"",TODAY()-365,TODAY()),1,0),""select Col2 limit 120""))"),1083.1799999999996)</f>
        <v>1083.18</v>
      </c>
      <c r="N1166" s="19">
        <f>IFERROR(__xludf.DUMMYFUNCTION("AVERAGE(QUERY(SORT(GOOGLEFINANCE(B1166,""price"",TODAY()-365,TODAY()),1,0),""select Col2 limit 200""))"),1190.5952499999992)</f>
        <v>1190.59525</v>
      </c>
      <c r="O1166" s="20" t="str">
        <f t="shared" si="2"/>
        <v>Avoid</v>
      </c>
      <c r="P1166" s="21" t="str">
        <f t="shared" si="3"/>
        <v/>
      </c>
      <c r="Q1166" s="21" t="str">
        <f t="shared" si="4"/>
        <v/>
      </c>
      <c r="R1166" s="22">
        <f>IFERROR(__xludf.DUMMYFUNCTION("GOOGLEFINANCE(B1166, ""pe"")
"),18.05)</f>
        <v>18.05</v>
      </c>
    </row>
    <row r="1167">
      <c r="A1167" s="9" t="s">
        <v>1177</v>
      </c>
      <c r="B1167" s="11" t="str">
        <f t="shared" si="1"/>
        <v>NSE:PUNJABCHEM</v>
      </c>
      <c r="C1167" s="12">
        <f>IFERROR(__xludf.DUMMYFUNCTION("GOOGLEFINANCE(B1167,""marketcap"")/10000000"),1661.52539)</f>
        <v>1661.52539</v>
      </c>
      <c r="D1167" s="13">
        <f>IFERROR(__xludf.DUMMYFUNCTION("GOOGLEFINANCE(B1167,""price"")"),1355.0)</f>
        <v>1355</v>
      </c>
      <c r="E1167" s="14">
        <f>IFERROR(__xludf.DUMMYFUNCTION("GOOGLEFINANCE(B1167,""Volume"")"),43776.0)</f>
        <v>43776</v>
      </c>
      <c r="F1167" s="14">
        <f t="array" ref="F1167">F1166</f>
        <v>14</v>
      </c>
      <c r="G1167" s="15" t="str">
        <f>IFERROR(__xludf.DUMMYFUNCTION("IF(E1167&gt;AVERAGE(INDEX(GOOGLEFINANCE(B1167,""volume"",WORKDAY(TODAY(),-$F$1),TODAY()),,2)),""Breakout"","""")"),"#N/A")</f>
        <v>#N/A</v>
      </c>
      <c r="H1167" s="16">
        <f>IFERROR(__xludf.DUMMYFUNCTION("GOOGLEFINANCE(B1167,""price"")"),1355.0)</f>
        <v>1355</v>
      </c>
      <c r="I1167" s="17">
        <f>IFERROR(__xludf.DUMMYFUNCTION("AVERAGE(QUERY(SORT(GOOGLEFINANCE(B1167,""price"",TODAY()-365,TODAY()),1,0),""select Col2 limit 10""))"),1306.3899999999999)</f>
        <v>1306.39</v>
      </c>
      <c r="J1167" s="17">
        <f>IFERROR(__xludf.DUMMYFUNCTION("AVERAGE(QUERY(SORT(GOOGLEFINANCE(B1167,""price"",TODAY()-365,TODAY()),1,0),""select Col2 limit 30""))"),1228.1699999999998)</f>
        <v>1228.17</v>
      </c>
      <c r="K1167" s="18">
        <f>IFERROR(__xludf.DUMMYFUNCTION("AVERAGE(QUERY(SORT(GOOGLEFINANCE(B1167,""price"",TODAY()-365,TODAY()),1,0),""select Col2 limit 60""))"),1164.7500000000002)</f>
        <v>1164.75</v>
      </c>
      <c r="L1167" s="17">
        <f>IFERROR(__xludf.DUMMYFUNCTION("AVERAGE(QUERY(SORT(GOOGLEFINANCE(B1167,""price"",TODAY()-365,TODAY()),1,0),""select Col2 limit 90""))"),1096.6249999999995)</f>
        <v>1096.625</v>
      </c>
      <c r="M1167" s="17">
        <f>IFERROR(__xludf.DUMMYFUNCTION("AVERAGE(QUERY(SORT(GOOGLEFINANCE(B1167,""price"",TODAY()-365,TODAY()),1,0),""select Col2 limit 120""))"),1017.5941666666658)</f>
        <v>1017.594167</v>
      </c>
      <c r="N1167" s="19">
        <f>IFERROR(__xludf.DUMMYFUNCTION("AVERAGE(QUERY(SORT(GOOGLEFINANCE(B1167,""price"",TODAY()-365,TODAY()),1,0),""select Col2 limit 200""))"),1030.7172499999997)</f>
        <v>1030.71725</v>
      </c>
      <c r="O1167" s="20" t="str">
        <f t="shared" si="2"/>
        <v>Avoid</v>
      </c>
      <c r="P1167" s="21" t="str">
        <f t="shared" si="3"/>
        <v/>
      </c>
      <c r="Q1167" s="21" t="str">
        <f t="shared" si="4"/>
        <v/>
      </c>
      <c r="R1167" s="22">
        <f>IFERROR(__xludf.DUMMYFUNCTION("GOOGLEFINANCE(B1167, ""pe"")
"),42.68)</f>
        <v>42.68</v>
      </c>
    </row>
    <row r="1168">
      <c r="A1168" s="9" t="s">
        <v>1178</v>
      </c>
      <c r="B1168" s="11" t="str">
        <f t="shared" si="1"/>
        <v>NSE:VASCONEQ</v>
      </c>
      <c r="C1168" s="12">
        <f>IFERROR(__xludf.DUMMYFUNCTION("GOOGLEFINANCE(B1168,""marketcap"")/10000000"),1199.9999333)</f>
        <v>1199.999933</v>
      </c>
      <c r="D1168" s="13">
        <f>IFERROR(__xludf.DUMMYFUNCTION("GOOGLEFINANCE(B1168,""price"")"),52.82)</f>
        <v>52.82</v>
      </c>
      <c r="E1168" s="14">
        <f>IFERROR(__xludf.DUMMYFUNCTION("GOOGLEFINANCE(B1168,""Volume"")"),559713.0)</f>
        <v>559713</v>
      </c>
      <c r="F1168" s="14">
        <f t="array" ref="F1168">F1167</f>
        <v>14</v>
      </c>
      <c r="G1168" s="15" t="str">
        <f>IFERROR(__xludf.DUMMYFUNCTION("IF(E1168&gt;AVERAGE(INDEX(GOOGLEFINANCE(B1168,""volume"",WORKDAY(TODAY(),-$F$1),TODAY()),,2)),""Breakout"","""")"),"")</f>
        <v/>
      </c>
      <c r="H1168" s="16">
        <f>IFERROR(__xludf.DUMMYFUNCTION("GOOGLEFINANCE(B1168,""price"")"),52.82)</f>
        <v>52.82</v>
      </c>
      <c r="I1168" s="17">
        <f>IFERROR(__xludf.DUMMYFUNCTION("AVERAGE(QUERY(SORT(GOOGLEFINANCE(B1168,""price"",TODAY()-365,TODAY()),1,0),""select Col2 limit 10""))"),56.156000000000006)</f>
        <v>56.156</v>
      </c>
      <c r="J1168" s="17">
        <f>IFERROR(__xludf.DUMMYFUNCTION("AVERAGE(QUERY(SORT(GOOGLEFINANCE(B1168,""price"",TODAY()-365,TODAY()),1,0),""select Col2 limit 30""))"),53.48833333333334)</f>
        <v>53.48833333</v>
      </c>
      <c r="K1168" s="18">
        <f>IFERROR(__xludf.DUMMYFUNCTION("AVERAGE(QUERY(SORT(GOOGLEFINANCE(B1168,""price"",TODAY()-365,TODAY()),1,0),""select Col2 limit 60""))"),51.090833333333336)</f>
        <v>51.09083333</v>
      </c>
      <c r="L1168" s="17">
        <f>IFERROR(__xludf.DUMMYFUNCTION("AVERAGE(QUERY(SORT(GOOGLEFINANCE(B1168,""price"",TODAY()-365,TODAY()),1,0),""select Col2 limit 90""))"),47.032444444444444)</f>
        <v>47.03244444</v>
      </c>
      <c r="M1168" s="17">
        <f>IFERROR(__xludf.DUMMYFUNCTION("AVERAGE(QUERY(SORT(GOOGLEFINANCE(B1168,""price"",TODAY()-365,TODAY()),1,0),""select Col2 limit 120""))"),45.21883333333334)</f>
        <v>45.21883333</v>
      </c>
      <c r="N1168" s="19">
        <f>IFERROR(__xludf.DUMMYFUNCTION("AVERAGE(QUERY(SORT(GOOGLEFINANCE(B1168,""price"",TODAY()-365,TODAY()),1,0),""select Col2 limit 200""))"),49.05965000000001)</f>
        <v>49.05965</v>
      </c>
      <c r="O1168" s="20" t="str">
        <f t="shared" si="2"/>
        <v>Avoid</v>
      </c>
      <c r="P1168" s="21" t="str">
        <f t="shared" si="3"/>
        <v/>
      </c>
      <c r="Q1168" s="21" t="str">
        <f t="shared" si="4"/>
        <v/>
      </c>
      <c r="R1168" s="22">
        <f>IFERROR(__xludf.DUMMYFUNCTION("GOOGLEFINANCE(B1168, ""pe"")
"),9.4)</f>
        <v>9.4</v>
      </c>
    </row>
    <row r="1169">
      <c r="A1169" s="9" t="s">
        <v>1179</v>
      </c>
      <c r="B1169" s="11" t="str">
        <f t="shared" si="1"/>
        <v>NSE:BOROSCI</v>
      </c>
      <c r="C1169" s="12">
        <f>IFERROR(__xludf.DUMMYFUNCTION("GOOGLEFINANCE(B1169,""marketcap"")/10000000"),1468.0527668)</f>
        <v>1468.052767</v>
      </c>
      <c r="D1169" s="13">
        <f>IFERROR(__xludf.DUMMYFUNCTION("GOOGLEFINANCE(B1169,""price"")"),165.43)</f>
        <v>165.43</v>
      </c>
      <c r="E1169" s="14">
        <f>IFERROR(__xludf.DUMMYFUNCTION("GOOGLEFINANCE(B1169,""Volume"")"),138456.0)</f>
        <v>138456</v>
      </c>
      <c r="F1169" s="14">
        <f t="array" ref="F1169">F1168</f>
        <v>14</v>
      </c>
      <c r="G1169" s="15" t="str">
        <f>IFERROR(__xludf.DUMMYFUNCTION("IF(E1169&gt;AVERAGE(INDEX(GOOGLEFINANCE(B1169,""volume"",WORKDAY(TODAY(),-$F$1),TODAY()),,2)),""Breakout"","""")"),"")</f>
        <v/>
      </c>
      <c r="H1169" s="16">
        <f>IFERROR(__xludf.DUMMYFUNCTION("GOOGLEFINANCE(B1169,""price"")"),165.43)</f>
        <v>165.43</v>
      </c>
      <c r="I1169" s="17">
        <f>IFERROR(__xludf.DUMMYFUNCTION("AVERAGE(QUERY(SORT(GOOGLEFINANCE(B1169,""price"",TODAY()-365,TODAY()),1,0),""select Col2 limit 10""))"),170.75399999999996)</f>
        <v>170.754</v>
      </c>
      <c r="J1169" s="17">
        <f>IFERROR(__xludf.DUMMYFUNCTION("AVERAGE(QUERY(SORT(GOOGLEFINANCE(B1169,""price"",TODAY()-365,TODAY()),1,0),""select Col2 limit 30""))"),161.16333333333333)</f>
        <v>161.1633333</v>
      </c>
      <c r="K1169" s="18">
        <f>IFERROR(__xludf.DUMMYFUNCTION("AVERAGE(QUERY(SORT(GOOGLEFINANCE(B1169,""price"",TODAY()-365,TODAY()),1,0),""select Col2 limit 60""))"),149.3918333333333)</f>
        <v>149.3918333</v>
      </c>
      <c r="L1169" s="17">
        <f>IFERROR(__xludf.DUMMYFUNCTION("AVERAGE(QUERY(SORT(GOOGLEFINANCE(B1169,""price"",TODAY()-365,TODAY()),1,0),""select Col2 limit 90""))"),141.94622222222222)</f>
        <v>141.9462222</v>
      </c>
      <c r="M1169" s="17">
        <f>IFERROR(__xludf.DUMMYFUNCTION("AVERAGE(QUERY(SORT(GOOGLEFINANCE(B1169,""price"",TODAY()-365,TODAY()),1,0),""select Col2 limit 120""))"),141.71475000000004)</f>
        <v>141.71475</v>
      </c>
      <c r="N1169" s="19">
        <f>IFERROR(__xludf.DUMMYFUNCTION("AVERAGE(QUERY(SORT(GOOGLEFINANCE(B1169,""price"",TODAY()-365,TODAY()),1,0),""select Col2 limit 200""))"),155.27700000000007)</f>
        <v>155.277</v>
      </c>
      <c r="O1169" s="20" t="str">
        <f t="shared" si="2"/>
        <v>Avoid</v>
      </c>
      <c r="P1169" s="21" t="str">
        <f t="shared" si="3"/>
        <v/>
      </c>
      <c r="Q1169" s="21" t="str">
        <f t="shared" si="4"/>
        <v/>
      </c>
      <c r="R1169" s="22">
        <f>IFERROR(__xludf.DUMMYFUNCTION("GOOGLEFINANCE(B1169, ""pe"")
"),54.71)</f>
        <v>54.71</v>
      </c>
    </row>
    <row r="1170">
      <c r="A1170" s="9" t="s">
        <v>1180</v>
      </c>
      <c r="B1170" s="11" t="str">
        <f t="shared" si="1"/>
        <v>NSE:KECL</v>
      </c>
      <c r="C1170" s="12">
        <f>IFERROR(__xludf.DUMMYFUNCTION("GOOGLEFINANCE(B1170,""marketcap"")/10000000"),869.094524)</f>
        <v>869.094524</v>
      </c>
      <c r="D1170" s="13">
        <f>IFERROR(__xludf.DUMMYFUNCTION("GOOGLEFINANCE(B1170,""price"")"),130.56)</f>
        <v>130.56</v>
      </c>
      <c r="E1170" s="14">
        <f>IFERROR(__xludf.DUMMYFUNCTION("GOOGLEFINANCE(B1170,""Volume"")"),87977.0)</f>
        <v>87977</v>
      </c>
      <c r="F1170" s="14">
        <f t="array" ref="F1170">F1169</f>
        <v>14</v>
      </c>
      <c r="G1170" s="15" t="str">
        <f>IFERROR(__xludf.DUMMYFUNCTION("IF(E1170&gt;AVERAGE(INDEX(GOOGLEFINANCE(B1170,""volume"",WORKDAY(TODAY(),-$F$1),TODAY()),,2)),""Breakout"","""")"),"")</f>
        <v/>
      </c>
      <c r="H1170" s="16">
        <f>IFERROR(__xludf.DUMMYFUNCTION("GOOGLEFINANCE(B1170,""price"")"),130.56)</f>
        <v>130.56</v>
      </c>
      <c r="I1170" s="17">
        <f>IFERROR(__xludf.DUMMYFUNCTION("AVERAGE(QUERY(SORT(GOOGLEFINANCE(B1170,""price"",TODAY()-365,TODAY()),1,0),""select Col2 limit 10""))"),136.434)</f>
        <v>136.434</v>
      </c>
      <c r="J1170" s="17">
        <f>IFERROR(__xludf.DUMMYFUNCTION("AVERAGE(QUERY(SORT(GOOGLEFINANCE(B1170,""price"",TODAY()-365,TODAY()),1,0),""select Col2 limit 30""))"),140.0683333333333)</f>
        <v>140.0683333</v>
      </c>
      <c r="K1170" s="18">
        <f>IFERROR(__xludf.DUMMYFUNCTION("AVERAGE(QUERY(SORT(GOOGLEFINANCE(B1170,""price"",TODAY()-365,TODAY()),1,0),""select Col2 limit 60""))"),135.04249999999996)</f>
        <v>135.0425</v>
      </c>
      <c r="L1170" s="17">
        <f>IFERROR(__xludf.DUMMYFUNCTION("AVERAGE(QUERY(SORT(GOOGLEFINANCE(B1170,""price"",TODAY()-365,TODAY()),1,0),""select Col2 limit 90""))"),133.83644444444442)</f>
        <v>133.8364444</v>
      </c>
      <c r="M1170" s="17">
        <f>IFERROR(__xludf.DUMMYFUNCTION("AVERAGE(QUERY(SORT(GOOGLEFINANCE(B1170,""price"",TODAY()-365,TODAY()),1,0),""select Col2 limit 120""))"),134.59316666666658)</f>
        <v>134.5931667</v>
      </c>
      <c r="N1170" s="19">
        <f>IFERROR(__xludf.DUMMYFUNCTION("AVERAGE(QUERY(SORT(GOOGLEFINANCE(B1170,""price"",TODAY()-365,TODAY()),1,0),""select Col2 limit 200""))"),154.0845999999999)</f>
        <v>154.0846</v>
      </c>
      <c r="O1170" s="20" t="str">
        <f t="shared" si="2"/>
        <v>Avoid</v>
      </c>
      <c r="P1170" s="21" t="str">
        <f t="shared" si="3"/>
        <v/>
      </c>
      <c r="Q1170" s="21" t="str">
        <f t="shared" si="4"/>
        <v/>
      </c>
      <c r="R1170" s="22">
        <f>IFERROR(__xludf.DUMMYFUNCTION("GOOGLEFINANCE(B1170, ""pe"")
"),233.91)</f>
        <v>233.91</v>
      </c>
    </row>
    <row r="1171">
      <c r="A1171" s="9" t="s">
        <v>1181</v>
      </c>
      <c r="B1171" s="11" t="str">
        <f t="shared" si="1"/>
        <v>NSE:EKC</v>
      </c>
      <c r="C1171" s="12">
        <f>IFERROR(__xludf.DUMMYFUNCTION("GOOGLEFINANCE(B1171,""marketcap"")/10000000"),1443.8873146)</f>
        <v>1443.887315</v>
      </c>
      <c r="D1171" s="13">
        <f>IFERROR(__xludf.DUMMYFUNCTION("GOOGLEFINANCE(B1171,""price"")"),128.68)</f>
        <v>128.68</v>
      </c>
      <c r="E1171" s="14">
        <f>IFERROR(__xludf.DUMMYFUNCTION("GOOGLEFINANCE(B1171,""Volume"")"),154339.0)</f>
        <v>154339</v>
      </c>
      <c r="F1171" s="14">
        <f t="array" ref="F1171">F1170</f>
        <v>14</v>
      </c>
      <c r="G1171" s="15" t="str">
        <f>IFERROR(__xludf.DUMMYFUNCTION("IF(E1171&gt;AVERAGE(INDEX(GOOGLEFINANCE(B1171,""volume"",WORKDAY(TODAY(),-$F$1),TODAY()),,2)),""Breakout"","""")"),"")</f>
        <v/>
      </c>
      <c r="H1171" s="16">
        <f>IFERROR(__xludf.DUMMYFUNCTION("GOOGLEFINANCE(B1171,""price"")"),128.68)</f>
        <v>128.68</v>
      </c>
      <c r="I1171" s="17">
        <f>IFERROR(__xludf.DUMMYFUNCTION("AVERAGE(QUERY(SORT(GOOGLEFINANCE(B1171,""price"",TODAY()-365,TODAY()),1,0),""select Col2 limit 10""))"),136.50799999999998)</f>
        <v>136.508</v>
      </c>
      <c r="J1171" s="17">
        <f>IFERROR(__xludf.DUMMYFUNCTION("AVERAGE(QUERY(SORT(GOOGLEFINANCE(B1171,""price"",TODAY()-365,TODAY()),1,0),""select Col2 limit 30""))"),135.8393333333333)</f>
        <v>135.8393333</v>
      </c>
      <c r="K1171" s="18">
        <f>IFERROR(__xludf.DUMMYFUNCTION("AVERAGE(QUERY(SORT(GOOGLEFINANCE(B1171,""price"",TODAY()-365,TODAY()),1,0),""select Col2 limit 60""))"),132.52216666666664)</f>
        <v>132.5221667</v>
      </c>
      <c r="L1171" s="17">
        <f>IFERROR(__xludf.DUMMYFUNCTION("AVERAGE(QUERY(SORT(GOOGLEFINANCE(B1171,""price"",TODAY()-365,TODAY()),1,0),""select Col2 limit 90""))"),129.11366666666663)</f>
        <v>129.1136667</v>
      </c>
      <c r="M1171" s="17">
        <f>IFERROR(__xludf.DUMMYFUNCTION("AVERAGE(QUERY(SORT(GOOGLEFINANCE(B1171,""price"",TODAY()-365,TODAY()),1,0),""select Col2 limit 120""))"),130.97975)</f>
        <v>130.97975</v>
      </c>
      <c r="N1171" s="19">
        <f>IFERROR(__xludf.DUMMYFUNCTION("AVERAGE(QUERY(SORT(GOOGLEFINANCE(B1171,""price"",TODAY()-365,TODAY()),1,0),""select Col2 limit 200""))"),154.62804999999994)</f>
        <v>154.62805</v>
      </c>
      <c r="O1171" s="20" t="str">
        <f t="shared" si="2"/>
        <v>Avoid</v>
      </c>
      <c r="P1171" s="21" t="str">
        <f t="shared" si="3"/>
        <v>90 DMA</v>
      </c>
      <c r="Q1171" s="21" t="str">
        <f t="shared" si="4"/>
        <v/>
      </c>
      <c r="R1171" s="22">
        <f>IFERROR(__xludf.DUMMYFUNCTION("GOOGLEFINANCE(B1171, ""pe"")
"),14.74)</f>
        <v>14.74</v>
      </c>
    </row>
    <row r="1172">
      <c r="A1172" s="9" t="s">
        <v>1182</v>
      </c>
      <c r="B1172" s="11" t="str">
        <f t="shared" si="1"/>
        <v>NSE:RAMASTEEL</v>
      </c>
      <c r="C1172" s="12">
        <f>IFERROR(__xludf.DUMMYFUNCTION("GOOGLEFINANCE(B1172,""marketcap"")/10000000"),1729.6708794)</f>
        <v>1729.670879</v>
      </c>
      <c r="D1172" s="13">
        <f>IFERROR(__xludf.DUMMYFUNCTION("GOOGLEFINANCE(B1172,""price"")"),11.1)</f>
        <v>11.1</v>
      </c>
      <c r="E1172" s="14">
        <f>IFERROR(__xludf.DUMMYFUNCTION("GOOGLEFINANCE(B1172,""Volume"")"),4130094.0)</f>
        <v>4130094</v>
      </c>
      <c r="F1172" s="14">
        <f t="array" ref="F1172">F1171</f>
        <v>14</v>
      </c>
      <c r="G1172" s="15" t="str">
        <f>IFERROR(__xludf.DUMMYFUNCTION("IF(E1172&gt;AVERAGE(INDEX(GOOGLEFINANCE(B1172,""volume"",WORKDAY(TODAY(),-$F$1),TODAY()),,2)),""Breakout"","""")"),"")</f>
        <v/>
      </c>
      <c r="H1172" s="16">
        <f>IFERROR(__xludf.DUMMYFUNCTION("GOOGLEFINANCE(B1172,""price"")"),11.1)</f>
        <v>11.1</v>
      </c>
      <c r="I1172" s="17" t="str">
        <f>IFERROR(__xludf.DUMMYFUNCTION("AVERAGE(QUERY(SORT(GOOGLEFINANCE(B1172,""price"",TODAY()-365,TODAY()),1,0),""select Col2 limit 10""))"),"#N/A")</f>
        <v>#N/A</v>
      </c>
      <c r="J1172" s="17" t="str">
        <f>IFERROR(__xludf.DUMMYFUNCTION("AVERAGE(QUERY(SORT(GOOGLEFINANCE(B1172,""price"",TODAY()-365,TODAY()),1,0),""select Col2 limit 30""))"),"#N/A")</f>
        <v>#N/A</v>
      </c>
      <c r="K1172" s="18" t="str">
        <f>IFERROR(__xludf.DUMMYFUNCTION("AVERAGE(QUERY(SORT(GOOGLEFINANCE(B1172,""price"",TODAY()-365,TODAY()),1,0),""select Col2 limit 60""))"),"#N/A")</f>
        <v>#N/A</v>
      </c>
      <c r="L1172" s="17" t="str">
        <f>IFERROR(__xludf.DUMMYFUNCTION("AVERAGE(QUERY(SORT(GOOGLEFINANCE(B1172,""price"",TODAY()-365,TODAY()),1,0),""select Col2 limit 90""))"),"#N/A")</f>
        <v>#N/A</v>
      </c>
      <c r="M1172" s="17" t="str">
        <f>IFERROR(__xludf.DUMMYFUNCTION("AVERAGE(QUERY(SORT(GOOGLEFINANCE(B1172,""price"",TODAY()-365,TODAY()),1,0),""select Col2 limit 120""))"),"#N/A")</f>
        <v>#N/A</v>
      </c>
      <c r="N1172" s="19" t="str">
        <f>IFERROR(__xludf.DUMMYFUNCTION("AVERAGE(QUERY(SORT(GOOGLEFINANCE(B1172,""price"",TODAY()-365,TODAY()),1,0),""select Col2 limit 200""))"),"#N/A")</f>
        <v>#N/A</v>
      </c>
      <c r="O1172" s="20" t="str">
        <f t="shared" si="2"/>
        <v>#N/A</v>
      </c>
      <c r="P1172" s="21" t="str">
        <f t="shared" si="3"/>
        <v>#N/A</v>
      </c>
      <c r="Q1172" s="21" t="str">
        <f t="shared" si="4"/>
        <v>#N/A</v>
      </c>
      <c r="R1172" s="22">
        <f>IFERROR(__xludf.DUMMYFUNCTION("GOOGLEFINANCE(B1172, ""pe"")
"),73.93)</f>
        <v>73.93</v>
      </c>
    </row>
    <row r="1173">
      <c r="A1173" s="9" t="s">
        <v>1183</v>
      </c>
      <c r="B1173" s="11" t="str">
        <f t="shared" si="1"/>
        <v>NSE:OMINFRAL</v>
      </c>
      <c r="C1173" s="12">
        <f>IFERROR(__xludf.DUMMYFUNCTION("GOOGLEFINANCE(B1173,""marketcap"")/10000000"),1145.1488777)</f>
        <v>1145.148878</v>
      </c>
      <c r="D1173" s="13">
        <f>IFERROR(__xludf.DUMMYFUNCTION("GOOGLEFINANCE(B1173,""price"")"),119.0)</f>
        <v>119</v>
      </c>
      <c r="E1173" s="14">
        <f>IFERROR(__xludf.DUMMYFUNCTION("GOOGLEFINANCE(B1173,""Volume"")"),132071.0)</f>
        <v>132071</v>
      </c>
      <c r="F1173" s="14">
        <f t="array" ref="F1173">F1172</f>
        <v>14</v>
      </c>
      <c r="G1173" s="15" t="str">
        <f>IFERROR(__xludf.DUMMYFUNCTION("IF(E1173&gt;AVERAGE(INDEX(GOOGLEFINANCE(B1173,""volume"",WORKDAY(TODAY(),-$F$1),TODAY()),,2)),""Breakout"","""")"),"Breakout")</f>
        <v>Breakout</v>
      </c>
      <c r="H1173" s="16">
        <f>IFERROR(__xludf.DUMMYFUNCTION("GOOGLEFINANCE(B1173,""price"")"),119.0)</f>
        <v>119</v>
      </c>
      <c r="I1173" s="17">
        <f>IFERROR(__xludf.DUMMYFUNCTION("AVERAGE(QUERY(SORT(GOOGLEFINANCE(B1173,""price"",TODAY()-365,TODAY()),1,0),""select Col2 limit 10""))"),126.535)</f>
        <v>126.535</v>
      </c>
      <c r="J1173" s="17">
        <f>IFERROR(__xludf.DUMMYFUNCTION("AVERAGE(QUERY(SORT(GOOGLEFINANCE(B1173,""price"",TODAY()-365,TODAY()),1,0),""select Col2 limit 30""))"),128.48966666666666)</f>
        <v>128.4896667</v>
      </c>
      <c r="K1173" s="18">
        <f>IFERROR(__xludf.DUMMYFUNCTION("AVERAGE(QUERY(SORT(GOOGLEFINANCE(B1173,""price"",TODAY()-365,TODAY()),1,0),""select Col2 limit 60""))"),127.95333333333333)</f>
        <v>127.9533333</v>
      </c>
      <c r="L1173" s="17">
        <f>IFERROR(__xludf.DUMMYFUNCTION("AVERAGE(QUERY(SORT(GOOGLEFINANCE(B1173,""price"",TODAY()-365,TODAY()),1,0),""select Col2 limit 90""))"),125.03033333333339)</f>
        <v>125.0303333</v>
      </c>
      <c r="M1173" s="17">
        <f>IFERROR(__xludf.DUMMYFUNCTION("AVERAGE(QUERY(SORT(GOOGLEFINANCE(B1173,""price"",TODAY()-365,TODAY()),1,0),""select Col2 limit 120""))"),123.87483333333346)</f>
        <v>123.8748333</v>
      </c>
      <c r="N1173" s="19">
        <f>IFERROR(__xludf.DUMMYFUNCTION("AVERAGE(QUERY(SORT(GOOGLEFINANCE(B1173,""price"",TODAY()-365,TODAY()),1,0),""select Col2 limit 200""))"),136.96050000000005)</f>
        <v>136.9605</v>
      </c>
      <c r="O1173" s="20" t="str">
        <f t="shared" si="2"/>
        <v>Avoid</v>
      </c>
      <c r="P1173" s="21" t="str">
        <f t="shared" si="3"/>
        <v/>
      </c>
      <c r="Q1173" s="21" t="str">
        <f t="shared" si="4"/>
        <v/>
      </c>
      <c r="R1173" s="22">
        <f>IFERROR(__xludf.DUMMYFUNCTION("GOOGLEFINANCE(B1173, ""pe"")
"),33.62)</f>
        <v>33.62</v>
      </c>
    </row>
    <row r="1174">
      <c r="A1174" s="9" t="s">
        <v>1184</v>
      </c>
      <c r="B1174" s="11" t="str">
        <f t="shared" si="1"/>
        <v>NSE:CAPITALSFB</v>
      </c>
      <c r="C1174" s="12">
        <f>IFERROR(__xludf.DUMMYFUNCTION("GOOGLEFINANCE(B1174,""marketcap"")/10000000"),1318.72183)</f>
        <v>1318.72183</v>
      </c>
      <c r="D1174" s="13">
        <f>IFERROR(__xludf.DUMMYFUNCTION("GOOGLEFINANCE(B1174,""price"")"),291.5)</f>
        <v>291.5</v>
      </c>
      <c r="E1174" s="14">
        <f>IFERROR(__xludf.DUMMYFUNCTION("GOOGLEFINANCE(B1174,""Volume"")"),49825.0)</f>
        <v>49825</v>
      </c>
      <c r="F1174" s="14">
        <f t="array" ref="F1174">F1173</f>
        <v>14</v>
      </c>
      <c r="G1174" s="15" t="str">
        <f>IFERROR(__xludf.DUMMYFUNCTION("IF(E1174&gt;AVERAGE(INDEX(GOOGLEFINANCE(B1174,""volume"",WORKDAY(TODAY(),-$F$1),TODAY()),,2)),""Breakout"","""")"),"#N/A")</f>
        <v>#N/A</v>
      </c>
      <c r="H1174" s="16">
        <f>IFERROR(__xludf.DUMMYFUNCTION("GOOGLEFINANCE(B1174,""price"")"),291.5)</f>
        <v>291.5</v>
      </c>
      <c r="I1174" s="17">
        <f>IFERROR(__xludf.DUMMYFUNCTION("AVERAGE(QUERY(SORT(GOOGLEFINANCE(B1174,""price"",TODAY()-365,TODAY()),1,0),""select Col2 limit 10""))"),301.95)</f>
        <v>301.95</v>
      </c>
      <c r="J1174" s="17">
        <f>IFERROR(__xludf.DUMMYFUNCTION("AVERAGE(QUERY(SORT(GOOGLEFINANCE(B1174,""price"",TODAY()-365,TODAY()),1,0),""select Col2 limit 30""))"),293.40166666666664)</f>
        <v>293.4016667</v>
      </c>
      <c r="K1174" s="18">
        <f>IFERROR(__xludf.DUMMYFUNCTION("AVERAGE(QUERY(SORT(GOOGLEFINANCE(B1174,""price"",TODAY()-365,TODAY()),1,0),""select Col2 limit 60""))"),291.9708333333332)</f>
        <v>291.9708333</v>
      </c>
      <c r="L1174" s="17">
        <f>IFERROR(__xludf.DUMMYFUNCTION("AVERAGE(QUERY(SORT(GOOGLEFINANCE(B1174,""price"",TODAY()-365,TODAY()),1,0),""select Col2 limit 90""))"),288.2411111111111)</f>
        <v>288.2411111</v>
      </c>
      <c r="M1174" s="17">
        <f>IFERROR(__xludf.DUMMYFUNCTION("AVERAGE(QUERY(SORT(GOOGLEFINANCE(B1174,""price"",TODAY()-365,TODAY()),1,0),""select Col2 limit 120""))"),287.68875)</f>
        <v>287.68875</v>
      </c>
      <c r="N1174" s="19">
        <f>IFERROR(__xludf.DUMMYFUNCTION("AVERAGE(QUERY(SORT(GOOGLEFINANCE(B1174,""price"",TODAY()-365,TODAY()),1,0),""select Col2 limit 200""))"),288.40675000000016)</f>
        <v>288.40675</v>
      </c>
      <c r="O1174" s="20" t="str">
        <f t="shared" si="2"/>
        <v>Avoid</v>
      </c>
      <c r="P1174" s="21" t="str">
        <f t="shared" si="3"/>
        <v>30 DMA</v>
      </c>
      <c r="Q1174" s="21" t="str">
        <f t="shared" si="4"/>
        <v/>
      </c>
      <c r="R1174" s="22">
        <f>IFERROR(__xludf.DUMMYFUNCTION("GOOGLEFINANCE(B1174, ""pe"")
"),10.02)</f>
        <v>10.02</v>
      </c>
    </row>
    <row r="1175">
      <c r="A1175" s="9" t="s">
        <v>1185</v>
      </c>
      <c r="B1175" s="11" t="str">
        <f t="shared" si="1"/>
        <v>NSE:BCLIND</v>
      </c>
      <c r="C1175" s="12">
        <f>IFERROR(__xludf.DUMMYFUNCTION("GOOGLEFINANCE(B1175,""marketcap"")/10000000"),1295.767371)</f>
        <v>1295.767371</v>
      </c>
      <c r="D1175" s="13">
        <f>IFERROR(__xludf.DUMMYFUNCTION("GOOGLEFINANCE(B1175,""price"")"),43.9)</f>
        <v>43.9</v>
      </c>
      <c r="E1175" s="14">
        <f>IFERROR(__xludf.DUMMYFUNCTION("GOOGLEFINANCE(B1175,""Volume"")"),506087.0)</f>
        <v>506087</v>
      </c>
      <c r="F1175" s="14">
        <f t="array" ref="F1175">F1174</f>
        <v>14</v>
      </c>
      <c r="G1175" s="15" t="str">
        <f>IFERROR(__xludf.DUMMYFUNCTION("IF(E1175&gt;AVERAGE(INDEX(GOOGLEFINANCE(B1175,""volume"",WORKDAY(TODAY(),-$F$1),TODAY()),,2)),""Breakout"","""")"),"")</f>
        <v/>
      </c>
      <c r="H1175" s="16">
        <f>IFERROR(__xludf.DUMMYFUNCTION("GOOGLEFINANCE(B1175,""price"")"),43.9)</f>
        <v>43.9</v>
      </c>
      <c r="I1175" s="17">
        <f>IFERROR(__xludf.DUMMYFUNCTION("AVERAGE(QUERY(SORT(GOOGLEFINANCE(B1175,""price"",TODAY()-365,TODAY()),1,0),""select Col2 limit 10""))"),44.458000000000006)</f>
        <v>44.458</v>
      </c>
      <c r="J1175" s="17">
        <f>IFERROR(__xludf.DUMMYFUNCTION("AVERAGE(QUERY(SORT(GOOGLEFINANCE(B1175,""price"",TODAY()-365,TODAY()),1,0),""select Col2 limit 30""))"),42.762666666666675)</f>
        <v>42.76266667</v>
      </c>
      <c r="K1175" s="18">
        <f>IFERROR(__xludf.DUMMYFUNCTION("AVERAGE(QUERY(SORT(GOOGLEFINANCE(B1175,""price"",TODAY()-365,TODAY()),1,0),""select Col2 limit 60""))"),41.5765)</f>
        <v>41.5765</v>
      </c>
      <c r="L1175" s="17">
        <f>IFERROR(__xludf.DUMMYFUNCTION("AVERAGE(QUERY(SORT(GOOGLEFINANCE(B1175,""price"",TODAY()-365,TODAY()),1,0),""select Col2 limit 90""))"),40.398888888888884)</f>
        <v>40.39888889</v>
      </c>
      <c r="M1175" s="17">
        <f>IFERROR(__xludf.DUMMYFUNCTION("AVERAGE(QUERY(SORT(GOOGLEFINANCE(B1175,""price"",TODAY()-365,TODAY()),1,0),""select Col2 limit 120""))"),40.45649999999999)</f>
        <v>40.4565</v>
      </c>
      <c r="N1175" s="19">
        <f>IFERROR(__xludf.DUMMYFUNCTION("AVERAGE(QUERY(SORT(GOOGLEFINANCE(B1175,""price"",TODAY()-365,TODAY()),1,0),""select Col2 limit 200""))"),45.51755000000001)</f>
        <v>45.51755</v>
      </c>
      <c r="O1175" s="20" t="str">
        <f t="shared" si="2"/>
        <v>Avoid</v>
      </c>
      <c r="P1175" s="21" t="str">
        <f t="shared" si="3"/>
        <v/>
      </c>
      <c r="Q1175" s="21" t="str">
        <f t="shared" si="4"/>
        <v/>
      </c>
      <c r="R1175" s="22">
        <f>IFERROR(__xludf.DUMMYFUNCTION("GOOGLEFINANCE(B1175, ""pe"")
"),13.47)</f>
        <v>13.47</v>
      </c>
    </row>
    <row r="1176">
      <c r="A1176" s="9" t="s">
        <v>1186</v>
      </c>
      <c r="B1176" s="11" t="str">
        <f t="shared" si="1"/>
        <v>NSE:NGLFINE</v>
      </c>
      <c r="C1176" s="12">
        <f>IFERROR(__xludf.DUMMYFUNCTION("GOOGLEFINANCE(B1176,""marketcap"")/10000000"),784.609048)</f>
        <v>784.609048</v>
      </c>
      <c r="D1176" s="13">
        <f>IFERROR(__xludf.DUMMYFUNCTION("GOOGLEFINANCE(B1176,""price"")"),1270.0)</f>
        <v>1270</v>
      </c>
      <c r="E1176" s="14">
        <f>IFERROR(__xludf.DUMMYFUNCTION("GOOGLEFINANCE(B1176,""Volume"")"),509.0)</f>
        <v>509</v>
      </c>
      <c r="F1176" s="14">
        <f t="array" ref="F1176">F1175</f>
        <v>14</v>
      </c>
      <c r="G1176" s="15" t="str">
        <f>IFERROR(__xludf.DUMMYFUNCTION("IF(E1176&gt;AVERAGE(INDEX(GOOGLEFINANCE(B1176,""volume"",WORKDAY(TODAY(),-$F$1),TODAY()),,2)),""Breakout"","""")"),"")</f>
        <v/>
      </c>
      <c r="H1176" s="16">
        <f>IFERROR(__xludf.DUMMYFUNCTION("GOOGLEFINANCE(B1176,""price"")"),1270.0)</f>
        <v>1270</v>
      </c>
      <c r="I1176" s="17">
        <f>IFERROR(__xludf.DUMMYFUNCTION("AVERAGE(QUERY(SORT(GOOGLEFINANCE(B1176,""price"",TODAY()-365,TODAY()),1,0),""select Col2 limit 10""))"),1328.4)</f>
        <v>1328.4</v>
      </c>
      <c r="J1176" s="17">
        <f>IFERROR(__xludf.DUMMYFUNCTION("AVERAGE(QUERY(SORT(GOOGLEFINANCE(B1176,""price"",TODAY()-365,TODAY()),1,0),""select Col2 limit 30""))"),1191.7900000000002)</f>
        <v>1191.79</v>
      </c>
      <c r="K1176" s="18">
        <f>IFERROR(__xludf.DUMMYFUNCTION("AVERAGE(QUERY(SORT(GOOGLEFINANCE(B1176,""price"",TODAY()-365,TODAY()),1,0),""select Col2 limit 60""))"),1169.8133333333333)</f>
        <v>1169.813333</v>
      </c>
      <c r="L1176" s="17">
        <f>IFERROR(__xludf.DUMMYFUNCTION("AVERAGE(QUERY(SORT(GOOGLEFINANCE(B1176,""price"",TODAY()-365,TODAY()),1,0),""select Col2 limit 90""))"),1150.423888888889)</f>
        <v>1150.423889</v>
      </c>
      <c r="M1176" s="17">
        <f>IFERROR(__xludf.DUMMYFUNCTION("AVERAGE(QUERY(SORT(GOOGLEFINANCE(B1176,""price"",TODAY()-365,TODAY()),1,0),""select Col2 limit 120""))"),1179.9758333333334)</f>
        <v>1179.975833</v>
      </c>
      <c r="N1176" s="19">
        <f>IFERROR(__xludf.DUMMYFUNCTION("AVERAGE(QUERY(SORT(GOOGLEFINANCE(B1176,""price"",TODAY()-365,TODAY()),1,0),""select Col2 limit 200""))"),1457.4507499999997)</f>
        <v>1457.45075</v>
      </c>
      <c r="O1176" s="20" t="str">
        <f t="shared" si="2"/>
        <v>Avoid</v>
      </c>
      <c r="P1176" s="21" t="str">
        <f t="shared" si="3"/>
        <v/>
      </c>
      <c r="Q1176" s="21" t="str">
        <f t="shared" si="4"/>
        <v/>
      </c>
      <c r="R1176" s="22">
        <f>IFERROR(__xludf.DUMMYFUNCTION("GOOGLEFINANCE(B1176, ""pe"")
"),37.15)</f>
        <v>37.15</v>
      </c>
    </row>
    <row r="1177">
      <c r="A1177" s="9" t="s">
        <v>1187</v>
      </c>
      <c r="B1177" s="11" t="str">
        <f t="shared" si="1"/>
        <v>NSE:SMCGLOBAL</v>
      </c>
      <c r="C1177" s="12">
        <f>IFERROR(__xludf.DUMMYFUNCTION("GOOGLEFINANCE(B1177,""marketcap"")/10000000"),1454.9098806)</f>
        <v>1454.909881</v>
      </c>
      <c r="D1177" s="13">
        <f>IFERROR(__xludf.DUMMYFUNCTION("GOOGLEFINANCE(B1177,""price"")"),138.21)</f>
        <v>138.21</v>
      </c>
      <c r="E1177" s="14">
        <f>IFERROR(__xludf.DUMMYFUNCTION("GOOGLEFINANCE(B1177,""Volume"")"),195125.0)</f>
        <v>195125</v>
      </c>
      <c r="F1177" s="14">
        <f t="array" ref="F1177">F1176</f>
        <v>14</v>
      </c>
      <c r="G1177" s="15" t="str">
        <f>IFERROR(__xludf.DUMMYFUNCTION("IF(E1177&gt;AVERAGE(INDEX(GOOGLEFINANCE(B1177,""volume"",WORKDAY(TODAY(),-$F$1),TODAY()),,2)),""Breakout"","""")"),"#N/A")</f>
        <v>#N/A</v>
      </c>
      <c r="H1177" s="16">
        <f>IFERROR(__xludf.DUMMYFUNCTION("GOOGLEFINANCE(B1177,""price"")"),138.21)</f>
        <v>138.21</v>
      </c>
      <c r="I1177" s="17">
        <f>IFERROR(__xludf.DUMMYFUNCTION("AVERAGE(QUERY(SORT(GOOGLEFINANCE(B1177,""price"",TODAY()-365,TODAY()),1,0),""select Col2 limit 10""))"),150.948)</f>
        <v>150.948</v>
      </c>
      <c r="J1177" s="17">
        <f>IFERROR(__xludf.DUMMYFUNCTION("AVERAGE(QUERY(SORT(GOOGLEFINANCE(B1177,""price"",TODAY()-365,TODAY()),1,0),""select Col2 limit 30""))"),149.6863333333333)</f>
        <v>149.6863333</v>
      </c>
      <c r="K1177" s="18">
        <f>IFERROR(__xludf.DUMMYFUNCTION("AVERAGE(QUERY(SORT(GOOGLEFINANCE(B1177,""price"",TODAY()-365,TODAY()),1,0),""select Col2 limit 60""))"),133.74699999999999)</f>
        <v>133.747</v>
      </c>
      <c r="L1177" s="17">
        <f>IFERROR(__xludf.DUMMYFUNCTION("AVERAGE(QUERY(SORT(GOOGLEFINANCE(B1177,""price"",TODAY()-365,TODAY()),1,0),""select Col2 limit 90""))"),125.87611111111117)</f>
        <v>125.8761111</v>
      </c>
      <c r="M1177" s="17">
        <f>IFERROR(__xludf.DUMMYFUNCTION("AVERAGE(QUERY(SORT(GOOGLEFINANCE(B1177,""price"",TODAY()-365,TODAY()),1,0),""select Col2 limit 120""))"),123.4681666666667)</f>
        <v>123.4681667</v>
      </c>
      <c r="N1177" s="19">
        <f>IFERROR(__xludf.DUMMYFUNCTION("AVERAGE(QUERY(SORT(GOOGLEFINANCE(B1177,""price"",TODAY()-365,TODAY()),1,0),""select Col2 limit 200""))"),131.33790000000002)</f>
        <v>131.3379</v>
      </c>
      <c r="O1177" s="20" t="str">
        <f t="shared" si="2"/>
        <v>Avoid</v>
      </c>
      <c r="P1177" s="21" t="str">
        <f t="shared" si="3"/>
        <v/>
      </c>
      <c r="Q1177" s="21" t="str">
        <f t="shared" si="4"/>
        <v/>
      </c>
      <c r="R1177" s="22">
        <f>IFERROR(__xludf.DUMMYFUNCTION("GOOGLEFINANCE(B1177, ""pe"")
"),10.06)</f>
        <v>10.06</v>
      </c>
    </row>
    <row r="1178">
      <c r="A1178" s="9" t="s">
        <v>1188</v>
      </c>
      <c r="B1178" s="11" t="str">
        <f t="shared" si="1"/>
        <v>NSE:IGARASHI</v>
      </c>
      <c r="C1178" s="12">
        <f>IFERROR(__xludf.DUMMYFUNCTION("GOOGLEFINANCE(B1178,""marketcap"")/10000000"),1872.76488)</f>
        <v>1872.76488</v>
      </c>
      <c r="D1178" s="13">
        <f>IFERROR(__xludf.DUMMYFUNCTION("GOOGLEFINANCE(B1178,""price"")"),595.0)</f>
        <v>595</v>
      </c>
      <c r="E1178" s="14">
        <f>IFERROR(__xludf.DUMMYFUNCTION("GOOGLEFINANCE(B1178,""Volume"")"),34398.0)</f>
        <v>34398</v>
      </c>
      <c r="F1178" s="14">
        <f t="array" ref="F1178">F1177</f>
        <v>14</v>
      </c>
      <c r="G1178" s="15" t="str">
        <f>IFERROR(__xludf.DUMMYFUNCTION("IF(E1178&gt;AVERAGE(INDEX(GOOGLEFINANCE(B1178,""volume"",WORKDAY(TODAY(),-$F$1),TODAY()),,2)),""Breakout"","""")"),"")</f>
        <v/>
      </c>
      <c r="H1178" s="16">
        <f>IFERROR(__xludf.DUMMYFUNCTION("GOOGLEFINANCE(B1178,""price"")"),595.0)</f>
        <v>595</v>
      </c>
      <c r="I1178" s="17">
        <f>IFERROR(__xludf.DUMMYFUNCTION("AVERAGE(QUERY(SORT(GOOGLEFINANCE(B1178,""price"",TODAY()-365,TODAY()),1,0),""select Col2 limit 10""))"),597.885)</f>
        <v>597.885</v>
      </c>
      <c r="J1178" s="17">
        <f>IFERROR(__xludf.DUMMYFUNCTION("AVERAGE(QUERY(SORT(GOOGLEFINANCE(B1178,""price"",TODAY()-365,TODAY()),1,0),""select Col2 limit 30""))"),532.4716666666667)</f>
        <v>532.4716667</v>
      </c>
      <c r="K1178" s="18">
        <f>IFERROR(__xludf.DUMMYFUNCTION("AVERAGE(QUERY(SORT(GOOGLEFINANCE(B1178,""price"",TODAY()-365,TODAY()),1,0),""select Col2 limit 60""))"),507.8408333333333)</f>
        <v>507.8408333</v>
      </c>
      <c r="L1178" s="17">
        <f>IFERROR(__xludf.DUMMYFUNCTION("AVERAGE(QUERY(SORT(GOOGLEFINANCE(B1178,""price"",TODAY()-365,TODAY()),1,0),""select Col2 limit 90""))"),498.7316666666666)</f>
        <v>498.7316667</v>
      </c>
      <c r="M1178" s="17">
        <f>IFERROR(__xludf.DUMMYFUNCTION("AVERAGE(QUERY(SORT(GOOGLEFINANCE(B1178,""price"",TODAY()-365,TODAY()),1,0),""select Col2 limit 120""))"),520.9175)</f>
        <v>520.9175</v>
      </c>
      <c r="N1178" s="19">
        <f>IFERROR(__xludf.DUMMYFUNCTION("AVERAGE(QUERY(SORT(GOOGLEFINANCE(B1178,""price"",TODAY()-365,TODAY()),1,0),""select Col2 limit 200""))"),597.7232500000003)</f>
        <v>597.72325</v>
      </c>
      <c r="O1178" s="20" t="str">
        <f t="shared" si="2"/>
        <v>Avoid</v>
      </c>
      <c r="P1178" s="21" t="str">
        <f t="shared" si="3"/>
        <v>10 DMA</v>
      </c>
      <c r="Q1178" s="21" t="str">
        <f t="shared" si="4"/>
        <v/>
      </c>
      <c r="R1178" s="22">
        <f>IFERROR(__xludf.DUMMYFUNCTION("GOOGLEFINANCE(B1178, ""pe"")
"),77.49)</f>
        <v>77.49</v>
      </c>
    </row>
    <row r="1179">
      <c r="A1179" s="9" t="s">
        <v>1189</v>
      </c>
      <c r="B1179" s="11" t="str">
        <f t="shared" si="1"/>
        <v>NSE:KOKUYOCMLN</v>
      </c>
      <c r="C1179" s="12">
        <f>IFERROR(__xludf.DUMMYFUNCTION("GOOGLEFINANCE(B1179,""marketcap"")/10000000"),1128.9181741)</f>
        <v>1128.918174</v>
      </c>
      <c r="D1179" s="13">
        <f>IFERROR(__xludf.DUMMYFUNCTION("GOOGLEFINANCE(B1179,""price"")"),112.81)</f>
        <v>112.81</v>
      </c>
      <c r="E1179" s="14">
        <f>IFERROR(__xludf.DUMMYFUNCTION("GOOGLEFINANCE(B1179,""Volume"")"),17271.0)</f>
        <v>17271</v>
      </c>
      <c r="F1179" s="14">
        <f t="array" ref="F1179">F1178</f>
        <v>14</v>
      </c>
      <c r="G1179" s="15" t="str">
        <f>IFERROR(__xludf.DUMMYFUNCTION("IF(E1179&gt;AVERAGE(INDEX(GOOGLEFINANCE(B1179,""volume"",WORKDAY(TODAY(),-$F$1),TODAY()),,2)),""Breakout"","""")"),"")</f>
        <v/>
      </c>
      <c r="H1179" s="16">
        <f>IFERROR(__xludf.DUMMYFUNCTION("GOOGLEFINANCE(B1179,""price"")"),112.81)</f>
        <v>112.81</v>
      </c>
      <c r="I1179" s="17">
        <f>IFERROR(__xludf.DUMMYFUNCTION("AVERAGE(QUERY(SORT(GOOGLEFINANCE(B1179,""price"",TODAY()-365,TODAY()),1,0),""select Col2 limit 10""))"),118.07599999999998)</f>
        <v>118.076</v>
      </c>
      <c r="J1179" s="17">
        <f>IFERROR(__xludf.DUMMYFUNCTION("AVERAGE(QUERY(SORT(GOOGLEFINANCE(B1179,""price"",TODAY()-365,TODAY()),1,0),""select Col2 limit 30""))"),125.20700000000002)</f>
        <v>125.207</v>
      </c>
      <c r="K1179" s="18">
        <f>IFERROR(__xludf.DUMMYFUNCTION("AVERAGE(QUERY(SORT(GOOGLEFINANCE(B1179,""price"",TODAY()-365,TODAY()),1,0),""select Col2 limit 60""))"),118.77849999999998)</f>
        <v>118.7785</v>
      </c>
      <c r="L1179" s="17">
        <f>IFERROR(__xludf.DUMMYFUNCTION("AVERAGE(QUERY(SORT(GOOGLEFINANCE(B1179,""price"",TODAY()-365,TODAY()),1,0),""select Col2 limit 90""))"),114.5422222222222)</f>
        <v>114.5422222</v>
      </c>
      <c r="M1179" s="17">
        <f>IFERROR(__xludf.DUMMYFUNCTION("AVERAGE(QUERY(SORT(GOOGLEFINANCE(B1179,""price"",TODAY()-365,TODAY()),1,0),""select Col2 limit 120""))"),112.7553333333333)</f>
        <v>112.7553333</v>
      </c>
      <c r="N1179" s="19">
        <f>IFERROR(__xludf.DUMMYFUNCTION("AVERAGE(QUERY(SORT(GOOGLEFINANCE(B1179,""price"",TODAY()-365,TODAY()),1,0),""select Col2 limit 200""))"),125.79190000000003)</f>
        <v>125.7919</v>
      </c>
      <c r="O1179" s="20" t="str">
        <f t="shared" si="2"/>
        <v>Avoid</v>
      </c>
      <c r="P1179" s="21" t="str">
        <f t="shared" si="3"/>
        <v/>
      </c>
      <c r="Q1179" s="21" t="str">
        <f t="shared" si="4"/>
        <v/>
      </c>
      <c r="R1179" s="22">
        <f>IFERROR(__xludf.DUMMYFUNCTION("GOOGLEFINANCE(B1179, ""pe"")
"),193.03)</f>
        <v>193.03</v>
      </c>
    </row>
    <row r="1180">
      <c r="A1180" s="9" t="s">
        <v>1190</v>
      </c>
      <c r="B1180" s="11" t="str">
        <f t="shared" si="1"/>
        <v>NSE:ANDHRSUGAR</v>
      </c>
      <c r="C1180" s="12">
        <f>IFERROR(__xludf.DUMMYFUNCTION("GOOGLEFINANCE(B1180,""marketcap"")/10000000"),1061.2422233)</f>
        <v>1061.242223</v>
      </c>
      <c r="D1180" s="13">
        <f>IFERROR(__xludf.DUMMYFUNCTION("GOOGLEFINANCE(B1180,""price"")"),78.42)</f>
        <v>78.42</v>
      </c>
      <c r="E1180" s="14">
        <f>IFERROR(__xludf.DUMMYFUNCTION("GOOGLEFINANCE(B1180,""Volume"")"),79436.0)</f>
        <v>79436</v>
      </c>
      <c r="F1180" s="14">
        <f t="array" ref="F1180">F1179</f>
        <v>14</v>
      </c>
      <c r="G1180" s="15" t="str">
        <f>IFERROR(__xludf.DUMMYFUNCTION("IF(E1180&gt;AVERAGE(INDEX(GOOGLEFINANCE(B1180,""volume"",WORKDAY(TODAY(),-$F$1),TODAY()),,2)),""Breakout"","""")"),"")</f>
        <v/>
      </c>
      <c r="H1180" s="16">
        <f>IFERROR(__xludf.DUMMYFUNCTION("GOOGLEFINANCE(B1180,""price"")"),78.42)</f>
        <v>78.42</v>
      </c>
      <c r="I1180" s="17">
        <f>IFERROR(__xludf.DUMMYFUNCTION("AVERAGE(QUERY(SORT(GOOGLEFINANCE(B1180,""price"",TODAY()-365,TODAY()),1,0),""select Col2 limit 10""))"),82.929)</f>
        <v>82.929</v>
      </c>
      <c r="J1180" s="17">
        <f>IFERROR(__xludf.DUMMYFUNCTION("AVERAGE(QUERY(SORT(GOOGLEFINANCE(B1180,""price"",TODAY()-365,TODAY()),1,0),""select Col2 limit 30""))"),80.98333333333333)</f>
        <v>80.98333333</v>
      </c>
      <c r="K1180" s="18">
        <f>IFERROR(__xludf.DUMMYFUNCTION("AVERAGE(QUERY(SORT(GOOGLEFINANCE(B1180,""price"",TODAY()-365,TODAY()),1,0),""select Col2 limit 60""))"),77.84716666666664)</f>
        <v>77.84716667</v>
      </c>
      <c r="L1180" s="17">
        <f>IFERROR(__xludf.DUMMYFUNCTION("AVERAGE(QUERY(SORT(GOOGLEFINANCE(B1180,""price"",TODAY()-365,TODAY()),1,0),""select Col2 limit 90""))"),75.2295555555555)</f>
        <v>75.22955556</v>
      </c>
      <c r="M1180" s="17">
        <f>IFERROR(__xludf.DUMMYFUNCTION("AVERAGE(QUERY(SORT(GOOGLEFINANCE(B1180,""price"",TODAY()-365,TODAY()),1,0),""select Col2 limit 120""))"),75.90899999999993)</f>
        <v>75.909</v>
      </c>
      <c r="N1180" s="19">
        <f>IFERROR(__xludf.DUMMYFUNCTION("AVERAGE(QUERY(SORT(GOOGLEFINANCE(B1180,""price"",TODAY()-365,TODAY()),1,0),""select Col2 limit 200""))"),84.55219999999994)</f>
        <v>84.5522</v>
      </c>
      <c r="O1180" s="20" t="str">
        <f t="shared" si="2"/>
        <v>Avoid</v>
      </c>
      <c r="P1180" s="21" t="str">
        <f t="shared" si="3"/>
        <v/>
      </c>
      <c r="Q1180" s="21" t="str">
        <f t="shared" si="4"/>
        <v/>
      </c>
      <c r="R1180" s="22">
        <f>IFERROR(__xludf.DUMMYFUNCTION("GOOGLEFINANCE(B1180, ""pe"")
"),41.07)</f>
        <v>41.07</v>
      </c>
    </row>
    <row r="1181">
      <c r="A1181" s="9" t="s">
        <v>1191</v>
      </c>
      <c r="B1181" s="11" t="str">
        <f t="shared" si="1"/>
        <v>NSE:MANGCHEFER</v>
      </c>
      <c r="C1181" s="12">
        <f>IFERROR(__xludf.DUMMYFUNCTION("GOOGLEFINANCE(B1181,""marketcap"")/10000000"),3864.1846908)</f>
        <v>3864.184691</v>
      </c>
      <c r="D1181" s="13">
        <f>IFERROR(__xludf.DUMMYFUNCTION("GOOGLEFINANCE(B1181,""price"")"),326.05)</f>
        <v>326.05</v>
      </c>
      <c r="E1181" s="14">
        <f>IFERROR(__xludf.DUMMYFUNCTION("GOOGLEFINANCE(B1181,""Volume"")"),562023.0)</f>
        <v>562023</v>
      </c>
      <c r="F1181" s="14">
        <f t="array" ref="F1181">F1180</f>
        <v>14</v>
      </c>
      <c r="G1181" s="15" t="str">
        <f>IFERROR(__xludf.DUMMYFUNCTION("IF(E1181&gt;AVERAGE(INDEX(GOOGLEFINANCE(B1181,""volume"",WORKDAY(TODAY(),-$F$1),TODAY()),,2)),""Breakout"","""")"),"Breakout")</f>
        <v>Breakout</v>
      </c>
      <c r="H1181" s="16">
        <f>IFERROR(__xludf.DUMMYFUNCTION("GOOGLEFINANCE(B1181,""price"")"),326.05)</f>
        <v>326.05</v>
      </c>
      <c r="I1181" s="17">
        <f>IFERROR(__xludf.DUMMYFUNCTION("AVERAGE(QUERY(SORT(GOOGLEFINANCE(B1181,""price"",TODAY()-365,TODAY()),1,0),""select Col2 limit 10""))"),297.08000000000004)</f>
        <v>297.08</v>
      </c>
      <c r="J1181" s="17">
        <f>IFERROR(__xludf.DUMMYFUNCTION("AVERAGE(QUERY(SORT(GOOGLEFINANCE(B1181,""price"",TODAY()-365,TODAY()),1,0),""select Col2 limit 30""))"),280.6333333333333)</f>
        <v>280.6333333</v>
      </c>
      <c r="K1181" s="18">
        <f>IFERROR(__xludf.DUMMYFUNCTION("AVERAGE(QUERY(SORT(GOOGLEFINANCE(B1181,""price"",TODAY()-365,TODAY()),1,0),""select Col2 limit 60""))"),268.32683333333335)</f>
        <v>268.3268333</v>
      </c>
      <c r="L1181" s="17">
        <f>IFERROR(__xludf.DUMMYFUNCTION("AVERAGE(QUERY(SORT(GOOGLEFINANCE(B1181,""price"",TODAY()-365,TODAY()),1,0),""select Col2 limit 90""))"),239.15388888888887)</f>
        <v>239.1538889</v>
      </c>
      <c r="M1181" s="17">
        <f>IFERROR(__xludf.DUMMYFUNCTION("AVERAGE(QUERY(SORT(GOOGLEFINANCE(B1181,""price"",TODAY()-365,TODAY()),1,0),""select Col2 limit 120""))"),216.7655833333333)</f>
        <v>216.7655833</v>
      </c>
      <c r="N1181" s="19">
        <f>IFERROR(__xludf.DUMMYFUNCTION("AVERAGE(QUERY(SORT(GOOGLEFINANCE(B1181,""price"",TODAY()-365,TODAY()),1,0),""select Col2 limit 200""))"),191.0270999999999)</f>
        <v>191.0271</v>
      </c>
      <c r="O1181" s="20" t="str">
        <f t="shared" si="2"/>
        <v>Avoid</v>
      </c>
      <c r="P1181" s="21" t="str">
        <f t="shared" si="3"/>
        <v/>
      </c>
      <c r="Q1181" s="21" t="str">
        <f t="shared" si="4"/>
        <v/>
      </c>
      <c r="R1181" s="22">
        <f>IFERROR(__xludf.DUMMYFUNCTION("GOOGLEFINANCE(B1181, ""pe"")
"),26.88)</f>
        <v>26.88</v>
      </c>
    </row>
    <row r="1182">
      <c r="A1182" s="9" t="s">
        <v>1192</v>
      </c>
      <c r="B1182" s="11" t="str">
        <f t="shared" si="1"/>
        <v>NSE:BUTTERFLY</v>
      </c>
      <c r="C1182" s="12">
        <f>IFERROR(__xludf.DUMMYFUNCTION("GOOGLEFINANCE(B1182,""marketcap"")/10000000"),1370.3773651)</f>
        <v>1370.377365</v>
      </c>
      <c r="D1182" s="13">
        <f>IFERROR(__xludf.DUMMYFUNCTION("GOOGLEFINANCE(B1182,""price"")"),767.7)</f>
        <v>767.7</v>
      </c>
      <c r="E1182" s="14">
        <f>IFERROR(__xludf.DUMMYFUNCTION("GOOGLEFINANCE(B1182,""Volume"")"),12642.0)</f>
        <v>12642</v>
      </c>
      <c r="F1182" s="14">
        <f t="array" ref="F1182">F1181</f>
        <v>14</v>
      </c>
      <c r="G1182" s="15" t="str">
        <f>IFERROR(__xludf.DUMMYFUNCTION("IF(E1182&gt;AVERAGE(INDEX(GOOGLEFINANCE(B1182,""volume"",WORKDAY(TODAY(),-$F$1),TODAY()),,2)),""Breakout"","""")"),"")</f>
        <v/>
      </c>
      <c r="H1182" s="16">
        <f>IFERROR(__xludf.DUMMYFUNCTION("GOOGLEFINANCE(B1182,""price"")"),767.7)</f>
        <v>767.7</v>
      </c>
      <c r="I1182" s="17">
        <f>IFERROR(__xludf.DUMMYFUNCTION("AVERAGE(QUERY(SORT(GOOGLEFINANCE(B1182,""price"",TODAY()-365,TODAY()),1,0),""select Col2 limit 10""))"),735.7749999999999)</f>
        <v>735.775</v>
      </c>
      <c r="J1182" s="17">
        <f>IFERROR(__xludf.DUMMYFUNCTION("AVERAGE(QUERY(SORT(GOOGLEFINANCE(B1182,""price"",TODAY()-365,TODAY()),1,0),""select Col2 limit 30""))"),732.305)</f>
        <v>732.305</v>
      </c>
      <c r="K1182" s="18">
        <f>IFERROR(__xludf.DUMMYFUNCTION("AVERAGE(QUERY(SORT(GOOGLEFINANCE(B1182,""price"",TODAY()-365,TODAY()),1,0),""select Col2 limit 60""))"),728.4150000000001)</f>
        <v>728.415</v>
      </c>
      <c r="L1182" s="17">
        <f>IFERROR(__xludf.DUMMYFUNCTION("AVERAGE(QUERY(SORT(GOOGLEFINANCE(B1182,""price"",TODAY()-365,TODAY()),1,0),""select Col2 limit 90""))"),685.1677777777779)</f>
        <v>685.1677778</v>
      </c>
      <c r="M1182" s="17">
        <f>IFERROR(__xludf.DUMMYFUNCTION("AVERAGE(QUERY(SORT(GOOGLEFINANCE(B1182,""price"",TODAY()-365,TODAY()),1,0),""select Col2 limit 120""))"),668.6679166666668)</f>
        <v>668.6679167</v>
      </c>
      <c r="N1182" s="19">
        <f>IFERROR(__xludf.DUMMYFUNCTION("AVERAGE(QUERY(SORT(GOOGLEFINANCE(B1182,""price"",TODAY()-365,TODAY()),1,0),""select Col2 limit 200""))"),730.2482499999996)</f>
        <v>730.24825</v>
      </c>
      <c r="O1182" s="20" t="str">
        <f t="shared" si="2"/>
        <v>Avoid</v>
      </c>
      <c r="P1182" s="21" t="str">
        <f t="shared" si="3"/>
        <v/>
      </c>
      <c r="Q1182" s="21" t="str">
        <f t="shared" si="4"/>
        <v/>
      </c>
      <c r="R1182" s="22">
        <f>IFERROR(__xludf.DUMMYFUNCTION("GOOGLEFINANCE(B1182, ""pe"")
"),42.13)</f>
        <v>42.13</v>
      </c>
    </row>
    <row r="1183">
      <c r="A1183" s="9" t="s">
        <v>1193</v>
      </c>
      <c r="B1183" s="11" t="str">
        <f t="shared" si="1"/>
        <v>NSE:SALZERELEC</v>
      </c>
      <c r="C1183" s="12">
        <f>IFERROR(__xludf.DUMMYFUNCTION("GOOGLEFINANCE(B1183,""marketcap"")/10000000"),1425.0512538)</f>
        <v>1425.051254</v>
      </c>
      <c r="D1183" s="13">
        <f>IFERROR(__xludf.DUMMYFUNCTION("GOOGLEFINANCE(B1183,""price"")"),806.0)</f>
        <v>806</v>
      </c>
      <c r="E1183" s="14">
        <f>IFERROR(__xludf.DUMMYFUNCTION("GOOGLEFINANCE(B1183,""Volume"")"),27524.0)</f>
        <v>27524</v>
      </c>
      <c r="F1183" s="14">
        <f t="array" ref="F1183">F1182</f>
        <v>14</v>
      </c>
      <c r="G1183" s="15" t="str">
        <f>IFERROR(__xludf.DUMMYFUNCTION("IF(E1183&gt;AVERAGE(INDEX(GOOGLEFINANCE(B1183,""volume"",WORKDAY(TODAY(),-$F$1),TODAY()),,2)),""Breakout"","""")"),"")</f>
        <v/>
      </c>
      <c r="H1183" s="16">
        <f>IFERROR(__xludf.DUMMYFUNCTION("GOOGLEFINANCE(B1183,""price"")"),806.0)</f>
        <v>806</v>
      </c>
      <c r="I1183" s="17">
        <f>IFERROR(__xludf.DUMMYFUNCTION("AVERAGE(QUERY(SORT(GOOGLEFINANCE(B1183,""price"",TODAY()-365,TODAY()),1,0),""select Col2 limit 10""))"),849.4900000000001)</f>
        <v>849.49</v>
      </c>
      <c r="J1183" s="17">
        <f>IFERROR(__xludf.DUMMYFUNCTION("AVERAGE(QUERY(SORT(GOOGLEFINANCE(B1183,""price"",TODAY()-365,TODAY()),1,0),""select Col2 limit 30""))"),882.5083333333333)</f>
        <v>882.5083333</v>
      </c>
      <c r="K1183" s="18">
        <f>IFERROR(__xludf.DUMMYFUNCTION("AVERAGE(QUERY(SORT(GOOGLEFINANCE(B1183,""price"",TODAY()-365,TODAY()),1,0),""select Col2 limit 60""))"),926.5091666666665)</f>
        <v>926.5091667</v>
      </c>
      <c r="L1183" s="17">
        <f>IFERROR(__xludf.DUMMYFUNCTION("AVERAGE(QUERY(SORT(GOOGLEFINANCE(B1183,""price"",TODAY()-365,TODAY()),1,0),""select Col2 limit 90""))"),961.9077777777777)</f>
        <v>961.9077778</v>
      </c>
      <c r="M1183" s="17">
        <f>IFERROR(__xludf.DUMMYFUNCTION("AVERAGE(QUERY(SORT(GOOGLEFINANCE(B1183,""price"",TODAY()-365,TODAY()),1,0),""select Col2 limit 120""))"),968.1729166666669)</f>
        <v>968.1729167</v>
      </c>
      <c r="N1183" s="19">
        <f>IFERROR(__xludf.DUMMYFUNCTION("AVERAGE(QUERY(SORT(GOOGLEFINANCE(B1183,""price"",TODAY()-365,TODAY()),1,0),""select Col2 limit 200""))"),1070.2900000000002)</f>
        <v>1070.29</v>
      </c>
      <c r="O1183" s="20" t="str">
        <f t="shared" si="2"/>
        <v>Avoid</v>
      </c>
      <c r="P1183" s="21" t="str">
        <f t="shared" si="3"/>
        <v/>
      </c>
      <c r="Q1183" s="21" t="str">
        <f t="shared" si="4"/>
        <v/>
      </c>
      <c r="R1183" s="22">
        <f>IFERROR(__xludf.DUMMYFUNCTION("GOOGLEFINANCE(B1183, ""pe"")
"),22.89)</f>
        <v>22.89</v>
      </c>
    </row>
    <row r="1184">
      <c r="A1184" s="9" t="s">
        <v>1194</v>
      </c>
      <c r="B1184" s="11" t="str">
        <f t="shared" si="1"/>
        <v>NSE:ZOTA</v>
      </c>
      <c r="C1184" s="12">
        <f>IFERROR(__xludf.DUMMYFUNCTION("GOOGLEFINANCE(B1184,""marketcap"")/10000000"),3605.2543416)</f>
        <v>3605.254342</v>
      </c>
      <c r="D1184" s="13">
        <f>IFERROR(__xludf.DUMMYFUNCTION("GOOGLEFINANCE(B1184,""price"")"),1185.05)</f>
        <v>1185.05</v>
      </c>
      <c r="E1184" s="14">
        <f>IFERROR(__xludf.DUMMYFUNCTION("GOOGLEFINANCE(B1184,""Volume"")"),101337.0)</f>
        <v>101337</v>
      </c>
      <c r="F1184" s="14">
        <f t="array" ref="F1184">F1183</f>
        <v>14</v>
      </c>
      <c r="G1184" s="15" t="str">
        <f>IFERROR(__xludf.DUMMYFUNCTION("IF(E1184&gt;AVERAGE(INDEX(GOOGLEFINANCE(B1184,""volume"",WORKDAY(TODAY(),-$F$1),TODAY()),,2)),""Breakout"","""")"),"Breakout")</f>
        <v>Breakout</v>
      </c>
      <c r="H1184" s="16">
        <f>IFERROR(__xludf.DUMMYFUNCTION("GOOGLEFINANCE(B1184,""price"")"),1185.05)</f>
        <v>1185.05</v>
      </c>
      <c r="I1184" s="17">
        <f>IFERROR(__xludf.DUMMYFUNCTION("AVERAGE(QUERY(SORT(GOOGLEFINANCE(B1184,""price"",TODAY()-365,TODAY()),1,0),""select Col2 limit 10""))"),1196.995)</f>
        <v>1196.995</v>
      </c>
      <c r="J1184" s="17">
        <f>IFERROR(__xludf.DUMMYFUNCTION("AVERAGE(QUERY(SORT(GOOGLEFINANCE(B1184,""price"",TODAY()-365,TODAY()),1,0),""select Col2 limit 30""))"),1107.6950000000002)</f>
        <v>1107.695</v>
      </c>
      <c r="K1184" s="18">
        <f>IFERROR(__xludf.DUMMYFUNCTION("AVERAGE(QUERY(SORT(GOOGLEFINANCE(B1184,""price"",TODAY()-365,TODAY()),1,0),""select Col2 limit 60""))"),1030.9375000000002)</f>
        <v>1030.9375</v>
      </c>
      <c r="L1184" s="17">
        <f>IFERROR(__xludf.DUMMYFUNCTION("AVERAGE(QUERY(SORT(GOOGLEFINANCE(B1184,""price"",TODAY()-365,TODAY()),1,0),""select Col2 limit 90""))"),963.0694444444446)</f>
        <v>963.0694444</v>
      </c>
      <c r="M1184" s="17">
        <f>IFERROR(__xludf.DUMMYFUNCTION("AVERAGE(QUERY(SORT(GOOGLEFINANCE(B1184,""price"",TODAY()-365,TODAY()),1,0),""select Col2 limit 120""))"),943.8287500000002)</f>
        <v>943.82875</v>
      </c>
      <c r="N1184" s="19">
        <f>IFERROR(__xludf.DUMMYFUNCTION("AVERAGE(QUERY(SORT(GOOGLEFINANCE(B1184,""price"",TODAY()-365,TODAY()),1,0),""select Col2 limit 200""))"),851.3597500000002)</f>
        <v>851.35975</v>
      </c>
      <c r="O1184" s="20" t="str">
        <f t="shared" si="2"/>
        <v>Avoid</v>
      </c>
      <c r="P1184" s="21" t="str">
        <f t="shared" si="3"/>
        <v/>
      </c>
      <c r="Q1184" s="21" t="str">
        <f t="shared" si="4"/>
        <v/>
      </c>
      <c r="R1184" s="22" t="str">
        <f>IFERROR(__xludf.DUMMYFUNCTION("GOOGLEFINANCE(B1184, ""pe"")
"),"#N/A")</f>
        <v>#N/A</v>
      </c>
    </row>
    <row r="1185">
      <c r="A1185" s="9" t="s">
        <v>1195</v>
      </c>
      <c r="B1185" s="11" t="str">
        <f t="shared" si="1"/>
        <v>NSE:OAL</v>
      </c>
      <c r="C1185" s="12">
        <f>IFERROR(__xludf.DUMMYFUNCTION("GOOGLEFINANCE(B1185,""marketcap"")/10000000"),1295.3262736)</f>
        <v>1295.326274</v>
      </c>
      <c r="D1185" s="13">
        <f>IFERROR(__xludf.DUMMYFUNCTION("GOOGLEFINANCE(B1185,""price"")"),385.6)</f>
        <v>385.6</v>
      </c>
      <c r="E1185" s="14">
        <f>IFERROR(__xludf.DUMMYFUNCTION("GOOGLEFINANCE(B1185,""Volume"")"),3566.0)</f>
        <v>3566</v>
      </c>
      <c r="F1185" s="14">
        <f t="array" ref="F1185">F1184</f>
        <v>14</v>
      </c>
      <c r="G1185" s="15" t="str">
        <f>IFERROR(__xludf.DUMMYFUNCTION("IF(E1185&gt;AVERAGE(INDEX(GOOGLEFINANCE(B1185,""volume"",WORKDAY(TODAY(),-$F$1),TODAY()),,2)),""Breakout"","""")"),"")</f>
        <v/>
      </c>
      <c r="H1185" s="16">
        <f>IFERROR(__xludf.DUMMYFUNCTION("GOOGLEFINANCE(B1185,""price"")"),385.6)</f>
        <v>385.6</v>
      </c>
      <c r="I1185" s="17">
        <f>IFERROR(__xludf.DUMMYFUNCTION("AVERAGE(QUERY(SORT(GOOGLEFINANCE(B1185,""price"",TODAY()-365,TODAY()),1,0),""select Col2 limit 10""))"),396.01)</f>
        <v>396.01</v>
      </c>
      <c r="J1185" s="17">
        <f>IFERROR(__xludf.DUMMYFUNCTION("AVERAGE(QUERY(SORT(GOOGLEFINANCE(B1185,""price"",TODAY()-365,TODAY()),1,0),""select Col2 limit 30""))"),385.4533333333333)</f>
        <v>385.4533333</v>
      </c>
      <c r="K1185" s="18">
        <f>IFERROR(__xludf.DUMMYFUNCTION("AVERAGE(QUERY(SORT(GOOGLEFINANCE(B1185,""price"",TODAY()-365,TODAY()),1,0),""select Col2 limit 60""))"),382.71666666666664)</f>
        <v>382.7166667</v>
      </c>
      <c r="L1185" s="17">
        <f>IFERROR(__xludf.DUMMYFUNCTION("AVERAGE(QUERY(SORT(GOOGLEFINANCE(B1185,""price"",TODAY()-365,TODAY()),1,0),""select Col2 limit 90""))"),358.56944444444446)</f>
        <v>358.5694444</v>
      </c>
      <c r="M1185" s="17">
        <f>IFERROR(__xludf.DUMMYFUNCTION("AVERAGE(QUERY(SORT(GOOGLEFINANCE(B1185,""price"",TODAY()-365,TODAY()),1,0),""select Col2 limit 120""))"),347.87708333333325)</f>
        <v>347.8770833</v>
      </c>
      <c r="N1185" s="19">
        <f>IFERROR(__xludf.DUMMYFUNCTION("AVERAGE(QUERY(SORT(GOOGLEFINANCE(B1185,""price"",TODAY()-365,TODAY()),1,0),""select Col2 limit 200""))"),399.96124999999995)</f>
        <v>399.96125</v>
      </c>
      <c r="O1185" s="20" t="str">
        <f t="shared" si="2"/>
        <v>Avoid</v>
      </c>
      <c r="P1185" s="21" t="str">
        <f t="shared" si="3"/>
        <v/>
      </c>
      <c r="Q1185" s="21" t="str">
        <f t="shared" si="4"/>
        <v/>
      </c>
      <c r="R1185" s="22">
        <f>IFERROR(__xludf.DUMMYFUNCTION("GOOGLEFINANCE(B1185, ""pe"")
"),37.74)</f>
        <v>37.74</v>
      </c>
    </row>
    <row r="1186">
      <c r="A1186" s="9" t="s">
        <v>1196</v>
      </c>
      <c r="B1186" s="11" t="str">
        <f t="shared" si="1"/>
        <v>NSE:DCW</v>
      </c>
      <c r="C1186" s="12">
        <f>IFERROR(__xludf.DUMMYFUNCTION("GOOGLEFINANCE(B1186,""marketcap"")/10000000"),2266.79049)</f>
        <v>2266.79049</v>
      </c>
      <c r="D1186" s="13">
        <f>IFERROR(__xludf.DUMMYFUNCTION("GOOGLEFINANCE(B1186,""price"")"),76.75)</f>
        <v>76.75</v>
      </c>
      <c r="E1186" s="14">
        <f>IFERROR(__xludf.DUMMYFUNCTION("GOOGLEFINANCE(B1186,""Volume"")"),837554.0)</f>
        <v>837554</v>
      </c>
      <c r="F1186" s="14">
        <f t="array" ref="F1186">F1185</f>
        <v>14</v>
      </c>
      <c r="G1186" s="15" t="str">
        <f>IFERROR(__xludf.DUMMYFUNCTION("IF(E1186&gt;AVERAGE(INDEX(GOOGLEFINANCE(B1186,""volume"",WORKDAY(TODAY(),-$F$1),TODAY()),,2)),""Breakout"","""")"),"")</f>
        <v/>
      </c>
      <c r="H1186" s="16">
        <f>IFERROR(__xludf.DUMMYFUNCTION("GOOGLEFINANCE(B1186,""price"")"),76.75)</f>
        <v>76.75</v>
      </c>
      <c r="I1186" s="17">
        <f>IFERROR(__xludf.DUMMYFUNCTION("AVERAGE(QUERY(SORT(GOOGLEFINANCE(B1186,""price"",TODAY()-365,TODAY()),1,0),""select Col2 limit 10""))"),76.39399999999999)</f>
        <v>76.394</v>
      </c>
      <c r="J1186" s="17">
        <f>IFERROR(__xludf.DUMMYFUNCTION("AVERAGE(QUERY(SORT(GOOGLEFINANCE(B1186,""price"",TODAY()-365,TODAY()),1,0),""select Col2 limit 30""))"),78.21766666666667)</f>
        <v>78.21766667</v>
      </c>
      <c r="K1186" s="18">
        <f>IFERROR(__xludf.DUMMYFUNCTION("AVERAGE(QUERY(SORT(GOOGLEFINANCE(B1186,""price"",TODAY()-365,TODAY()),1,0),""select Col2 limit 60""))"),78.37600000000002)</f>
        <v>78.376</v>
      </c>
      <c r="L1186" s="17">
        <f>IFERROR(__xludf.DUMMYFUNCTION("AVERAGE(QUERY(SORT(GOOGLEFINANCE(B1186,""price"",TODAY()-365,TODAY()),1,0),""select Col2 limit 90""))"),78.86244444444446)</f>
        <v>78.86244444</v>
      </c>
      <c r="M1186" s="17">
        <f>IFERROR(__xludf.DUMMYFUNCTION("AVERAGE(QUERY(SORT(GOOGLEFINANCE(B1186,""price"",TODAY()-365,TODAY()),1,0),""select Col2 limit 120""))"),78.48541666666671)</f>
        <v>78.48541667</v>
      </c>
      <c r="N1186" s="19">
        <f>IFERROR(__xludf.DUMMYFUNCTION("AVERAGE(QUERY(SORT(GOOGLEFINANCE(B1186,""price"",TODAY()-365,TODAY()),1,0),""select Col2 limit 200""))"),85.16535000000002)</f>
        <v>85.16535</v>
      </c>
      <c r="O1186" s="20" t="str">
        <f t="shared" si="2"/>
        <v>Avoid</v>
      </c>
      <c r="P1186" s="21" t="str">
        <f t="shared" si="3"/>
        <v/>
      </c>
      <c r="Q1186" s="21" t="str">
        <f t="shared" si="4"/>
        <v/>
      </c>
      <c r="R1186" s="22">
        <f>IFERROR(__xludf.DUMMYFUNCTION("GOOGLEFINANCE(B1186, ""pe"")
"),74.51)</f>
        <v>74.51</v>
      </c>
    </row>
    <row r="1187">
      <c r="A1187" s="9" t="s">
        <v>1197</v>
      </c>
      <c r="B1187" s="11" t="str">
        <f t="shared" si="1"/>
        <v>NSE:ARIHANTSUP</v>
      </c>
      <c r="C1187" s="12">
        <f>IFERROR(__xludf.DUMMYFUNCTION("GOOGLEFINANCE(B1187,""marketcap"")/10000000"),1863.2090856)</f>
        <v>1863.209086</v>
      </c>
      <c r="D1187" s="13">
        <f>IFERROR(__xludf.DUMMYFUNCTION("GOOGLEFINANCE(B1187,""price"")"),429.75)</f>
        <v>429.75</v>
      </c>
      <c r="E1187" s="14">
        <f>IFERROR(__xludf.DUMMYFUNCTION("GOOGLEFINANCE(B1187,""Volume"")"),16546.0)</f>
        <v>16546</v>
      </c>
      <c r="F1187" s="14">
        <f t="array" ref="F1187">F1186</f>
        <v>14</v>
      </c>
      <c r="G1187" s="15" t="str">
        <f>IFERROR(__xludf.DUMMYFUNCTION("IF(E1187&gt;AVERAGE(INDEX(GOOGLEFINANCE(B1187,""volume"",WORKDAY(TODAY(),-$F$1),TODAY()),,2)),""Breakout"","""")"),"")</f>
        <v/>
      </c>
      <c r="H1187" s="16">
        <f>IFERROR(__xludf.DUMMYFUNCTION("GOOGLEFINANCE(B1187,""price"")"),429.75)</f>
        <v>429.75</v>
      </c>
      <c r="I1187" s="17">
        <f>IFERROR(__xludf.DUMMYFUNCTION("AVERAGE(QUERY(SORT(GOOGLEFINANCE(B1187,""price"",TODAY()-365,TODAY()),1,0),""select Col2 limit 10""))"),433.76000000000005)</f>
        <v>433.76</v>
      </c>
      <c r="J1187" s="17">
        <f>IFERROR(__xludf.DUMMYFUNCTION("AVERAGE(QUERY(SORT(GOOGLEFINANCE(B1187,""price"",TODAY()-365,TODAY()),1,0),""select Col2 limit 30""))"),402.3883333333335)</f>
        <v>402.3883333</v>
      </c>
      <c r="K1187" s="18">
        <f>IFERROR(__xludf.DUMMYFUNCTION("AVERAGE(QUERY(SORT(GOOGLEFINANCE(B1187,""price"",TODAY()-365,TODAY()),1,0),""select Col2 limit 60""))"),384.80583333333345)</f>
        <v>384.8058333</v>
      </c>
      <c r="L1187" s="17">
        <f>IFERROR(__xludf.DUMMYFUNCTION("AVERAGE(QUERY(SORT(GOOGLEFINANCE(B1187,""price"",TODAY()-365,TODAY()),1,0),""select Col2 limit 90""))"),387.1305555555557)</f>
        <v>387.1305556</v>
      </c>
      <c r="M1187" s="17">
        <f>IFERROR(__xludf.DUMMYFUNCTION("AVERAGE(QUERY(SORT(GOOGLEFINANCE(B1187,""price"",TODAY()-365,TODAY()),1,0),""select Col2 limit 120""))"),398.5908333333333)</f>
        <v>398.5908333</v>
      </c>
      <c r="N1187" s="19">
        <f>IFERROR(__xludf.DUMMYFUNCTION("AVERAGE(QUERY(SORT(GOOGLEFINANCE(B1187,""price"",TODAY()-365,TODAY()),1,0),""select Col2 limit 200""))"),406.14775000000003)</f>
        <v>406.14775</v>
      </c>
      <c r="O1187" s="20" t="str">
        <f t="shared" si="2"/>
        <v>Avoid</v>
      </c>
      <c r="P1187" s="21" t="str">
        <f t="shared" si="3"/>
        <v>10 DMA</v>
      </c>
      <c r="Q1187" s="21" t="str">
        <f t="shared" si="4"/>
        <v/>
      </c>
      <c r="R1187" s="22">
        <f>IFERROR(__xludf.DUMMYFUNCTION("GOOGLEFINANCE(B1187, ""pe"")
"),45.05)</f>
        <v>45.05</v>
      </c>
    </row>
    <row r="1188">
      <c r="A1188" s="9" t="s">
        <v>1198</v>
      </c>
      <c r="B1188" s="11" t="str">
        <f t="shared" si="1"/>
        <v>NSE:CENTRUM</v>
      </c>
      <c r="C1188" s="12">
        <f>IFERROR(__xludf.DUMMYFUNCTION("GOOGLEFINANCE(B1188,""marketcap"")/10000000"),1572.85206)</f>
        <v>1572.85206</v>
      </c>
      <c r="D1188" s="13">
        <f>IFERROR(__xludf.DUMMYFUNCTION("GOOGLEFINANCE(B1188,""price"")"),39.0)</f>
        <v>39</v>
      </c>
      <c r="E1188" s="14">
        <f>IFERROR(__xludf.DUMMYFUNCTION("GOOGLEFINANCE(B1188,""Volume"")"),149293.0)</f>
        <v>149293</v>
      </c>
      <c r="F1188" s="14">
        <f t="array" ref="F1188">F1187</f>
        <v>14</v>
      </c>
      <c r="G1188" s="15" t="str">
        <f>IFERROR(__xludf.DUMMYFUNCTION("IF(E1188&gt;AVERAGE(INDEX(GOOGLEFINANCE(B1188,""volume"",WORKDAY(TODAY(),-$F$1),TODAY()),,2)),""Breakout"","""")"),"")</f>
        <v/>
      </c>
      <c r="H1188" s="16">
        <f>IFERROR(__xludf.DUMMYFUNCTION("GOOGLEFINANCE(B1188,""price"")"),39.0)</f>
        <v>39</v>
      </c>
      <c r="I1188" s="17">
        <f>IFERROR(__xludf.DUMMYFUNCTION("AVERAGE(QUERY(SORT(GOOGLEFINANCE(B1188,""price"",TODAY()-365,TODAY()),1,0),""select Col2 limit 10""))"),39.053)</f>
        <v>39.053</v>
      </c>
      <c r="J1188" s="17">
        <f>IFERROR(__xludf.DUMMYFUNCTION("AVERAGE(QUERY(SORT(GOOGLEFINANCE(B1188,""price"",TODAY()-365,TODAY()),1,0),""select Col2 limit 30""))"),35.315666666666665)</f>
        <v>35.31566667</v>
      </c>
      <c r="K1188" s="18">
        <f>IFERROR(__xludf.DUMMYFUNCTION("AVERAGE(QUERY(SORT(GOOGLEFINANCE(B1188,""price"",TODAY()-365,TODAY()),1,0),""select Col2 limit 60""))"),32.747499999999995)</f>
        <v>32.7475</v>
      </c>
      <c r="L1188" s="17">
        <f>IFERROR(__xludf.DUMMYFUNCTION("AVERAGE(QUERY(SORT(GOOGLEFINANCE(B1188,""price"",TODAY()-365,TODAY()),1,0),""select Col2 limit 90""))"),30.025444444444442)</f>
        <v>30.02544444</v>
      </c>
      <c r="M1188" s="17">
        <f>IFERROR(__xludf.DUMMYFUNCTION("AVERAGE(QUERY(SORT(GOOGLEFINANCE(B1188,""price"",TODAY()-365,TODAY()),1,0),""select Col2 limit 120""))"),29.284749999999992)</f>
        <v>29.28475</v>
      </c>
      <c r="N1188" s="19">
        <f>IFERROR(__xludf.DUMMYFUNCTION("AVERAGE(QUERY(SORT(GOOGLEFINANCE(B1188,""price"",TODAY()-365,TODAY()),1,0),""select Col2 limit 200""))"),30.9144)</f>
        <v>30.9144</v>
      </c>
      <c r="O1188" s="20" t="str">
        <f t="shared" si="2"/>
        <v>Avoid</v>
      </c>
      <c r="P1188" s="21" t="str">
        <f t="shared" si="3"/>
        <v>10 DMA</v>
      </c>
      <c r="Q1188" s="21" t="str">
        <f t="shared" si="4"/>
        <v/>
      </c>
      <c r="R1188" s="22" t="str">
        <f>IFERROR(__xludf.DUMMYFUNCTION("GOOGLEFINANCE(B1188, ""pe"")
"),"#N/A")</f>
        <v>#N/A</v>
      </c>
    </row>
    <row r="1189">
      <c r="A1189" s="9" t="s">
        <v>1199</v>
      </c>
      <c r="B1189" s="11" t="str">
        <f t="shared" si="1"/>
        <v>NSE:5PAISA</v>
      </c>
      <c r="C1189" s="12">
        <f>IFERROR(__xludf.DUMMYFUNCTION("GOOGLEFINANCE(B1189,""marketcap"")/10000000"),1179.058585)</f>
        <v>1179.058585</v>
      </c>
      <c r="D1189" s="13">
        <f>IFERROR(__xludf.DUMMYFUNCTION("GOOGLEFINANCE(B1189,""price"")"),377.85)</f>
        <v>377.85</v>
      </c>
      <c r="E1189" s="14">
        <f>IFERROR(__xludf.DUMMYFUNCTION("GOOGLEFINANCE(B1189,""Volume"")"),14924.0)</f>
        <v>14924</v>
      </c>
      <c r="F1189" s="14">
        <f t="array" ref="F1189">F1188</f>
        <v>14</v>
      </c>
      <c r="G1189" s="15" t="str">
        <f>IFERROR(__xludf.DUMMYFUNCTION("IF(E1189&gt;AVERAGE(INDEX(GOOGLEFINANCE(B1189,""volume"",WORKDAY(TODAY(),-$F$1),TODAY()),,2)),""Breakout"","""")"),"")</f>
        <v/>
      </c>
      <c r="H1189" s="16">
        <f>IFERROR(__xludf.DUMMYFUNCTION("GOOGLEFINANCE(B1189,""price"")"),377.85)</f>
        <v>377.85</v>
      </c>
      <c r="I1189" s="17">
        <f>IFERROR(__xludf.DUMMYFUNCTION("AVERAGE(QUERY(SORT(GOOGLEFINANCE(B1189,""price"",TODAY()-365,TODAY()),1,0),""select Col2 limit 10""))"),395.84000000000003)</f>
        <v>395.84</v>
      </c>
      <c r="J1189" s="17">
        <f>IFERROR(__xludf.DUMMYFUNCTION("AVERAGE(QUERY(SORT(GOOGLEFINANCE(B1189,""price"",TODAY()-365,TODAY()),1,0),""select Col2 limit 30""))"),403.45166666666665)</f>
        <v>403.4516667</v>
      </c>
      <c r="K1189" s="18">
        <f>IFERROR(__xludf.DUMMYFUNCTION("AVERAGE(QUERY(SORT(GOOGLEFINANCE(B1189,""price"",TODAY()-365,TODAY()),1,0),""select Col2 limit 60""))"),399.30083333333346)</f>
        <v>399.3008333</v>
      </c>
      <c r="L1189" s="17">
        <f>IFERROR(__xludf.DUMMYFUNCTION("AVERAGE(QUERY(SORT(GOOGLEFINANCE(B1189,""price"",TODAY()-365,TODAY()),1,0),""select Col2 limit 90""))"),388.56222222222226)</f>
        <v>388.5622222</v>
      </c>
      <c r="M1189" s="17">
        <f>IFERROR(__xludf.DUMMYFUNCTION("AVERAGE(QUERY(SORT(GOOGLEFINANCE(B1189,""price"",TODAY()-365,TODAY()),1,0),""select Col2 limit 120""))"),383.01416666666677)</f>
        <v>383.0141667</v>
      </c>
      <c r="N1189" s="19">
        <f>IFERROR(__xludf.DUMMYFUNCTION("AVERAGE(QUERY(SORT(GOOGLEFINANCE(B1189,""price"",TODAY()-365,TODAY()),1,0),""select Col2 limit 200""))"),422.8515)</f>
        <v>422.8515</v>
      </c>
      <c r="O1189" s="20" t="str">
        <f t="shared" si="2"/>
        <v>Avoid</v>
      </c>
      <c r="P1189" s="21" t="str">
        <f t="shared" si="3"/>
        <v/>
      </c>
      <c r="Q1189" s="21" t="str">
        <f t="shared" si="4"/>
        <v/>
      </c>
      <c r="R1189" s="22">
        <f>IFERROR(__xludf.DUMMYFUNCTION("GOOGLEFINANCE(B1189, ""pe"")
"),19.86)</f>
        <v>19.86</v>
      </c>
    </row>
    <row r="1190">
      <c r="A1190" s="9" t="s">
        <v>1200</v>
      </c>
      <c r="B1190" s="11" t="str">
        <f t="shared" si="1"/>
        <v>NSE:HLVLTD</v>
      </c>
      <c r="C1190" s="12">
        <f>IFERROR(__xludf.DUMMYFUNCTION("GOOGLEFINANCE(B1190,""marketcap"")/10000000"),827.371187)</f>
        <v>827.371187</v>
      </c>
      <c r="D1190" s="13">
        <f>IFERROR(__xludf.DUMMYFUNCTION("GOOGLEFINANCE(B1190,""price"")"),12.59)</f>
        <v>12.59</v>
      </c>
      <c r="E1190" s="14">
        <f>IFERROR(__xludf.DUMMYFUNCTION("GOOGLEFINANCE(B1190,""Volume"")"),294868.0)</f>
        <v>294868</v>
      </c>
      <c r="F1190" s="14">
        <f t="array" ref="F1190">F1189</f>
        <v>14</v>
      </c>
      <c r="G1190" s="15" t="str">
        <f>IFERROR(__xludf.DUMMYFUNCTION("IF(E1190&gt;AVERAGE(INDEX(GOOGLEFINANCE(B1190,""volume"",WORKDAY(TODAY(),-$F$1),TODAY()),,2)),""Breakout"","""")"),"")</f>
        <v/>
      </c>
      <c r="H1190" s="16">
        <f>IFERROR(__xludf.DUMMYFUNCTION("GOOGLEFINANCE(B1190,""price"")"),12.59)</f>
        <v>12.59</v>
      </c>
      <c r="I1190" s="17">
        <f>IFERROR(__xludf.DUMMYFUNCTION("AVERAGE(QUERY(SORT(GOOGLEFINANCE(B1190,""price"",TODAY()-365,TODAY()),1,0),""select Col2 limit 10""))"),13.172)</f>
        <v>13.172</v>
      </c>
      <c r="J1190" s="17">
        <f>IFERROR(__xludf.DUMMYFUNCTION("AVERAGE(QUERY(SORT(GOOGLEFINANCE(B1190,""price"",TODAY()-365,TODAY()),1,0),""select Col2 limit 30""))"),13.492333333333335)</f>
        <v>13.49233333</v>
      </c>
      <c r="K1190" s="18">
        <f>IFERROR(__xludf.DUMMYFUNCTION("AVERAGE(QUERY(SORT(GOOGLEFINANCE(B1190,""price"",TODAY()-365,TODAY()),1,0),""select Col2 limit 60""))"),13.3775)</f>
        <v>13.3775</v>
      </c>
      <c r="L1190" s="17">
        <f>IFERROR(__xludf.DUMMYFUNCTION("AVERAGE(QUERY(SORT(GOOGLEFINANCE(B1190,""price"",TODAY()-365,TODAY()),1,0),""select Col2 limit 90""))"),13.188444444444443)</f>
        <v>13.18844444</v>
      </c>
      <c r="M1190" s="17">
        <f>IFERROR(__xludf.DUMMYFUNCTION("AVERAGE(QUERY(SORT(GOOGLEFINANCE(B1190,""price"",TODAY()-365,TODAY()),1,0),""select Col2 limit 120""))"),13.58875)</f>
        <v>13.58875</v>
      </c>
      <c r="N1190" s="19">
        <f>IFERROR(__xludf.DUMMYFUNCTION("AVERAGE(QUERY(SORT(GOOGLEFINANCE(B1190,""price"",TODAY()-365,TODAY()),1,0),""select Col2 limit 200""))"),15.386449999999993)</f>
        <v>15.38645</v>
      </c>
      <c r="O1190" s="20" t="str">
        <f t="shared" si="2"/>
        <v>Avoid</v>
      </c>
      <c r="P1190" s="21" t="str">
        <f t="shared" si="3"/>
        <v/>
      </c>
      <c r="Q1190" s="21" t="str">
        <f t="shared" si="4"/>
        <v/>
      </c>
      <c r="R1190" s="22">
        <f>IFERROR(__xludf.DUMMYFUNCTION("GOOGLEFINANCE(B1190, ""pe"")
"),31.48)</f>
        <v>31.48</v>
      </c>
    </row>
    <row r="1191">
      <c r="A1191" s="9" t="s">
        <v>1201</v>
      </c>
      <c r="B1191" s="11" t="str">
        <f t="shared" si="1"/>
        <v>NSE:NIITLTD</v>
      </c>
      <c r="C1191" s="12">
        <f>IFERROR(__xludf.DUMMYFUNCTION("GOOGLEFINANCE(B1191,""marketcap"")/10000000"),1621.3110205)</f>
        <v>1621.311021</v>
      </c>
      <c r="D1191" s="13">
        <f>IFERROR(__xludf.DUMMYFUNCTION("GOOGLEFINANCE(B1191,""price"")"),119.26)</f>
        <v>119.26</v>
      </c>
      <c r="E1191" s="14">
        <f>IFERROR(__xludf.DUMMYFUNCTION("GOOGLEFINANCE(B1191,""Volume"")"),100659.0)</f>
        <v>100659</v>
      </c>
      <c r="F1191" s="14">
        <f t="array" ref="F1191">F1190</f>
        <v>14</v>
      </c>
      <c r="G1191" s="15" t="str">
        <f>IFERROR(__xludf.DUMMYFUNCTION("IF(E1191&gt;AVERAGE(INDEX(GOOGLEFINANCE(B1191,""volume"",WORKDAY(TODAY(),-$F$1),TODAY()),,2)),""Breakout"","""")"),"")</f>
        <v/>
      </c>
      <c r="H1191" s="16">
        <f>IFERROR(__xludf.DUMMYFUNCTION("GOOGLEFINANCE(B1191,""price"")"),119.26)</f>
        <v>119.26</v>
      </c>
      <c r="I1191" s="17">
        <f>IFERROR(__xludf.DUMMYFUNCTION("AVERAGE(QUERY(SORT(GOOGLEFINANCE(B1191,""price"",TODAY()-365,TODAY()),1,0),""select Col2 limit 10""))"),123.79400000000001)</f>
        <v>123.794</v>
      </c>
      <c r="J1191" s="17">
        <f>IFERROR(__xludf.DUMMYFUNCTION("AVERAGE(QUERY(SORT(GOOGLEFINANCE(B1191,""price"",TODAY()-365,TODAY()),1,0),""select Col2 limit 30""))"),127.36533333333335)</f>
        <v>127.3653333</v>
      </c>
      <c r="K1191" s="18">
        <f>IFERROR(__xludf.DUMMYFUNCTION("AVERAGE(QUERY(SORT(GOOGLEFINANCE(B1191,""price"",TODAY()-365,TODAY()),1,0),""select Col2 limit 60""))"),131.51216666666673)</f>
        <v>131.5121667</v>
      </c>
      <c r="L1191" s="17">
        <f>IFERROR(__xludf.DUMMYFUNCTION("AVERAGE(QUERY(SORT(GOOGLEFINANCE(B1191,""price"",TODAY()-365,TODAY()),1,0),""select Col2 limit 90""))"),129.4225555555556)</f>
        <v>129.4225556</v>
      </c>
      <c r="M1191" s="17">
        <f>IFERROR(__xludf.DUMMYFUNCTION("AVERAGE(QUERY(SORT(GOOGLEFINANCE(B1191,""price"",TODAY()-365,TODAY()),1,0),""select Col2 limit 120""))"),129.28166666666667)</f>
        <v>129.2816667</v>
      </c>
      <c r="N1191" s="19">
        <f>IFERROR(__xludf.DUMMYFUNCTION("AVERAGE(QUERY(SORT(GOOGLEFINANCE(B1191,""price"",TODAY()-365,TODAY()),1,0),""select Col2 limit 200""))"),150.69485000000003)</f>
        <v>150.69485</v>
      </c>
      <c r="O1191" s="20" t="str">
        <f t="shared" si="2"/>
        <v>Avoid</v>
      </c>
      <c r="P1191" s="21" t="str">
        <f t="shared" si="3"/>
        <v/>
      </c>
      <c r="Q1191" s="21" t="str">
        <f t="shared" si="4"/>
        <v/>
      </c>
      <c r="R1191" s="22">
        <f>IFERROR(__xludf.DUMMYFUNCTION("GOOGLEFINANCE(B1191, ""pe"")
"),34.38)</f>
        <v>34.38</v>
      </c>
    </row>
    <row r="1192">
      <c r="A1192" s="9" t="s">
        <v>1202</v>
      </c>
      <c r="B1192" s="11" t="str">
        <f t="shared" si="1"/>
        <v>NSE:HUBTOWN</v>
      </c>
      <c r="C1192" s="12">
        <f>IFERROR(__xludf.DUMMYFUNCTION("GOOGLEFINANCE(B1192,""marketcap"")/10000000"),4386.5370908)</f>
        <v>4386.537091</v>
      </c>
      <c r="D1192" s="13">
        <f>IFERROR(__xludf.DUMMYFUNCTION("GOOGLEFINANCE(B1192,""price"")"),317.4)</f>
        <v>317.4</v>
      </c>
      <c r="E1192" s="14">
        <f>IFERROR(__xludf.DUMMYFUNCTION("GOOGLEFINANCE(B1192,""Volume"")"),1881623.0)</f>
        <v>1881623</v>
      </c>
      <c r="F1192" s="14">
        <f t="array" ref="F1192">F1191</f>
        <v>14</v>
      </c>
      <c r="G1192" s="15" t="str">
        <f>IFERROR(__xludf.DUMMYFUNCTION("IF(E1192&gt;AVERAGE(INDEX(GOOGLEFINANCE(B1192,""volume"",WORKDAY(TODAY(),-$F$1),TODAY()),,2)),""Breakout"","""")"),"Breakout")</f>
        <v>Breakout</v>
      </c>
      <c r="H1192" s="16">
        <f>IFERROR(__xludf.DUMMYFUNCTION("GOOGLEFINANCE(B1192,""price"")"),317.4)</f>
        <v>317.4</v>
      </c>
      <c r="I1192" s="17">
        <f>IFERROR(__xludf.DUMMYFUNCTION("AVERAGE(QUERY(SORT(GOOGLEFINANCE(B1192,""price"",TODAY()-365,TODAY()),1,0),""select Col2 limit 10""))"),298.57)</f>
        <v>298.57</v>
      </c>
      <c r="J1192" s="17">
        <f>IFERROR(__xludf.DUMMYFUNCTION("AVERAGE(QUERY(SORT(GOOGLEFINANCE(B1192,""price"",TODAY()-365,TODAY()),1,0),""select Col2 limit 30""))"),266.364)</f>
        <v>266.364</v>
      </c>
      <c r="K1192" s="18">
        <f>IFERROR(__xludf.DUMMYFUNCTION("AVERAGE(QUERY(SORT(GOOGLEFINANCE(B1192,""price"",TODAY()-365,TODAY()),1,0),""select Col2 limit 60""))"),225.94183333333334)</f>
        <v>225.9418333</v>
      </c>
      <c r="L1192" s="17">
        <f>IFERROR(__xludf.DUMMYFUNCTION("AVERAGE(QUERY(SORT(GOOGLEFINANCE(B1192,""price"",TODAY()-365,TODAY()),1,0),""select Col2 limit 90""))"),215.4781111111111)</f>
        <v>215.4781111</v>
      </c>
      <c r="M1192" s="17">
        <f>IFERROR(__xludf.DUMMYFUNCTION("AVERAGE(QUERY(SORT(GOOGLEFINANCE(B1192,""price"",TODAY()-365,TODAY()),1,0),""select Col2 limit 120""))"),219.94541666666663)</f>
        <v>219.9454167</v>
      </c>
      <c r="N1192" s="19">
        <f>IFERROR(__xludf.DUMMYFUNCTION("AVERAGE(QUERY(SORT(GOOGLEFINANCE(B1192,""price"",TODAY()-365,TODAY()),1,0),""select Col2 limit 200""))"),243.25650000000002)</f>
        <v>243.2565</v>
      </c>
      <c r="O1192" s="20" t="str">
        <f t="shared" si="2"/>
        <v>Avoid</v>
      </c>
      <c r="P1192" s="21" t="str">
        <f t="shared" si="3"/>
        <v/>
      </c>
      <c r="Q1192" s="21" t="str">
        <f t="shared" si="4"/>
        <v/>
      </c>
      <c r="R1192" s="22">
        <f>IFERROR(__xludf.DUMMYFUNCTION("GOOGLEFINANCE(B1192, ""pe"")
"),74.61)</f>
        <v>74.61</v>
      </c>
    </row>
    <row r="1193">
      <c r="A1193" s="9" t="s">
        <v>1203</v>
      </c>
      <c r="B1193" s="11" t="str">
        <f t="shared" si="1"/>
        <v>NSE:MOTISONS</v>
      </c>
      <c r="C1193" s="12">
        <f>IFERROR(__xludf.DUMMYFUNCTION("GOOGLEFINANCE(B1193,""marketcap"")/10000000"),2065.5498018)</f>
        <v>2065.549802</v>
      </c>
      <c r="D1193" s="13">
        <f>IFERROR(__xludf.DUMMYFUNCTION("GOOGLEFINANCE(B1193,""price"")"),21.04)</f>
        <v>21.04</v>
      </c>
      <c r="E1193" s="14">
        <f>IFERROR(__xludf.DUMMYFUNCTION("GOOGLEFINANCE(B1193,""Volume"")"),1278323.0)</f>
        <v>1278323</v>
      </c>
      <c r="F1193" s="14">
        <f t="array" ref="F1193">F1192</f>
        <v>14</v>
      </c>
      <c r="G1193" s="15" t="str">
        <f>IFERROR(__xludf.DUMMYFUNCTION("IF(E1193&gt;AVERAGE(INDEX(GOOGLEFINANCE(B1193,""volume"",WORKDAY(TODAY(),-$F$1),TODAY()),,2)),""Breakout"","""")"),"")</f>
        <v/>
      </c>
      <c r="H1193" s="16">
        <f>IFERROR(__xludf.DUMMYFUNCTION("GOOGLEFINANCE(B1193,""price"")"),21.04)</f>
        <v>21.04</v>
      </c>
      <c r="I1193" s="17">
        <f>IFERROR(__xludf.DUMMYFUNCTION("AVERAGE(QUERY(SORT(GOOGLEFINANCE(B1193,""price"",TODAY()-365,TODAY()),1,0),""select Col2 limit 10""))"),22.077)</f>
        <v>22.077</v>
      </c>
      <c r="J1193" s="17">
        <f>IFERROR(__xludf.DUMMYFUNCTION("AVERAGE(QUERY(SORT(GOOGLEFINANCE(B1193,""price"",TODAY()-365,TODAY()),1,0),""select Col2 limit 30""))"),21.528666666666666)</f>
        <v>21.52866667</v>
      </c>
      <c r="K1193" s="18">
        <f>IFERROR(__xludf.DUMMYFUNCTION("AVERAGE(QUERY(SORT(GOOGLEFINANCE(B1193,""price"",TODAY()-365,TODAY()),1,0),""select Col2 limit 60""))"),19.588000000000008)</f>
        <v>19.588</v>
      </c>
      <c r="L1193" s="17">
        <f>IFERROR(__xludf.DUMMYFUNCTION("AVERAGE(QUERY(SORT(GOOGLEFINANCE(B1193,""price"",TODAY()-365,TODAY()),1,0),""select Col2 limit 90""))"),19.05266666666667)</f>
        <v>19.05266667</v>
      </c>
      <c r="M1193" s="17">
        <f>IFERROR(__xludf.DUMMYFUNCTION("AVERAGE(QUERY(SORT(GOOGLEFINANCE(B1193,""price"",TODAY()-365,TODAY()),1,0),""select Col2 limit 120""))"),19.391750000000002)</f>
        <v>19.39175</v>
      </c>
      <c r="N1193" s="19">
        <f>IFERROR(__xludf.DUMMYFUNCTION("AVERAGE(QUERY(SORT(GOOGLEFINANCE(B1193,""price"",TODAY()-365,TODAY()),1,0),""select Col2 limit 200""))"),22.811249999999994)</f>
        <v>22.81125</v>
      </c>
      <c r="O1193" s="20" t="str">
        <f t="shared" si="2"/>
        <v>Avoid</v>
      </c>
      <c r="P1193" s="21" t="str">
        <f t="shared" si="3"/>
        <v/>
      </c>
      <c r="Q1193" s="21" t="str">
        <f t="shared" si="4"/>
        <v/>
      </c>
      <c r="R1193" s="22">
        <f>IFERROR(__xludf.DUMMYFUNCTION("GOOGLEFINANCE(B1193, ""pe"")
"),48.05)</f>
        <v>48.05</v>
      </c>
    </row>
    <row r="1194">
      <c r="A1194" s="9" t="s">
        <v>1204</v>
      </c>
      <c r="B1194" s="11" t="str">
        <f t="shared" si="1"/>
        <v>NSE:AMNPLST</v>
      </c>
      <c r="C1194" s="12">
        <f>IFERROR(__xludf.DUMMYFUNCTION("GOOGLEFINANCE(B1194,""marketcap"")/10000000"),1248.2935599)</f>
        <v>1248.29356</v>
      </c>
      <c r="D1194" s="13">
        <f>IFERROR(__xludf.DUMMYFUNCTION("GOOGLEFINANCE(B1194,""price"")"),227.08)</f>
        <v>227.08</v>
      </c>
      <c r="E1194" s="14">
        <f>IFERROR(__xludf.DUMMYFUNCTION("GOOGLEFINANCE(B1194,""Volume"")"),4407.0)</f>
        <v>4407</v>
      </c>
      <c r="F1194" s="14">
        <f t="array" ref="F1194">F1193</f>
        <v>14</v>
      </c>
      <c r="G1194" s="15" t="str">
        <f>IFERROR(__xludf.DUMMYFUNCTION("IF(E1194&gt;AVERAGE(INDEX(GOOGLEFINANCE(B1194,""volume"",WORKDAY(TODAY(),-$F$1),TODAY()),,2)),""Breakout"","""")"),"")</f>
        <v/>
      </c>
      <c r="H1194" s="16">
        <f>IFERROR(__xludf.DUMMYFUNCTION("GOOGLEFINANCE(B1194,""price"")"),227.08)</f>
        <v>227.08</v>
      </c>
      <c r="I1194" s="17">
        <f>IFERROR(__xludf.DUMMYFUNCTION("AVERAGE(QUERY(SORT(GOOGLEFINANCE(B1194,""price"",TODAY()-365,TODAY()),1,0),""select Col2 limit 10""))"),242.045)</f>
        <v>242.045</v>
      </c>
      <c r="J1194" s="17">
        <f>IFERROR(__xludf.DUMMYFUNCTION("AVERAGE(QUERY(SORT(GOOGLEFINANCE(B1194,""price"",TODAY()-365,TODAY()),1,0),""select Col2 limit 30""))"),244.03)</f>
        <v>244.03</v>
      </c>
      <c r="K1194" s="18">
        <f>IFERROR(__xludf.DUMMYFUNCTION("AVERAGE(QUERY(SORT(GOOGLEFINANCE(B1194,""price"",TODAY()-365,TODAY()),1,0),""select Col2 limit 60""))"),233.31100000000004)</f>
        <v>233.311</v>
      </c>
      <c r="L1194" s="17">
        <f>IFERROR(__xludf.DUMMYFUNCTION("AVERAGE(QUERY(SORT(GOOGLEFINANCE(B1194,""price"",TODAY()-365,TODAY()),1,0),""select Col2 limit 90""))"),228.47344444444448)</f>
        <v>228.4734444</v>
      </c>
      <c r="M1194" s="17">
        <f>IFERROR(__xludf.DUMMYFUNCTION("AVERAGE(QUERY(SORT(GOOGLEFINANCE(B1194,""price"",TODAY()-365,TODAY()),1,0),""select Col2 limit 120""))"),232.17283333333333)</f>
        <v>232.1728333</v>
      </c>
      <c r="N1194" s="19">
        <f>IFERROR(__xludf.DUMMYFUNCTION("AVERAGE(QUERY(SORT(GOOGLEFINANCE(B1194,""price"",TODAY()-365,TODAY()),1,0),""select Col2 limit 200""))"),253.2274500000001)</f>
        <v>253.22745</v>
      </c>
      <c r="O1194" s="20" t="str">
        <f t="shared" si="2"/>
        <v>Avoid</v>
      </c>
      <c r="P1194" s="21" t="str">
        <f t="shared" si="3"/>
        <v>90 DMA</v>
      </c>
      <c r="Q1194" s="21" t="str">
        <f t="shared" si="4"/>
        <v/>
      </c>
      <c r="R1194" s="22">
        <f>IFERROR(__xludf.DUMMYFUNCTION("GOOGLEFINANCE(B1194, ""pe"")
"),30.45)</f>
        <v>30.45</v>
      </c>
    </row>
    <row r="1195">
      <c r="A1195" s="9" t="s">
        <v>1205</v>
      </c>
      <c r="B1195" s="11" t="str">
        <f t="shared" si="1"/>
        <v>NSE:ONEPOINT</v>
      </c>
      <c r="C1195" s="12">
        <f>IFERROR(__xludf.DUMMYFUNCTION("GOOGLEFINANCE(B1195,""marketcap"")/10000000"),1277.5821798)</f>
        <v>1277.58218</v>
      </c>
      <c r="D1195" s="13">
        <f>IFERROR(__xludf.DUMMYFUNCTION("GOOGLEFINANCE(B1195,""price"")"),48.6)</f>
        <v>48.6</v>
      </c>
      <c r="E1195" s="14">
        <f>IFERROR(__xludf.DUMMYFUNCTION("GOOGLEFINANCE(B1195,""Volume"")"),62988.0)</f>
        <v>62988</v>
      </c>
      <c r="F1195" s="14">
        <f t="array" ref="F1195">F1194</f>
        <v>14</v>
      </c>
      <c r="G1195" s="15" t="str">
        <f>IFERROR(__xludf.DUMMYFUNCTION("IF(E1195&gt;AVERAGE(INDEX(GOOGLEFINANCE(B1195,""volume"",WORKDAY(TODAY(),-$F$1),TODAY()),,2)),""Breakout"","""")"),"")</f>
        <v/>
      </c>
      <c r="H1195" s="16">
        <f>IFERROR(__xludf.DUMMYFUNCTION("GOOGLEFINANCE(B1195,""price"")"),48.6)</f>
        <v>48.6</v>
      </c>
      <c r="I1195" s="17">
        <f>IFERROR(__xludf.DUMMYFUNCTION("AVERAGE(QUERY(SORT(GOOGLEFINANCE(B1195,""price"",TODAY()-365,TODAY()),1,0),""select Col2 limit 10""))"),49.916)</f>
        <v>49.916</v>
      </c>
      <c r="J1195" s="17">
        <f>IFERROR(__xludf.DUMMYFUNCTION("AVERAGE(QUERY(SORT(GOOGLEFINANCE(B1195,""price"",TODAY()-365,TODAY()),1,0),""select Col2 limit 30""))"),53.68200000000001)</f>
        <v>53.682</v>
      </c>
      <c r="K1195" s="18">
        <f>IFERROR(__xludf.DUMMYFUNCTION("AVERAGE(QUERY(SORT(GOOGLEFINANCE(B1195,""price"",TODAY()-365,TODAY()),1,0),""select Col2 limit 60""))"),57.74399999999999)</f>
        <v>57.744</v>
      </c>
      <c r="L1195" s="17">
        <f>IFERROR(__xludf.DUMMYFUNCTION("AVERAGE(QUERY(SORT(GOOGLEFINANCE(B1195,""price"",TODAY()-365,TODAY()),1,0),""select Col2 limit 90""))"),55.54322222222225)</f>
        <v>55.54322222</v>
      </c>
      <c r="M1195" s="17">
        <f>IFERROR(__xludf.DUMMYFUNCTION("AVERAGE(QUERY(SORT(GOOGLEFINANCE(B1195,""price"",TODAY()-365,TODAY()),1,0),""select Col2 limit 120""))"),54.475500000000025)</f>
        <v>54.4755</v>
      </c>
      <c r="N1195" s="19">
        <f>IFERROR(__xludf.DUMMYFUNCTION("AVERAGE(QUERY(SORT(GOOGLEFINANCE(B1195,""price"",TODAY()-365,TODAY()),1,0),""select Col2 limit 200""))"),57.375099999999996)</f>
        <v>57.3751</v>
      </c>
      <c r="O1195" s="20" t="str">
        <f t="shared" si="2"/>
        <v>Avoid</v>
      </c>
      <c r="P1195" s="21" t="str">
        <f t="shared" si="3"/>
        <v/>
      </c>
      <c r="Q1195" s="21" t="str">
        <f t="shared" si="4"/>
        <v/>
      </c>
      <c r="R1195" s="22">
        <f>IFERROR(__xludf.DUMMYFUNCTION("GOOGLEFINANCE(B1195, ""pe"")
"),35.96)</f>
        <v>35.96</v>
      </c>
    </row>
    <row r="1196">
      <c r="A1196" s="9" t="s">
        <v>1206</v>
      </c>
      <c r="B1196" s="11" t="str">
        <f t="shared" si="1"/>
        <v>NSE:MUKKA</v>
      </c>
      <c r="C1196" s="12">
        <f>IFERROR(__xludf.DUMMYFUNCTION("GOOGLEFINANCE(B1196,""marketcap"")/10000000"),867.5949938)</f>
        <v>867.5949938</v>
      </c>
      <c r="D1196" s="13">
        <f>IFERROR(__xludf.DUMMYFUNCTION("GOOGLEFINANCE(B1196,""price"")"),28.95)</f>
        <v>28.95</v>
      </c>
      <c r="E1196" s="14">
        <f>IFERROR(__xludf.DUMMYFUNCTION("GOOGLEFINANCE(B1196,""Volume"")"),129832.0)</f>
        <v>129832</v>
      </c>
      <c r="F1196" s="14">
        <f t="array" ref="F1196">F1195</f>
        <v>14</v>
      </c>
      <c r="G1196" s="15" t="str">
        <f>IFERROR(__xludf.DUMMYFUNCTION("IF(E1196&gt;AVERAGE(INDEX(GOOGLEFINANCE(B1196,""volume"",WORKDAY(TODAY(),-$F$1),TODAY()),,2)),""Breakout"","""")"),"")</f>
        <v/>
      </c>
      <c r="H1196" s="16">
        <f>IFERROR(__xludf.DUMMYFUNCTION("GOOGLEFINANCE(B1196,""price"")"),28.95)</f>
        <v>28.95</v>
      </c>
      <c r="I1196" s="17" t="str">
        <f>IFERROR(__xludf.DUMMYFUNCTION("AVERAGE(QUERY(SORT(GOOGLEFINANCE(B1196,""price"",TODAY()-365,TODAY()),1,0),""select Col2 limit 10""))"),"#N/A")</f>
        <v>#N/A</v>
      </c>
      <c r="J1196" s="17" t="str">
        <f>IFERROR(__xludf.DUMMYFUNCTION("AVERAGE(QUERY(SORT(GOOGLEFINANCE(B1196,""price"",TODAY()-365,TODAY()),1,0),""select Col2 limit 30""))"),"#N/A")</f>
        <v>#N/A</v>
      </c>
      <c r="K1196" s="18" t="str">
        <f>IFERROR(__xludf.DUMMYFUNCTION("AVERAGE(QUERY(SORT(GOOGLEFINANCE(B1196,""price"",TODAY()-365,TODAY()),1,0),""select Col2 limit 60""))"),"#N/A")</f>
        <v>#N/A</v>
      </c>
      <c r="L1196" s="17" t="str">
        <f>IFERROR(__xludf.DUMMYFUNCTION("AVERAGE(QUERY(SORT(GOOGLEFINANCE(B1196,""price"",TODAY()-365,TODAY()),1,0),""select Col2 limit 90""))"),"#N/A")</f>
        <v>#N/A</v>
      </c>
      <c r="M1196" s="17" t="str">
        <f>IFERROR(__xludf.DUMMYFUNCTION("AVERAGE(QUERY(SORT(GOOGLEFINANCE(B1196,""price"",TODAY()-365,TODAY()),1,0),""select Col2 limit 120""))"),"#N/A")</f>
        <v>#N/A</v>
      </c>
      <c r="N1196" s="19" t="str">
        <f>IFERROR(__xludf.DUMMYFUNCTION("AVERAGE(QUERY(SORT(GOOGLEFINANCE(B1196,""price"",TODAY()-365,TODAY()),1,0),""select Col2 limit 200""))"),"#N/A")</f>
        <v>#N/A</v>
      </c>
      <c r="O1196" s="20" t="str">
        <f t="shared" si="2"/>
        <v>#N/A</v>
      </c>
      <c r="P1196" s="21" t="str">
        <f t="shared" si="3"/>
        <v>#N/A</v>
      </c>
      <c r="Q1196" s="21" t="str">
        <f t="shared" si="4"/>
        <v>#N/A</v>
      </c>
      <c r="R1196" s="22">
        <f>IFERROR(__xludf.DUMMYFUNCTION("GOOGLEFINANCE(B1196, ""pe"")
"),18.64)</f>
        <v>18.64</v>
      </c>
    </row>
    <row r="1197">
      <c r="A1197" s="9" t="s">
        <v>1207</v>
      </c>
      <c r="B1197" s="11" t="str">
        <f t="shared" si="1"/>
        <v>NSE:ASAL</v>
      </c>
      <c r="C1197" s="12">
        <f>IFERROR(__xludf.DUMMYFUNCTION("GOOGLEFINANCE(B1197,""marketcap"")/10000000"),808.083819)</f>
        <v>808.083819</v>
      </c>
      <c r="D1197" s="13">
        <f>IFERROR(__xludf.DUMMYFUNCTION("GOOGLEFINANCE(B1197,""price"")"),521.95)</f>
        <v>521.95</v>
      </c>
      <c r="E1197" s="14">
        <f>IFERROR(__xludf.DUMMYFUNCTION("GOOGLEFINANCE(B1197,""Volume"")"),48806.0)</f>
        <v>48806</v>
      </c>
      <c r="F1197" s="14">
        <f t="array" ref="F1197">F1196</f>
        <v>14</v>
      </c>
      <c r="G1197" s="15" t="str">
        <f>IFERROR(__xludf.DUMMYFUNCTION("IF(E1197&gt;AVERAGE(INDEX(GOOGLEFINANCE(B1197,""volume"",WORKDAY(TODAY(),-$F$1),TODAY()),,2)),""Breakout"","""")"),"")</f>
        <v/>
      </c>
      <c r="H1197" s="16">
        <f>IFERROR(__xludf.DUMMYFUNCTION("GOOGLEFINANCE(B1197,""price"")"),521.95)</f>
        <v>521.95</v>
      </c>
      <c r="I1197" s="17">
        <f>IFERROR(__xludf.DUMMYFUNCTION("AVERAGE(QUERY(SORT(GOOGLEFINANCE(B1197,""price"",TODAY()-365,TODAY()),1,0),""select Col2 limit 10""))"),583.905)</f>
        <v>583.905</v>
      </c>
      <c r="J1197" s="17">
        <f>IFERROR(__xludf.DUMMYFUNCTION("AVERAGE(QUERY(SORT(GOOGLEFINANCE(B1197,""price"",TODAY()-365,TODAY()),1,0),""select Col2 limit 30""))"),581.9233333333334)</f>
        <v>581.9233333</v>
      </c>
      <c r="K1197" s="18">
        <f>IFERROR(__xludf.DUMMYFUNCTION("AVERAGE(QUERY(SORT(GOOGLEFINANCE(B1197,""price"",TODAY()-365,TODAY()),1,0),""select Col2 limit 60""))"),541.1766666666667)</f>
        <v>541.1766667</v>
      </c>
      <c r="L1197" s="17">
        <f>IFERROR(__xludf.DUMMYFUNCTION("AVERAGE(QUERY(SORT(GOOGLEFINANCE(B1197,""price"",TODAY()-365,TODAY()),1,0),""select Col2 limit 90""))"),523.1927777777778)</f>
        <v>523.1927778</v>
      </c>
      <c r="M1197" s="17">
        <f>IFERROR(__xludf.DUMMYFUNCTION("AVERAGE(QUERY(SORT(GOOGLEFINANCE(B1197,""price"",TODAY()-365,TODAY()),1,0),""select Col2 limit 120""))"),516.6104166666665)</f>
        <v>516.6104167</v>
      </c>
      <c r="N1197" s="19">
        <f>IFERROR(__xludf.DUMMYFUNCTION("AVERAGE(QUERY(SORT(GOOGLEFINANCE(B1197,""price"",TODAY()-365,TODAY()),1,0),""select Col2 limit 200""))"),580.6252499999998)</f>
        <v>580.62525</v>
      </c>
      <c r="O1197" s="20" t="str">
        <f t="shared" si="2"/>
        <v>Avoid</v>
      </c>
      <c r="P1197" s="21" t="str">
        <f t="shared" si="3"/>
        <v>90 DMA</v>
      </c>
      <c r="Q1197" s="21" t="str">
        <f t="shared" si="4"/>
        <v/>
      </c>
      <c r="R1197" s="22">
        <f>IFERROR(__xludf.DUMMYFUNCTION("GOOGLEFINANCE(B1197, ""pe"")
"),52.82)</f>
        <v>52.82</v>
      </c>
    </row>
    <row r="1198">
      <c r="A1198" s="9" t="s">
        <v>1208</v>
      </c>
      <c r="B1198" s="11" t="str">
        <f t="shared" si="1"/>
        <v>NSE:KELLTONTEC</v>
      </c>
      <c r="C1198" s="12">
        <f>IFERROR(__xludf.DUMMYFUNCTION("GOOGLEFINANCE(B1198,""marketcap"")/10000000"),1424.8617034)</f>
        <v>1424.861703</v>
      </c>
      <c r="D1198" s="13">
        <f>IFERROR(__xludf.DUMMYFUNCTION("GOOGLEFINANCE(B1198,""price"")"),28.93)</f>
        <v>28.93</v>
      </c>
      <c r="E1198" s="14">
        <f>IFERROR(__xludf.DUMMYFUNCTION("GOOGLEFINANCE(B1198,""Volume"")"),8038027.0)</f>
        <v>8038027</v>
      </c>
      <c r="F1198" s="14">
        <f t="array" ref="F1198">F1197</f>
        <v>14</v>
      </c>
      <c r="G1198" s="15" t="str">
        <f>IFERROR(__xludf.DUMMYFUNCTION("IF(E1198&gt;AVERAGE(INDEX(GOOGLEFINANCE(B1198,""volume"",WORKDAY(TODAY(),-$F$1),TODAY()),,2)),""Breakout"","""")"),"Breakout")</f>
        <v>Breakout</v>
      </c>
      <c r="H1198" s="16">
        <f>IFERROR(__xludf.DUMMYFUNCTION("GOOGLEFINANCE(B1198,""price"")"),28.93)</f>
        <v>28.93</v>
      </c>
      <c r="I1198" s="17">
        <f>IFERROR(__xludf.DUMMYFUNCTION("AVERAGE(QUERY(SORT(GOOGLEFINANCE(B1198,""price"",TODAY()-365,TODAY()),1,0),""select Col2 limit 10""))"),28.345)</f>
        <v>28.345</v>
      </c>
      <c r="J1198" s="17">
        <f>IFERROR(__xludf.DUMMYFUNCTION("AVERAGE(QUERY(SORT(GOOGLEFINANCE(B1198,""price"",TODAY()-365,TODAY()),1,0),""select Col2 limit 30""))"),26.889666666666667)</f>
        <v>26.88966667</v>
      </c>
      <c r="K1198" s="18">
        <f>IFERROR(__xludf.DUMMYFUNCTION("AVERAGE(QUERY(SORT(GOOGLEFINANCE(B1198,""price"",TODAY()-365,TODAY()),1,0),""select Col2 limit 60""))"),25.2835)</f>
        <v>25.2835</v>
      </c>
      <c r="L1198" s="17">
        <f>IFERROR(__xludf.DUMMYFUNCTION("AVERAGE(QUERY(SORT(GOOGLEFINANCE(B1198,""price"",TODAY()-365,TODAY()),1,0),""select Col2 limit 90""))"),24.17588888888889)</f>
        <v>24.17588889</v>
      </c>
      <c r="M1198" s="17">
        <f>IFERROR(__xludf.DUMMYFUNCTION("AVERAGE(QUERY(SORT(GOOGLEFINANCE(B1198,""price"",TODAY()-365,TODAY()),1,0),""select Col2 limit 120""))"),24.501916666666663)</f>
        <v>24.50191667</v>
      </c>
      <c r="N1198" s="19">
        <f>IFERROR(__xludf.DUMMYFUNCTION("AVERAGE(QUERY(SORT(GOOGLEFINANCE(B1198,""price"",TODAY()-365,TODAY()),1,0),""select Col2 limit 200""))"),26.7073)</f>
        <v>26.7073</v>
      </c>
      <c r="O1198" s="20" t="str">
        <f t="shared" si="2"/>
        <v>Avoid</v>
      </c>
      <c r="P1198" s="21" t="str">
        <f t="shared" si="3"/>
        <v/>
      </c>
      <c r="Q1198" s="21" t="str">
        <f t="shared" si="4"/>
        <v/>
      </c>
      <c r="R1198" s="22">
        <f>IFERROR(__xludf.DUMMYFUNCTION("GOOGLEFINANCE(B1198, ""pe"")
"),17.72)</f>
        <v>17.72</v>
      </c>
    </row>
    <row r="1199">
      <c r="A1199" s="9" t="s">
        <v>1209</v>
      </c>
      <c r="B1199" s="11" t="str">
        <f t="shared" si="1"/>
        <v>NSE:DHAMPURSUG</v>
      </c>
      <c r="C1199" s="12">
        <f>IFERROR(__xludf.DUMMYFUNCTION("GOOGLEFINANCE(B1199,""marketcap"")/10000000"),918.2968396)</f>
        <v>918.2968396</v>
      </c>
      <c r="D1199" s="13">
        <f>IFERROR(__xludf.DUMMYFUNCTION("GOOGLEFINANCE(B1199,""price"")"),141.65)</f>
        <v>141.65</v>
      </c>
      <c r="E1199" s="14">
        <f>IFERROR(__xludf.DUMMYFUNCTION("GOOGLEFINANCE(B1199,""Volume"")"),39095.0)</f>
        <v>39095</v>
      </c>
      <c r="F1199" s="14">
        <f t="array" ref="F1199">F1198</f>
        <v>14</v>
      </c>
      <c r="G1199" s="15" t="str">
        <f>IFERROR(__xludf.DUMMYFUNCTION("IF(E1199&gt;AVERAGE(INDEX(GOOGLEFINANCE(B1199,""volume"",WORKDAY(TODAY(),-$F$1),TODAY()),,2)),""Breakout"","""")"),"")</f>
        <v/>
      </c>
      <c r="H1199" s="16">
        <f>IFERROR(__xludf.DUMMYFUNCTION("GOOGLEFINANCE(B1199,""price"")"),141.65)</f>
        <v>141.65</v>
      </c>
      <c r="I1199" s="17">
        <f>IFERROR(__xludf.DUMMYFUNCTION("AVERAGE(QUERY(SORT(GOOGLEFINANCE(B1199,""price"",TODAY()-365,TODAY()),1,0),""select Col2 limit 10""))"),150.60399999999998)</f>
        <v>150.604</v>
      </c>
      <c r="J1199" s="17">
        <f>IFERROR(__xludf.DUMMYFUNCTION("AVERAGE(QUERY(SORT(GOOGLEFINANCE(B1199,""price"",TODAY()-365,TODAY()),1,0),""select Col2 limit 30""))"),151.93133333333338)</f>
        <v>151.9313333</v>
      </c>
      <c r="K1199" s="18">
        <f>IFERROR(__xludf.DUMMYFUNCTION("AVERAGE(QUERY(SORT(GOOGLEFINANCE(B1199,""price"",TODAY()-365,TODAY()),1,0),""select Col2 limit 60""))"),147.46583333333334)</f>
        <v>147.4658333</v>
      </c>
      <c r="L1199" s="17">
        <f>IFERROR(__xludf.DUMMYFUNCTION("AVERAGE(QUERY(SORT(GOOGLEFINANCE(B1199,""price"",TODAY()-365,TODAY()),1,0),""select Col2 limit 90""))"),140.08422222222225)</f>
        <v>140.0842222</v>
      </c>
      <c r="M1199" s="17">
        <f>IFERROR(__xludf.DUMMYFUNCTION("AVERAGE(QUERY(SORT(GOOGLEFINANCE(B1199,""price"",TODAY()-365,TODAY()),1,0),""select Col2 limit 120""))"),138.55808333333334)</f>
        <v>138.5580833</v>
      </c>
      <c r="N1199" s="19">
        <f>IFERROR(__xludf.DUMMYFUNCTION("AVERAGE(QUERY(SORT(GOOGLEFINANCE(B1199,""price"",TODAY()-365,TODAY()),1,0),""select Col2 limit 200""))"),155.19530000000006)</f>
        <v>155.1953</v>
      </c>
      <c r="O1199" s="20" t="str">
        <f t="shared" si="2"/>
        <v>Avoid</v>
      </c>
      <c r="P1199" s="21" t="str">
        <f t="shared" si="3"/>
        <v/>
      </c>
      <c r="Q1199" s="21" t="str">
        <f t="shared" si="4"/>
        <v/>
      </c>
      <c r="R1199" s="22">
        <f>IFERROR(__xludf.DUMMYFUNCTION("GOOGLEFINANCE(B1199, ""pe"")
"),17.84)</f>
        <v>17.84</v>
      </c>
    </row>
    <row r="1200">
      <c r="A1200" s="9" t="s">
        <v>1210</v>
      </c>
      <c r="B1200" s="11" t="str">
        <f t="shared" si="1"/>
        <v>NSE:XCHANGING</v>
      </c>
      <c r="C1200" s="12">
        <f>IFERROR(__xludf.DUMMYFUNCTION("GOOGLEFINANCE(B1200,""marketcap"")/10000000"),1004.4256977)</f>
        <v>1004.425698</v>
      </c>
      <c r="D1200" s="13">
        <f>IFERROR(__xludf.DUMMYFUNCTION("GOOGLEFINANCE(B1200,""price"")"),90.0)</f>
        <v>90</v>
      </c>
      <c r="E1200" s="14">
        <f>IFERROR(__xludf.DUMMYFUNCTION("GOOGLEFINANCE(B1200,""Volume"")"),52727.0)</f>
        <v>52727</v>
      </c>
      <c r="F1200" s="14">
        <f t="array" ref="F1200">F1199</f>
        <v>14</v>
      </c>
      <c r="G1200" s="15" t="str">
        <f>IFERROR(__xludf.DUMMYFUNCTION("IF(E1200&gt;AVERAGE(INDEX(GOOGLEFINANCE(B1200,""volume"",WORKDAY(TODAY(),-$F$1),TODAY()),,2)),""Breakout"","""")"),"")</f>
        <v/>
      </c>
      <c r="H1200" s="16">
        <f>IFERROR(__xludf.DUMMYFUNCTION("GOOGLEFINANCE(B1200,""price"")"),90.0)</f>
        <v>90</v>
      </c>
      <c r="I1200" s="17">
        <f>IFERROR(__xludf.DUMMYFUNCTION("AVERAGE(QUERY(SORT(GOOGLEFINANCE(B1200,""price"",TODAY()-365,TODAY()),1,0),""select Col2 limit 10""))"),94.264)</f>
        <v>94.264</v>
      </c>
      <c r="J1200" s="17">
        <f>IFERROR(__xludf.DUMMYFUNCTION("AVERAGE(QUERY(SORT(GOOGLEFINANCE(B1200,""price"",TODAY()-365,TODAY()),1,0),""select Col2 limit 30""))"),96.48933333333333)</f>
        <v>96.48933333</v>
      </c>
      <c r="K1200" s="18">
        <f>IFERROR(__xludf.DUMMYFUNCTION("AVERAGE(QUERY(SORT(GOOGLEFINANCE(B1200,""price"",TODAY()-365,TODAY()),1,0),""select Col2 limit 60""))"),96.02283333333331)</f>
        <v>96.02283333</v>
      </c>
      <c r="L1200" s="17">
        <f>IFERROR(__xludf.DUMMYFUNCTION("AVERAGE(QUERY(SORT(GOOGLEFINANCE(B1200,""price"",TODAY()-365,TODAY()),1,0),""select Col2 limit 90""))"),93.58822222222221)</f>
        <v>93.58822222</v>
      </c>
      <c r="M1200" s="17">
        <f>IFERROR(__xludf.DUMMYFUNCTION("AVERAGE(QUERY(SORT(GOOGLEFINANCE(B1200,""price"",TODAY()-365,TODAY()),1,0),""select Col2 limit 120""))"),94.72424999999997)</f>
        <v>94.72425</v>
      </c>
      <c r="N1200" s="19">
        <f>IFERROR(__xludf.DUMMYFUNCTION("AVERAGE(QUERY(SORT(GOOGLEFINANCE(B1200,""price"",TODAY()-365,TODAY()),1,0),""select Col2 limit 200""))"),101.1024)</f>
        <v>101.1024</v>
      </c>
      <c r="O1200" s="20" t="str">
        <f t="shared" si="2"/>
        <v>Avoid</v>
      </c>
      <c r="P1200" s="21" t="str">
        <f t="shared" si="3"/>
        <v/>
      </c>
      <c r="Q1200" s="21" t="str">
        <f t="shared" si="4"/>
        <v/>
      </c>
      <c r="R1200" s="22">
        <f>IFERROR(__xludf.DUMMYFUNCTION("GOOGLEFINANCE(B1200, ""pe"")
"),20.26)</f>
        <v>20.26</v>
      </c>
    </row>
    <row r="1201">
      <c r="A1201" s="9" t="s">
        <v>1211</v>
      </c>
      <c r="B1201" s="11" t="str">
        <f t="shared" si="1"/>
        <v>NSE:KITEX</v>
      </c>
      <c r="C1201" s="12">
        <f>IFERROR(__xludf.DUMMYFUNCTION("GOOGLEFINANCE(B1201,""marketcap"")/10000000"),4939.6176457)</f>
        <v>4939.617646</v>
      </c>
      <c r="D1201" s="13">
        <f>IFERROR(__xludf.DUMMYFUNCTION("GOOGLEFINANCE(B1201,""price"")"),247.6)</f>
        <v>247.6</v>
      </c>
      <c r="E1201" s="14">
        <f>IFERROR(__xludf.DUMMYFUNCTION("GOOGLEFINANCE(B1201,""Volume"")"),363590.0)</f>
        <v>363590</v>
      </c>
      <c r="F1201" s="14">
        <f t="array" ref="F1201">F1200</f>
        <v>14</v>
      </c>
      <c r="G1201" s="15" t="str">
        <f>IFERROR(__xludf.DUMMYFUNCTION("IF(E1201&gt;AVERAGE(INDEX(GOOGLEFINANCE(B1201,""volume"",WORKDAY(TODAY(),-$F$1),TODAY()),,2)),""Breakout"","""")"),"")</f>
        <v/>
      </c>
      <c r="H1201" s="16">
        <f>IFERROR(__xludf.DUMMYFUNCTION("GOOGLEFINANCE(B1201,""price"")"),247.6)</f>
        <v>247.6</v>
      </c>
      <c r="I1201" s="17">
        <f>IFERROR(__xludf.DUMMYFUNCTION("AVERAGE(QUERY(SORT(GOOGLEFINANCE(B1201,""price"",TODAY()-365,TODAY()),1,0),""select Col2 limit 10""))"),271.94500000000005)</f>
        <v>271.945</v>
      </c>
      <c r="J1201" s="17">
        <f>IFERROR(__xludf.DUMMYFUNCTION("AVERAGE(QUERY(SORT(GOOGLEFINANCE(B1201,""price"",TODAY()-365,TODAY()),1,0),""select Col2 limit 30""))"),273.38000000000005)</f>
        <v>273.38</v>
      </c>
      <c r="K1201" s="18">
        <f>IFERROR(__xludf.DUMMYFUNCTION("AVERAGE(QUERY(SORT(GOOGLEFINANCE(B1201,""price"",TODAY()-365,TODAY()),1,0),""select Col2 limit 60""))"),274.2585)</f>
        <v>274.2585</v>
      </c>
      <c r="L1201" s="17">
        <f>IFERROR(__xludf.DUMMYFUNCTION("AVERAGE(QUERY(SORT(GOOGLEFINANCE(B1201,""price"",TODAY()-365,TODAY()),1,0),""select Col2 limit 90""))"),252.52655555555563)</f>
        <v>252.5265556</v>
      </c>
      <c r="M1201" s="17">
        <f>IFERROR(__xludf.DUMMYFUNCTION("AVERAGE(QUERY(SORT(GOOGLEFINANCE(B1201,""price"",TODAY()-365,TODAY()),1,0),""select Col2 limit 120""))"),235.60350000000008)</f>
        <v>235.6035</v>
      </c>
      <c r="N1201" s="19">
        <f>IFERROR(__xludf.DUMMYFUNCTION("AVERAGE(QUERY(SORT(GOOGLEFINANCE(B1201,""price"",TODAY()-365,TODAY()),1,0),""select Col2 limit 200""))"),231.75804999999997)</f>
        <v>231.75805</v>
      </c>
      <c r="O1201" s="20" t="str">
        <f t="shared" si="2"/>
        <v>Avoid</v>
      </c>
      <c r="P1201" s="21" t="str">
        <f t="shared" si="3"/>
        <v/>
      </c>
      <c r="Q1201" s="21" t="str">
        <f t="shared" si="4"/>
        <v/>
      </c>
      <c r="R1201" s="22">
        <f>IFERROR(__xludf.DUMMYFUNCTION("GOOGLEFINANCE(B1201, ""pe"")
"),35.63)</f>
        <v>35.63</v>
      </c>
    </row>
    <row r="1202">
      <c r="A1202" s="9" t="s">
        <v>1212</v>
      </c>
      <c r="B1202" s="11" t="str">
        <f t="shared" si="1"/>
        <v>NSE:HERANBA</v>
      </c>
      <c r="C1202" s="12">
        <f>IFERROR(__xludf.DUMMYFUNCTION("GOOGLEFINANCE(B1202,""marketcap"")/10000000"),1499.1046291)</f>
        <v>1499.104629</v>
      </c>
      <c r="D1202" s="13">
        <f>IFERROR(__xludf.DUMMYFUNCTION("GOOGLEFINANCE(B1202,""price"")"),374.65)</f>
        <v>374.65</v>
      </c>
      <c r="E1202" s="14">
        <f>IFERROR(__xludf.DUMMYFUNCTION("GOOGLEFINANCE(B1202,""Volume"")"),105204.0)</f>
        <v>105204</v>
      </c>
      <c r="F1202" s="14">
        <f t="array" ref="F1202">F1201</f>
        <v>14</v>
      </c>
      <c r="G1202" s="15" t="str">
        <f>IFERROR(__xludf.DUMMYFUNCTION("IF(E1202&gt;AVERAGE(INDEX(GOOGLEFINANCE(B1202,""volume"",WORKDAY(TODAY(),-$F$1),TODAY()),,2)),""Breakout"","""")"),"")</f>
        <v/>
      </c>
      <c r="H1202" s="16">
        <f>IFERROR(__xludf.DUMMYFUNCTION("GOOGLEFINANCE(B1202,""price"")"),374.65)</f>
        <v>374.65</v>
      </c>
      <c r="I1202" s="17">
        <f>IFERROR(__xludf.DUMMYFUNCTION("AVERAGE(QUERY(SORT(GOOGLEFINANCE(B1202,""price"",TODAY()-365,TODAY()),1,0),""select Col2 limit 10""))"),378.97999999999996)</f>
        <v>378.98</v>
      </c>
      <c r="J1202" s="17">
        <f>IFERROR(__xludf.DUMMYFUNCTION("AVERAGE(QUERY(SORT(GOOGLEFINANCE(B1202,""price"",TODAY()-365,TODAY()),1,0),""select Col2 limit 30""))"),346.5783333333332)</f>
        <v>346.5783333</v>
      </c>
      <c r="K1202" s="18">
        <f>IFERROR(__xludf.DUMMYFUNCTION("AVERAGE(QUERY(SORT(GOOGLEFINANCE(B1202,""price"",TODAY()-365,TODAY()),1,0),""select Col2 limit 60""))"),312.2033333333332)</f>
        <v>312.2033333</v>
      </c>
      <c r="L1202" s="17">
        <f>IFERROR(__xludf.DUMMYFUNCTION("AVERAGE(QUERY(SORT(GOOGLEFINANCE(B1202,""price"",TODAY()-365,TODAY()),1,0),""select Col2 limit 90""))"),288.58633333333324)</f>
        <v>288.5863333</v>
      </c>
      <c r="M1202" s="17">
        <f>IFERROR(__xludf.DUMMYFUNCTION("AVERAGE(QUERY(SORT(GOOGLEFINANCE(B1202,""price"",TODAY()-365,TODAY()),1,0),""select Col2 limit 120""))"),285.4430833333333)</f>
        <v>285.4430833</v>
      </c>
      <c r="N1202" s="19">
        <f>IFERROR(__xludf.DUMMYFUNCTION("AVERAGE(QUERY(SORT(GOOGLEFINANCE(B1202,""price"",TODAY()-365,TODAY()),1,0),""select Col2 limit 200""))"),350.3105999999999)</f>
        <v>350.3106</v>
      </c>
      <c r="O1202" s="20" t="str">
        <f t="shared" si="2"/>
        <v>Avoid</v>
      </c>
      <c r="P1202" s="21" t="str">
        <f t="shared" si="3"/>
        <v/>
      </c>
      <c r="Q1202" s="21" t="str">
        <f t="shared" si="4"/>
        <v/>
      </c>
      <c r="R1202" s="22">
        <f>IFERROR(__xludf.DUMMYFUNCTION("GOOGLEFINANCE(B1202, ""pe"")
"),486.56)</f>
        <v>486.56</v>
      </c>
    </row>
    <row r="1203">
      <c r="A1203" s="9" t="s">
        <v>1213</v>
      </c>
      <c r="B1203" s="11" t="str">
        <f t="shared" si="1"/>
        <v>NSE:IMPAL</v>
      </c>
      <c r="C1203" s="12">
        <f>IFERROR(__xludf.DUMMYFUNCTION("GOOGLEFINANCE(B1203,""marketcap"")/10000000"),1333.7364703)</f>
        <v>1333.73647</v>
      </c>
      <c r="D1203" s="13">
        <f>IFERROR(__xludf.DUMMYFUNCTION("GOOGLEFINANCE(B1203,""price"")"),1068.7)</f>
        <v>1068.7</v>
      </c>
      <c r="E1203" s="14">
        <f>IFERROR(__xludf.DUMMYFUNCTION("GOOGLEFINANCE(B1203,""Volume"")"),2462.0)</f>
        <v>2462</v>
      </c>
      <c r="F1203" s="14">
        <f t="array" ref="F1203">F1202</f>
        <v>14</v>
      </c>
      <c r="G1203" s="15" t="str">
        <f>IFERROR(__xludf.DUMMYFUNCTION("IF(E1203&gt;AVERAGE(INDEX(GOOGLEFINANCE(B1203,""volume"",WORKDAY(TODAY(),-$F$1),TODAY()),,2)),""Breakout"","""")"),"")</f>
        <v/>
      </c>
      <c r="H1203" s="16">
        <f>IFERROR(__xludf.DUMMYFUNCTION("GOOGLEFINANCE(B1203,""price"")"),1068.7)</f>
        <v>1068.7</v>
      </c>
      <c r="I1203" s="17">
        <f>IFERROR(__xludf.DUMMYFUNCTION("AVERAGE(QUERY(SORT(GOOGLEFINANCE(B1203,""price"",TODAY()-365,TODAY()),1,0),""select Col2 limit 10""))"),1121.53)</f>
        <v>1121.53</v>
      </c>
      <c r="J1203" s="17">
        <f>IFERROR(__xludf.DUMMYFUNCTION("AVERAGE(QUERY(SORT(GOOGLEFINANCE(B1203,""price"",TODAY()-365,TODAY()),1,0),""select Col2 limit 30""))"),1120.2366666666665)</f>
        <v>1120.236667</v>
      </c>
      <c r="K1203" s="18">
        <f>IFERROR(__xludf.DUMMYFUNCTION("AVERAGE(QUERY(SORT(GOOGLEFINANCE(B1203,""price"",TODAY()-365,TODAY()),1,0),""select Col2 limit 60""))"),1081.7124999999999)</f>
        <v>1081.7125</v>
      </c>
      <c r="L1203" s="17">
        <f>IFERROR(__xludf.DUMMYFUNCTION("AVERAGE(QUERY(SORT(GOOGLEFINANCE(B1203,""price"",TODAY()-365,TODAY()),1,0),""select Col2 limit 90""))"),1049.3849999999998)</f>
        <v>1049.385</v>
      </c>
      <c r="M1203" s="17">
        <f>IFERROR(__xludf.DUMMYFUNCTION("AVERAGE(QUERY(SORT(GOOGLEFINANCE(B1203,""price"",TODAY()-365,TODAY()),1,0),""select Col2 limit 120""))"),1036.7587500000002)</f>
        <v>1036.75875</v>
      </c>
      <c r="N1203" s="19">
        <f>IFERROR(__xludf.DUMMYFUNCTION("AVERAGE(QUERY(SORT(GOOGLEFINANCE(B1203,""price"",TODAY()-365,TODAY()),1,0),""select Col2 limit 200""))"),1105.508750000001)</f>
        <v>1105.50875</v>
      </c>
      <c r="O1203" s="20" t="str">
        <f t="shared" si="2"/>
        <v>Avoid</v>
      </c>
      <c r="P1203" s="21" t="str">
        <f t="shared" si="3"/>
        <v/>
      </c>
      <c r="Q1203" s="21" t="str">
        <f t="shared" si="4"/>
        <v/>
      </c>
      <c r="R1203" s="22">
        <f>IFERROR(__xludf.DUMMYFUNCTION("GOOGLEFINANCE(B1203, ""pe"")
"),15.94)</f>
        <v>15.94</v>
      </c>
    </row>
    <row r="1204">
      <c r="A1204" s="9" t="s">
        <v>1214</v>
      </c>
      <c r="B1204" s="11" t="str">
        <f t="shared" si="1"/>
        <v>NSE:SYNCOMF</v>
      </c>
      <c r="C1204" s="12">
        <f>IFERROR(__xludf.DUMMYFUNCTION("GOOGLEFINANCE(B1204,""marketcap"")/10000000"),1687.3000717)</f>
        <v>1687.300072</v>
      </c>
      <c r="D1204" s="13">
        <f>IFERROR(__xludf.DUMMYFUNCTION("GOOGLEFINANCE(B1204,""price"")"),18.0)</f>
        <v>18</v>
      </c>
      <c r="E1204" s="14">
        <f>IFERROR(__xludf.DUMMYFUNCTION("GOOGLEFINANCE(B1204,""Volume"")"),322499.0)</f>
        <v>322499</v>
      </c>
      <c r="F1204" s="14">
        <f t="array" ref="F1204">F1203</f>
        <v>14</v>
      </c>
      <c r="G1204" s="15" t="str">
        <f>IFERROR(__xludf.DUMMYFUNCTION("IF(E1204&gt;AVERAGE(INDEX(GOOGLEFINANCE(B1204,""volume"",WORKDAY(TODAY(),-$F$1),TODAY()),,2)),""Breakout"","""")"),"")</f>
        <v/>
      </c>
      <c r="H1204" s="16">
        <f>IFERROR(__xludf.DUMMYFUNCTION("GOOGLEFINANCE(B1204,""price"")"),18.0)</f>
        <v>18</v>
      </c>
      <c r="I1204" s="17">
        <f>IFERROR(__xludf.DUMMYFUNCTION("AVERAGE(QUERY(SORT(GOOGLEFINANCE(B1204,""price"",TODAY()-365,TODAY()),1,0),""select Col2 limit 10""))"),18.567)</f>
        <v>18.567</v>
      </c>
      <c r="J1204" s="17">
        <f>IFERROR(__xludf.DUMMYFUNCTION("AVERAGE(QUERY(SORT(GOOGLEFINANCE(B1204,""price"",TODAY()-365,TODAY()),1,0),""select Col2 limit 30""))"),19.041000000000004)</f>
        <v>19.041</v>
      </c>
      <c r="K1204" s="18">
        <f>IFERROR(__xludf.DUMMYFUNCTION("AVERAGE(QUERY(SORT(GOOGLEFINANCE(B1204,""price"",TODAY()-365,TODAY()),1,0),""select Col2 limit 60""))"),19.238500000000002)</f>
        <v>19.2385</v>
      </c>
      <c r="L1204" s="17">
        <f>IFERROR(__xludf.DUMMYFUNCTION("AVERAGE(QUERY(SORT(GOOGLEFINANCE(B1204,""price"",TODAY()-365,TODAY()),1,0),""select Col2 limit 90""))"),18.483000000000004)</f>
        <v>18.483</v>
      </c>
      <c r="M1204" s="17">
        <f>IFERROR(__xludf.DUMMYFUNCTION("AVERAGE(QUERY(SORT(GOOGLEFINANCE(B1204,""price"",TODAY()-365,TODAY()),1,0),""select Col2 limit 120""))"),18.09958333333333)</f>
        <v>18.09958333</v>
      </c>
      <c r="N1204" s="19">
        <f>IFERROR(__xludf.DUMMYFUNCTION("AVERAGE(QUERY(SORT(GOOGLEFINANCE(B1204,""price"",TODAY()-365,TODAY()),1,0),""select Col2 limit 200""))"),18.916349999999998)</f>
        <v>18.91635</v>
      </c>
      <c r="O1204" s="20" t="str">
        <f t="shared" si="2"/>
        <v>Avoid</v>
      </c>
      <c r="P1204" s="21" t="str">
        <f t="shared" si="3"/>
        <v>120 DMA</v>
      </c>
      <c r="Q1204" s="21" t="str">
        <f t="shared" si="4"/>
        <v/>
      </c>
      <c r="R1204" s="22">
        <f>IFERROR(__xludf.DUMMYFUNCTION("GOOGLEFINANCE(B1204, ""pe"")
"),31.58)</f>
        <v>31.58</v>
      </c>
    </row>
    <row r="1205">
      <c r="A1205" s="9" t="s">
        <v>1215</v>
      </c>
      <c r="B1205" s="11" t="str">
        <f t="shared" si="1"/>
        <v>NSE:KSOLVES</v>
      </c>
      <c r="C1205" s="12">
        <f>IFERROR(__xludf.DUMMYFUNCTION("GOOGLEFINANCE(B1205,""marketcap"")/10000000"),784.866869)</f>
        <v>784.866869</v>
      </c>
      <c r="D1205" s="13">
        <f>IFERROR(__xludf.DUMMYFUNCTION("GOOGLEFINANCE(B1205,""price"")"),331.85)</f>
        <v>331.85</v>
      </c>
      <c r="E1205" s="14">
        <f>IFERROR(__xludf.DUMMYFUNCTION("GOOGLEFINANCE(B1205,""Volume"")"),17464.0)</f>
        <v>17464</v>
      </c>
      <c r="F1205" s="14">
        <f t="array" ref="F1205">F1204</f>
        <v>14</v>
      </c>
      <c r="G1205" s="15" t="str">
        <f>IFERROR(__xludf.DUMMYFUNCTION("IF(E1205&gt;AVERAGE(INDEX(GOOGLEFINANCE(B1205,""volume"",WORKDAY(TODAY(),-$F$1),TODAY()),,2)),""Breakout"","""")"),"")</f>
        <v/>
      </c>
      <c r="H1205" s="16">
        <f>IFERROR(__xludf.DUMMYFUNCTION("GOOGLEFINANCE(B1205,""price"")"),331.85)</f>
        <v>331.85</v>
      </c>
      <c r="I1205" s="17">
        <f>IFERROR(__xludf.DUMMYFUNCTION("AVERAGE(QUERY(SORT(GOOGLEFINANCE(B1205,""price"",TODAY()-365,TODAY()),1,0),""select Col2 limit 10""))"),349.435)</f>
        <v>349.435</v>
      </c>
      <c r="J1205" s="17">
        <f>IFERROR(__xludf.DUMMYFUNCTION("AVERAGE(QUERY(SORT(GOOGLEFINANCE(B1205,""price"",TODAY()-365,TODAY()),1,0),""select Col2 limit 30""))"),346.3366666666667)</f>
        <v>346.3366667</v>
      </c>
      <c r="K1205" s="18">
        <f>IFERROR(__xludf.DUMMYFUNCTION("AVERAGE(QUERY(SORT(GOOGLEFINANCE(B1205,""price"",TODAY()-365,TODAY()),1,0),""select Col2 limit 60""))"),341.96166666666676)</f>
        <v>341.9616667</v>
      </c>
      <c r="L1205" s="17">
        <f>IFERROR(__xludf.DUMMYFUNCTION("AVERAGE(QUERY(SORT(GOOGLEFINANCE(B1205,""price"",TODAY()-365,TODAY()),1,0),""select Col2 limit 90""))"),374.00055555555576)</f>
        <v>374.0005556</v>
      </c>
      <c r="M1205" s="17">
        <f>IFERROR(__xludf.DUMMYFUNCTION("AVERAGE(QUERY(SORT(GOOGLEFINANCE(B1205,""price"",TODAY()-365,TODAY()),1,0),""select Col2 limit 120""))"),394.96166666666676)</f>
        <v>394.9616667</v>
      </c>
      <c r="N1205" s="19">
        <f>IFERROR(__xludf.DUMMYFUNCTION("AVERAGE(QUERY(SORT(GOOGLEFINANCE(B1205,""price"",TODAY()-365,TODAY()),1,0),""select Col2 limit 200""))"),433.9579999999998)</f>
        <v>433.958</v>
      </c>
      <c r="O1205" s="20" t="str">
        <f t="shared" si="2"/>
        <v>Avoid</v>
      </c>
      <c r="P1205" s="21" t="str">
        <f t="shared" si="3"/>
        <v/>
      </c>
      <c r="Q1205" s="21" t="str">
        <f t="shared" si="4"/>
        <v/>
      </c>
      <c r="R1205" s="22">
        <f>IFERROR(__xludf.DUMMYFUNCTION("GOOGLEFINANCE(B1205, ""pe"")
"),24.75)</f>
        <v>24.75</v>
      </c>
    </row>
    <row r="1206">
      <c r="A1206" s="9" t="s">
        <v>1216</v>
      </c>
      <c r="B1206" s="11" t="str">
        <f t="shared" si="1"/>
        <v>NSE:WINDLAS</v>
      </c>
      <c r="C1206" s="12">
        <f>IFERROR(__xludf.DUMMYFUNCTION("GOOGLEFINANCE(B1206,""marketcap"")/10000000"),2081.8882367)</f>
        <v>2081.888237</v>
      </c>
      <c r="D1206" s="13">
        <f>IFERROR(__xludf.DUMMYFUNCTION("GOOGLEFINANCE(B1206,""price"")"),993.7)</f>
        <v>993.7</v>
      </c>
      <c r="E1206" s="14">
        <f>IFERROR(__xludf.DUMMYFUNCTION("GOOGLEFINANCE(B1206,""Volume"")"),45504.0)</f>
        <v>45504</v>
      </c>
      <c r="F1206" s="14">
        <f t="array" ref="F1206">F1205</f>
        <v>14</v>
      </c>
      <c r="G1206" s="15" t="str">
        <f>IFERROR(__xludf.DUMMYFUNCTION("IF(E1206&gt;AVERAGE(INDEX(GOOGLEFINANCE(B1206,""volume"",WORKDAY(TODAY(),-$F$1),TODAY()),,2)),""Breakout"","""")"),"")</f>
        <v/>
      </c>
      <c r="H1206" s="16">
        <f>IFERROR(__xludf.DUMMYFUNCTION("GOOGLEFINANCE(B1206,""price"")"),993.7)</f>
        <v>993.7</v>
      </c>
      <c r="I1206" s="17">
        <f>IFERROR(__xludf.DUMMYFUNCTION("AVERAGE(QUERY(SORT(GOOGLEFINANCE(B1206,""price"",TODAY()-365,TODAY()),1,0),""select Col2 limit 10""))"),935.4799999999999)</f>
        <v>935.48</v>
      </c>
      <c r="J1206" s="17">
        <f>IFERROR(__xludf.DUMMYFUNCTION("AVERAGE(QUERY(SORT(GOOGLEFINANCE(B1206,""price"",TODAY()-365,TODAY()),1,0),""select Col2 limit 30""))"),911.7916666666665)</f>
        <v>911.7916667</v>
      </c>
      <c r="K1206" s="18">
        <f>IFERROR(__xludf.DUMMYFUNCTION("AVERAGE(QUERY(SORT(GOOGLEFINANCE(B1206,""price"",TODAY()-365,TODAY()),1,0),""select Col2 limit 60""))"),929.3233333333334)</f>
        <v>929.3233333</v>
      </c>
      <c r="L1206" s="17">
        <f>IFERROR(__xludf.DUMMYFUNCTION("AVERAGE(QUERY(SORT(GOOGLEFINANCE(B1206,""price"",TODAY()-365,TODAY()),1,0),""select Col2 limit 90""))"),949.193888888889)</f>
        <v>949.1938889</v>
      </c>
      <c r="M1206" s="17">
        <f>IFERROR(__xludf.DUMMYFUNCTION("AVERAGE(QUERY(SORT(GOOGLEFINANCE(B1206,""price"",TODAY()-365,TODAY()),1,0),""select Col2 limit 120""))"),930.602916666667)</f>
        <v>930.6029167</v>
      </c>
      <c r="N1206" s="19">
        <f>IFERROR(__xludf.DUMMYFUNCTION("AVERAGE(QUERY(SORT(GOOGLEFINANCE(B1206,""price"",TODAY()-365,TODAY()),1,0),""select Col2 limit 200""))"),963.2365000000002)</f>
        <v>963.2365</v>
      </c>
      <c r="O1206" s="20" t="str">
        <f t="shared" si="2"/>
        <v>Avoid</v>
      </c>
      <c r="P1206" s="21" t="str">
        <f t="shared" si="3"/>
        <v/>
      </c>
      <c r="Q1206" s="21" t="str">
        <f t="shared" si="4"/>
        <v/>
      </c>
      <c r="R1206" s="22">
        <f>IFERROR(__xludf.DUMMYFUNCTION("GOOGLEFINANCE(B1206, ""pe"")
"),34.42)</f>
        <v>34.42</v>
      </c>
    </row>
    <row r="1207">
      <c r="A1207" s="9" t="s">
        <v>1217</v>
      </c>
      <c r="B1207" s="11" t="str">
        <f t="shared" si="1"/>
        <v>NSE:TVTODAY</v>
      </c>
      <c r="C1207" s="12">
        <f>IFERROR(__xludf.DUMMYFUNCTION("GOOGLEFINANCE(B1207,""marketcap"")/10000000"),944.3152308)</f>
        <v>944.3152308</v>
      </c>
      <c r="D1207" s="13">
        <f>IFERROR(__xludf.DUMMYFUNCTION("GOOGLEFINANCE(B1207,""price"")"),158.26)</f>
        <v>158.26</v>
      </c>
      <c r="E1207" s="14">
        <f>IFERROR(__xludf.DUMMYFUNCTION("GOOGLEFINANCE(B1207,""Volume"")"),372406.0)</f>
        <v>372406</v>
      </c>
      <c r="F1207" s="14">
        <f t="array" ref="F1207">F1206</f>
        <v>14</v>
      </c>
      <c r="G1207" s="15" t="str">
        <f>IFERROR(__xludf.DUMMYFUNCTION("IF(E1207&gt;AVERAGE(INDEX(GOOGLEFINANCE(B1207,""volume"",WORKDAY(TODAY(),-$F$1),TODAY()),,2)),""Breakout"","""")"),"Breakout")</f>
        <v>Breakout</v>
      </c>
      <c r="H1207" s="16">
        <f>IFERROR(__xludf.DUMMYFUNCTION("GOOGLEFINANCE(B1207,""price"")"),158.26)</f>
        <v>158.26</v>
      </c>
      <c r="I1207" s="17">
        <f>IFERROR(__xludf.DUMMYFUNCTION("AVERAGE(QUERY(SORT(GOOGLEFINANCE(B1207,""price"",TODAY()-365,TODAY()),1,0),""select Col2 limit 10""))"),171.03)</f>
        <v>171.03</v>
      </c>
      <c r="J1207" s="17">
        <f>IFERROR(__xludf.DUMMYFUNCTION("AVERAGE(QUERY(SORT(GOOGLEFINANCE(B1207,""price"",TODAY()-365,TODAY()),1,0),""select Col2 limit 30""))"),170.641)</f>
        <v>170.641</v>
      </c>
      <c r="K1207" s="18">
        <f>IFERROR(__xludf.DUMMYFUNCTION("AVERAGE(QUERY(SORT(GOOGLEFINANCE(B1207,""price"",TODAY()-365,TODAY()),1,0),""select Col2 limit 60""))"),171.18283333333326)</f>
        <v>171.1828333</v>
      </c>
      <c r="L1207" s="17">
        <f>IFERROR(__xludf.DUMMYFUNCTION("AVERAGE(QUERY(SORT(GOOGLEFINANCE(B1207,""price"",TODAY()-365,TODAY()),1,0),""select Col2 limit 90""))"),168.85255555555545)</f>
        <v>168.8525556</v>
      </c>
      <c r="M1207" s="17">
        <f>IFERROR(__xludf.DUMMYFUNCTION("AVERAGE(QUERY(SORT(GOOGLEFINANCE(B1207,""price"",TODAY()-365,TODAY()),1,0),""select Col2 limit 120""))"),169.06316666666663)</f>
        <v>169.0631667</v>
      </c>
      <c r="N1207" s="19">
        <f>IFERROR(__xludf.DUMMYFUNCTION("AVERAGE(QUERY(SORT(GOOGLEFINANCE(B1207,""price"",TODAY()-365,TODAY()),1,0),""select Col2 limit 200""))"),183.8600499999999)</f>
        <v>183.86005</v>
      </c>
      <c r="O1207" s="20" t="str">
        <f t="shared" si="2"/>
        <v>Avoid</v>
      </c>
      <c r="P1207" s="21" t="str">
        <f t="shared" si="3"/>
        <v/>
      </c>
      <c r="Q1207" s="21" t="str">
        <f t="shared" si="4"/>
        <v/>
      </c>
      <c r="R1207" s="22">
        <f>IFERROR(__xludf.DUMMYFUNCTION("GOOGLEFINANCE(B1207, ""pe"")
"),11.46)</f>
        <v>11.46</v>
      </c>
    </row>
    <row r="1208">
      <c r="A1208" s="9" t="s">
        <v>1218</v>
      </c>
      <c r="B1208" s="11" t="str">
        <f t="shared" si="1"/>
        <v>NSE:EXCELINDUS</v>
      </c>
      <c r="C1208" s="12">
        <f>IFERROR(__xludf.DUMMYFUNCTION("GOOGLEFINANCE(B1208,""marketcap"")/10000000"),1737.7722162)</f>
        <v>1737.772216</v>
      </c>
      <c r="D1208" s="13">
        <f>IFERROR(__xludf.DUMMYFUNCTION("GOOGLEFINANCE(B1208,""price"")"),1382.4)</f>
        <v>1382.4</v>
      </c>
      <c r="E1208" s="14">
        <f>IFERROR(__xludf.DUMMYFUNCTION("GOOGLEFINANCE(B1208,""Volume"")"),8696.0)</f>
        <v>8696</v>
      </c>
      <c r="F1208" s="14">
        <f t="array" ref="F1208">F1207</f>
        <v>14</v>
      </c>
      <c r="G1208" s="15" t="str">
        <f>IFERROR(__xludf.DUMMYFUNCTION("IF(E1208&gt;AVERAGE(INDEX(GOOGLEFINANCE(B1208,""volume"",WORKDAY(TODAY(),-$F$1),TODAY()),,2)),""Breakout"","""")"),"")</f>
        <v/>
      </c>
      <c r="H1208" s="16">
        <f>IFERROR(__xludf.DUMMYFUNCTION("GOOGLEFINANCE(B1208,""price"")"),1382.4)</f>
        <v>1382.4</v>
      </c>
      <c r="I1208" s="17">
        <f>IFERROR(__xludf.DUMMYFUNCTION("AVERAGE(QUERY(SORT(GOOGLEFINANCE(B1208,""price"",TODAY()-365,TODAY()),1,0),""select Col2 limit 10""))"),1367.1)</f>
        <v>1367.1</v>
      </c>
      <c r="J1208" s="17">
        <f>IFERROR(__xludf.DUMMYFUNCTION("AVERAGE(QUERY(SORT(GOOGLEFINANCE(B1208,""price"",TODAY()-365,TODAY()),1,0),""select Col2 limit 30""))"),1303.833333333333)</f>
        <v>1303.833333</v>
      </c>
      <c r="K1208" s="18">
        <f>IFERROR(__xludf.DUMMYFUNCTION("AVERAGE(QUERY(SORT(GOOGLEFINANCE(B1208,""price"",TODAY()-365,TODAY()),1,0),""select Col2 limit 60""))"),1222.8049999999996)</f>
        <v>1222.805</v>
      </c>
      <c r="L1208" s="17">
        <f>IFERROR(__xludf.DUMMYFUNCTION("AVERAGE(QUERY(SORT(GOOGLEFINANCE(B1208,""price"",TODAY()-365,TODAY()),1,0),""select Col2 limit 90""))"),1156.031666666667)</f>
        <v>1156.031667</v>
      </c>
      <c r="M1208" s="17">
        <f>IFERROR(__xludf.DUMMYFUNCTION("AVERAGE(QUERY(SORT(GOOGLEFINANCE(B1208,""price"",TODAY()-365,TODAY()),1,0),""select Col2 limit 120""))"),1122.2345833333336)</f>
        <v>1122.234583</v>
      </c>
      <c r="N1208" s="19">
        <f>IFERROR(__xludf.DUMMYFUNCTION("AVERAGE(QUERY(SORT(GOOGLEFINANCE(B1208,""price"",TODAY()-365,TODAY()),1,0),""select Col2 limit 200""))"),1245.4877500000005)</f>
        <v>1245.48775</v>
      </c>
      <c r="O1208" s="20" t="str">
        <f t="shared" si="2"/>
        <v>Avoid</v>
      </c>
      <c r="P1208" s="21" t="str">
        <f t="shared" si="3"/>
        <v/>
      </c>
      <c r="Q1208" s="21" t="str">
        <f t="shared" si="4"/>
        <v/>
      </c>
      <c r="R1208" s="22">
        <f>IFERROR(__xludf.DUMMYFUNCTION("GOOGLEFINANCE(B1208, ""pe"")
"),20.44)</f>
        <v>20.44</v>
      </c>
    </row>
    <row r="1209">
      <c r="A1209" s="9" t="s">
        <v>1219</v>
      </c>
      <c r="B1209" s="11" t="str">
        <f t="shared" si="1"/>
        <v>NSE:NDTV</v>
      </c>
      <c r="C1209" s="12">
        <f>IFERROR(__xludf.DUMMYFUNCTION("GOOGLEFINANCE(B1209,""marketcap"")/10000000"),921.939018)</f>
        <v>921.939018</v>
      </c>
      <c r="D1209" s="13">
        <f>IFERROR(__xludf.DUMMYFUNCTION("GOOGLEFINANCE(B1209,""price"")"),141.58)</f>
        <v>141.58</v>
      </c>
      <c r="E1209" s="14">
        <f>IFERROR(__xludf.DUMMYFUNCTION("GOOGLEFINANCE(B1209,""Volume"")"),21992.0)</f>
        <v>21992</v>
      </c>
      <c r="F1209" s="14">
        <f t="array" ref="F1209">F1208</f>
        <v>14</v>
      </c>
      <c r="G1209" s="15" t="str">
        <f>IFERROR(__xludf.DUMMYFUNCTION("IF(E1209&gt;AVERAGE(INDEX(GOOGLEFINANCE(B1209,""volume"",WORKDAY(TODAY(),-$F$1),TODAY()),,2)),""Breakout"","""")"),"")</f>
        <v/>
      </c>
      <c r="H1209" s="16">
        <f>IFERROR(__xludf.DUMMYFUNCTION("GOOGLEFINANCE(B1209,""price"")"),141.58)</f>
        <v>141.58</v>
      </c>
      <c r="I1209" s="17">
        <f>IFERROR(__xludf.DUMMYFUNCTION("AVERAGE(QUERY(SORT(GOOGLEFINANCE(B1209,""price"",TODAY()-365,TODAY()),1,0),""select Col2 limit 10""))"),149.09900000000002)</f>
        <v>149.099</v>
      </c>
      <c r="J1209" s="17">
        <f>IFERROR(__xludf.DUMMYFUNCTION("AVERAGE(QUERY(SORT(GOOGLEFINANCE(B1209,""price"",TODAY()-365,TODAY()),1,0),""select Col2 limit 30""))"),152.15299999999996)</f>
        <v>152.153</v>
      </c>
      <c r="K1209" s="18">
        <f>IFERROR(__xludf.DUMMYFUNCTION("AVERAGE(QUERY(SORT(GOOGLEFINANCE(B1209,""price"",TODAY()-365,TODAY()),1,0),""select Col2 limit 60""))"),150.20733333333328)</f>
        <v>150.2073333</v>
      </c>
      <c r="L1209" s="17">
        <f>IFERROR(__xludf.DUMMYFUNCTION("AVERAGE(QUERY(SORT(GOOGLEFINANCE(B1209,""price"",TODAY()-365,TODAY()),1,0),""select Col2 limit 90""))"),139.99033333333335)</f>
        <v>139.9903333</v>
      </c>
      <c r="M1209" s="17">
        <f>IFERROR(__xludf.DUMMYFUNCTION("AVERAGE(QUERY(SORT(GOOGLEFINANCE(B1209,""price"",TODAY()-365,TODAY()),1,0),""select Col2 limit 120""))"),137.13750000000002)</f>
        <v>137.1375</v>
      </c>
      <c r="N1209" s="19">
        <f>IFERROR(__xludf.DUMMYFUNCTION("AVERAGE(QUERY(SORT(GOOGLEFINANCE(B1209,""price"",TODAY()-365,TODAY()),1,0),""select Col2 limit 200""))"),148.7973)</f>
        <v>148.7973</v>
      </c>
      <c r="O1209" s="20" t="str">
        <f t="shared" si="2"/>
        <v>Avoid</v>
      </c>
      <c r="P1209" s="21" t="str">
        <f t="shared" si="3"/>
        <v/>
      </c>
      <c r="Q1209" s="21" t="str">
        <f t="shared" si="4"/>
        <v/>
      </c>
      <c r="R1209" s="22" t="str">
        <f>IFERROR(__xludf.DUMMYFUNCTION("GOOGLEFINANCE(B1209, ""pe"")
"),"#N/A")</f>
        <v>#N/A</v>
      </c>
    </row>
    <row r="1210">
      <c r="A1210" s="9" t="s">
        <v>1220</v>
      </c>
      <c r="B1210" s="11" t="str">
        <f t="shared" si="1"/>
        <v>NSE:GPTHEALTH</v>
      </c>
      <c r="C1210" s="12">
        <f>IFERROR(__xludf.DUMMYFUNCTION("GOOGLEFINANCE(B1210,""marketcap"")/10000000"),1325.9238063)</f>
        <v>1325.923806</v>
      </c>
      <c r="D1210" s="13">
        <f>IFERROR(__xludf.DUMMYFUNCTION("GOOGLEFINANCE(B1210,""price"")"),161.36)</f>
        <v>161.36</v>
      </c>
      <c r="E1210" s="14">
        <f>IFERROR(__xludf.DUMMYFUNCTION("GOOGLEFINANCE(B1210,""Volume"")"),228324.0)</f>
        <v>228324</v>
      </c>
      <c r="F1210" s="14">
        <f t="array" ref="F1210">F1209</f>
        <v>14</v>
      </c>
      <c r="G1210" s="15" t="str">
        <f>IFERROR(__xludf.DUMMYFUNCTION("IF(E1210&gt;AVERAGE(INDEX(GOOGLEFINANCE(B1210,""volume"",WORKDAY(TODAY(),-$F$1),TODAY()),,2)),""Breakout"","""")"),"")</f>
        <v/>
      </c>
      <c r="H1210" s="16">
        <f>IFERROR(__xludf.DUMMYFUNCTION("GOOGLEFINANCE(B1210,""price"")"),161.36)</f>
        <v>161.36</v>
      </c>
      <c r="I1210" s="17">
        <f>IFERROR(__xludf.DUMMYFUNCTION("AVERAGE(QUERY(SORT(GOOGLEFINANCE(B1210,""price"",TODAY()-365,TODAY()),1,0),""select Col2 limit 10""))"),169.075)</f>
        <v>169.075</v>
      </c>
      <c r="J1210" s="17">
        <f>IFERROR(__xludf.DUMMYFUNCTION("AVERAGE(QUERY(SORT(GOOGLEFINANCE(B1210,""price"",TODAY()-365,TODAY()),1,0),""select Col2 limit 30""))"),156.96433333333334)</f>
        <v>156.9643333</v>
      </c>
      <c r="K1210" s="18">
        <f>IFERROR(__xludf.DUMMYFUNCTION("AVERAGE(QUERY(SORT(GOOGLEFINANCE(B1210,""price"",TODAY()-365,TODAY()),1,0),""select Col2 limit 60""))"),155.0006666666667)</f>
        <v>155.0006667</v>
      </c>
      <c r="L1210" s="17">
        <f>IFERROR(__xludf.DUMMYFUNCTION("AVERAGE(QUERY(SORT(GOOGLEFINANCE(B1210,""price"",TODAY()-365,TODAY()),1,0),""select Col2 limit 90""))"),155.28022222222222)</f>
        <v>155.2802222</v>
      </c>
      <c r="M1210" s="17">
        <f>IFERROR(__xludf.DUMMYFUNCTION("AVERAGE(QUERY(SORT(GOOGLEFINANCE(B1210,""price"",TODAY()-365,TODAY()),1,0),""select Col2 limit 120""))"),153.1575)</f>
        <v>153.1575</v>
      </c>
      <c r="N1210" s="19">
        <f>IFERROR(__xludf.DUMMYFUNCTION("AVERAGE(QUERY(SORT(GOOGLEFINANCE(B1210,""price"",TODAY()-365,TODAY()),1,0),""select Col2 limit 200""))"),162.09869999999998)</f>
        <v>162.0987</v>
      </c>
      <c r="O1210" s="20" t="str">
        <f t="shared" si="2"/>
        <v>Avoid</v>
      </c>
      <c r="P1210" s="21" t="str">
        <f t="shared" si="3"/>
        <v>200 DMA</v>
      </c>
      <c r="Q1210" s="21" t="str">
        <f t="shared" si="4"/>
        <v/>
      </c>
      <c r="R1210" s="22">
        <f>IFERROR(__xludf.DUMMYFUNCTION("GOOGLEFINANCE(B1210, ""pe"")
"),26.56)</f>
        <v>26.56</v>
      </c>
    </row>
    <row r="1211">
      <c r="A1211" s="9" t="s">
        <v>1221</v>
      </c>
      <c r="B1211" s="11" t="str">
        <f t="shared" si="1"/>
        <v>NSE:SAURASHCEM</v>
      </c>
      <c r="C1211" s="12">
        <f>IFERROR(__xludf.DUMMYFUNCTION("GOOGLEFINANCE(B1211,""marketcap"")/10000000"),1143.1256025)</f>
        <v>1143.125603</v>
      </c>
      <c r="D1211" s="13">
        <f>IFERROR(__xludf.DUMMYFUNCTION("GOOGLEFINANCE(B1211,""price"")"),102.71)</f>
        <v>102.71</v>
      </c>
      <c r="E1211" s="14">
        <f>IFERROR(__xludf.DUMMYFUNCTION("GOOGLEFINANCE(B1211,""Volume"")"),94153.0)</f>
        <v>94153</v>
      </c>
      <c r="F1211" s="14">
        <f t="array" ref="F1211">F1210</f>
        <v>14</v>
      </c>
      <c r="G1211" s="15" t="str">
        <f>IFERROR(__xludf.DUMMYFUNCTION("IF(E1211&gt;AVERAGE(INDEX(GOOGLEFINANCE(B1211,""volume"",WORKDAY(TODAY(),-$F$1),TODAY()),,2)),""Breakout"","""")"),"")</f>
        <v/>
      </c>
      <c r="H1211" s="16">
        <f>IFERROR(__xludf.DUMMYFUNCTION("GOOGLEFINANCE(B1211,""price"")"),102.71)</f>
        <v>102.71</v>
      </c>
      <c r="I1211" s="17">
        <f>IFERROR(__xludf.DUMMYFUNCTION("AVERAGE(QUERY(SORT(GOOGLEFINANCE(B1211,""price"",TODAY()-365,TODAY()),1,0),""select Col2 limit 10""))"),98.75899999999999)</f>
        <v>98.759</v>
      </c>
      <c r="J1211" s="17">
        <f>IFERROR(__xludf.DUMMYFUNCTION("AVERAGE(QUERY(SORT(GOOGLEFINANCE(B1211,""price"",TODAY()-365,TODAY()),1,0),""select Col2 limit 30""))"),92.38066666666668)</f>
        <v>92.38066667</v>
      </c>
      <c r="K1211" s="18">
        <f>IFERROR(__xludf.DUMMYFUNCTION("AVERAGE(QUERY(SORT(GOOGLEFINANCE(B1211,""price"",TODAY()-365,TODAY()),1,0),""select Col2 limit 60""))"),91.58783333333331)</f>
        <v>91.58783333</v>
      </c>
      <c r="L1211" s="17">
        <f>IFERROR(__xludf.DUMMYFUNCTION("AVERAGE(QUERY(SORT(GOOGLEFINANCE(B1211,""price"",TODAY()-365,TODAY()),1,0),""select Col2 limit 90""))"),88.984)</f>
        <v>88.984</v>
      </c>
      <c r="M1211" s="17">
        <f>IFERROR(__xludf.DUMMYFUNCTION("AVERAGE(QUERY(SORT(GOOGLEFINANCE(B1211,""price"",TODAY()-365,TODAY()),1,0),""select Col2 limit 120""))"),88.35691666666668)</f>
        <v>88.35691667</v>
      </c>
      <c r="N1211" s="19">
        <f>IFERROR(__xludf.DUMMYFUNCTION("AVERAGE(QUERY(SORT(GOOGLEFINANCE(B1211,""price"",TODAY()-365,TODAY()),1,0),""select Col2 limit 200""))"),97.62455)</f>
        <v>97.62455</v>
      </c>
      <c r="O1211" s="20" t="str">
        <f t="shared" si="2"/>
        <v>Avoid</v>
      </c>
      <c r="P1211" s="21" t="str">
        <f t="shared" si="3"/>
        <v/>
      </c>
      <c r="Q1211" s="21" t="str">
        <f t="shared" si="4"/>
        <v/>
      </c>
      <c r="R1211" s="22">
        <f>IFERROR(__xludf.DUMMYFUNCTION("GOOGLEFINANCE(B1211, ""pe"")
"),82.17)</f>
        <v>82.17</v>
      </c>
    </row>
    <row r="1212">
      <c r="A1212" s="9" t="s">
        <v>1222</v>
      </c>
      <c r="B1212" s="11" t="str">
        <f t="shared" si="1"/>
        <v>NSE:KUANTUM</v>
      </c>
      <c r="C1212" s="12">
        <f>IFERROR(__xludf.DUMMYFUNCTION("GOOGLEFINANCE(B1212,""marketcap"")/10000000"),1140.5358788)</f>
        <v>1140.535879</v>
      </c>
      <c r="D1212" s="13">
        <f>IFERROR(__xludf.DUMMYFUNCTION("GOOGLEFINANCE(B1212,""price"")"),130.7)</f>
        <v>130.7</v>
      </c>
      <c r="E1212" s="14">
        <f>IFERROR(__xludf.DUMMYFUNCTION("GOOGLEFINANCE(B1212,""Volume"")"),11770.0)</f>
        <v>11770</v>
      </c>
      <c r="F1212" s="14">
        <f t="array" ref="F1212">F1211</f>
        <v>14</v>
      </c>
      <c r="G1212" s="15" t="str">
        <f>IFERROR(__xludf.DUMMYFUNCTION("IF(E1212&gt;AVERAGE(INDEX(GOOGLEFINANCE(B1212,""volume"",WORKDAY(TODAY(),-$F$1),TODAY()),,2)),""Breakout"","""")"),"#N/A")</f>
        <v>#N/A</v>
      </c>
      <c r="H1212" s="16">
        <f>IFERROR(__xludf.DUMMYFUNCTION("GOOGLEFINANCE(B1212,""price"")"),130.7)</f>
        <v>130.7</v>
      </c>
      <c r="I1212" s="17">
        <f>IFERROR(__xludf.DUMMYFUNCTION("AVERAGE(QUERY(SORT(GOOGLEFINANCE(B1212,""price"",TODAY()-365,TODAY()),1,0),""select Col2 limit 10""))"),129.846)</f>
        <v>129.846</v>
      </c>
      <c r="J1212" s="17">
        <f>IFERROR(__xludf.DUMMYFUNCTION("AVERAGE(QUERY(SORT(GOOGLEFINANCE(B1212,""price"",TODAY()-365,TODAY()),1,0),""select Col2 limit 30""))"),122.55300000000001)</f>
        <v>122.553</v>
      </c>
      <c r="K1212" s="18">
        <f>IFERROR(__xludf.DUMMYFUNCTION("AVERAGE(QUERY(SORT(GOOGLEFINANCE(B1212,""price"",TODAY()-365,TODAY()),1,0),""select Col2 limit 60""))"),116.61699999999995)</f>
        <v>116.617</v>
      </c>
      <c r="L1212" s="17">
        <f>IFERROR(__xludf.DUMMYFUNCTION("AVERAGE(QUERY(SORT(GOOGLEFINANCE(B1212,""price"",TODAY()-365,TODAY()),1,0),""select Col2 limit 90""))"),113.14522222222216)</f>
        <v>113.1452222</v>
      </c>
      <c r="M1212" s="17">
        <f>IFERROR(__xludf.DUMMYFUNCTION("AVERAGE(QUERY(SORT(GOOGLEFINANCE(B1212,""price"",TODAY()-365,TODAY()),1,0),""select Col2 limit 120""))"),112.52558333333326)</f>
        <v>112.5255833</v>
      </c>
      <c r="N1212" s="19">
        <f>IFERROR(__xludf.DUMMYFUNCTION("AVERAGE(QUERY(SORT(GOOGLEFINANCE(B1212,""price"",TODAY()-365,TODAY()),1,0),""select Col2 limit 200""))"),119.29615)</f>
        <v>119.29615</v>
      </c>
      <c r="O1212" s="20" t="str">
        <f t="shared" si="2"/>
        <v>Avoid</v>
      </c>
      <c r="P1212" s="21" t="str">
        <f t="shared" si="3"/>
        <v/>
      </c>
      <c r="Q1212" s="21" t="str">
        <f t="shared" si="4"/>
        <v/>
      </c>
      <c r="R1212" s="22">
        <f>IFERROR(__xludf.DUMMYFUNCTION("GOOGLEFINANCE(B1212, ""pe"")
"),9.9)</f>
        <v>9.9</v>
      </c>
    </row>
    <row r="1213">
      <c r="A1213" s="9" t="s">
        <v>1223</v>
      </c>
      <c r="B1213" s="11" t="str">
        <f t="shared" si="1"/>
        <v>NSE:BESTAGRO</v>
      </c>
      <c r="C1213" s="12">
        <f>IFERROR(__xludf.DUMMYFUNCTION("GOOGLEFINANCE(B1213,""marketcap"")/10000000"),1049.9437627)</f>
        <v>1049.943763</v>
      </c>
      <c r="D1213" s="13">
        <f>IFERROR(__xludf.DUMMYFUNCTION("GOOGLEFINANCE(B1213,""price"")"),445.0)</f>
        <v>445</v>
      </c>
      <c r="E1213" s="14">
        <f>IFERROR(__xludf.DUMMYFUNCTION("GOOGLEFINANCE(B1213,""Volume"")"),74682.0)</f>
        <v>74682</v>
      </c>
      <c r="F1213" s="14">
        <f t="array" ref="F1213">F1212</f>
        <v>14</v>
      </c>
      <c r="G1213" s="15" t="str">
        <f>IFERROR(__xludf.DUMMYFUNCTION("IF(E1213&gt;AVERAGE(INDEX(GOOGLEFINANCE(B1213,""volume"",WORKDAY(TODAY(),-$F$1),TODAY()),,2)),""Breakout"","""")"),"")</f>
        <v/>
      </c>
      <c r="H1213" s="16">
        <f>IFERROR(__xludf.DUMMYFUNCTION("GOOGLEFINANCE(B1213,""price"")"),445.0)</f>
        <v>445</v>
      </c>
      <c r="I1213" s="17">
        <f>IFERROR(__xludf.DUMMYFUNCTION("AVERAGE(QUERY(SORT(GOOGLEFINANCE(B1213,""price"",TODAY()-365,TODAY()),1,0),""select Col2 limit 10""))"),443.34499999999997)</f>
        <v>443.345</v>
      </c>
      <c r="J1213" s="17">
        <f>IFERROR(__xludf.DUMMYFUNCTION("AVERAGE(QUERY(SORT(GOOGLEFINANCE(B1213,""price"",TODAY()-365,TODAY()),1,0),""select Col2 limit 30""))"),382.5433333333333)</f>
        <v>382.5433333</v>
      </c>
      <c r="K1213" s="18">
        <f>IFERROR(__xludf.DUMMYFUNCTION("AVERAGE(QUERY(SORT(GOOGLEFINANCE(B1213,""price"",TODAY()-365,TODAY()),1,0),""select Col2 limit 60""))"),360.6450000000001)</f>
        <v>360.645</v>
      </c>
      <c r="L1213" s="17">
        <f>IFERROR(__xludf.DUMMYFUNCTION("AVERAGE(QUERY(SORT(GOOGLEFINANCE(B1213,""price"",TODAY()-365,TODAY()),1,0),""select Col2 limit 90""))"),339.66833333333335)</f>
        <v>339.6683333</v>
      </c>
      <c r="M1213" s="17">
        <f>IFERROR(__xludf.DUMMYFUNCTION("AVERAGE(QUERY(SORT(GOOGLEFINANCE(B1213,""price"",TODAY()-365,TODAY()),1,0),""select Col2 limit 120""))"),345.4720833333334)</f>
        <v>345.4720833</v>
      </c>
      <c r="N1213" s="19">
        <f>IFERROR(__xludf.DUMMYFUNCTION("AVERAGE(QUERY(SORT(GOOGLEFINANCE(B1213,""price"",TODAY()-365,TODAY()),1,0),""select Col2 limit 200""))"),441.13325000000026)</f>
        <v>441.13325</v>
      </c>
      <c r="O1213" s="20" t="str">
        <f t="shared" si="2"/>
        <v>Avoid</v>
      </c>
      <c r="P1213" s="21" t="str">
        <f t="shared" si="3"/>
        <v/>
      </c>
      <c r="Q1213" s="21" t="str">
        <f t="shared" si="4"/>
        <v/>
      </c>
      <c r="R1213" s="22">
        <f>IFERROR(__xludf.DUMMYFUNCTION("GOOGLEFINANCE(B1213, ""pe"")
"),15.07)</f>
        <v>15.07</v>
      </c>
    </row>
    <row r="1214">
      <c r="A1214" s="9" t="s">
        <v>1224</v>
      </c>
      <c r="B1214" s="11" t="str">
        <f t="shared" si="1"/>
        <v>NSE:ACLGATI</v>
      </c>
      <c r="C1214" s="12">
        <f>IFERROR(__xludf.DUMMYFUNCTION("GOOGLEFINANCE(B1214,""marketcap"")/10000000"),973.0417964)</f>
        <v>973.0417964</v>
      </c>
      <c r="D1214" s="13">
        <f>IFERROR(__xludf.DUMMYFUNCTION("GOOGLEFINANCE(B1214,""price"")"),66.24)</f>
        <v>66.24</v>
      </c>
      <c r="E1214" s="14">
        <f>IFERROR(__xludf.DUMMYFUNCTION("GOOGLEFINANCE(B1214,""Volume"")"),89700.0)</f>
        <v>89700</v>
      </c>
      <c r="F1214" s="14">
        <f t="array" ref="F1214">F1213</f>
        <v>14</v>
      </c>
      <c r="G1214" s="15" t="str">
        <f>IFERROR(__xludf.DUMMYFUNCTION("IF(E1214&gt;AVERAGE(INDEX(GOOGLEFINANCE(B1214,""volume"",WORKDAY(TODAY(),-$F$1),TODAY()),,2)),""Breakout"","""")"),"")</f>
        <v/>
      </c>
      <c r="H1214" s="16">
        <f>IFERROR(__xludf.DUMMYFUNCTION("GOOGLEFINANCE(B1214,""price"")"),66.24)</f>
        <v>66.24</v>
      </c>
      <c r="I1214" s="17">
        <f>IFERROR(__xludf.DUMMYFUNCTION("AVERAGE(QUERY(SORT(GOOGLEFINANCE(B1214,""price"",TODAY()-365,TODAY()),1,0),""select Col2 limit 10""))"),70.045)</f>
        <v>70.045</v>
      </c>
      <c r="J1214" s="17">
        <f>IFERROR(__xludf.DUMMYFUNCTION("AVERAGE(QUERY(SORT(GOOGLEFINANCE(B1214,""price"",TODAY()-365,TODAY()),1,0),""select Col2 limit 30""))"),68.61466666666665)</f>
        <v>68.61466667</v>
      </c>
      <c r="K1214" s="18">
        <f>IFERROR(__xludf.DUMMYFUNCTION("AVERAGE(QUERY(SORT(GOOGLEFINANCE(B1214,""price"",TODAY()-365,TODAY()),1,0),""select Col2 limit 60""))"),67.58533333333334)</f>
        <v>67.58533333</v>
      </c>
      <c r="L1214" s="17">
        <f>IFERROR(__xludf.DUMMYFUNCTION("AVERAGE(QUERY(SORT(GOOGLEFINANCE(B1214,""price"",TODAY()-365,TODAY()),1,0),""select Col2 limit 90""))"),64.63922222222223)</f>
        <v>64.63922222</v>
      </c>
      <c r="M1214" s="17">
        <f>IFERROR(__xludf.DUMMYFUNCTION("AVERAGE(QUERY(SORT(GOOGLEFINANCE(B1214,""price"",TODAY()-365,TODAY()),1,0),""select Col2 limit 120""))"),65.06208333333333)</f>
        <v>65.06208333</v>
      </c>
      <c r="N1214" s="19">
        <f>IFERROR(__xludf.DUMMYFUNCTION("AVERAGE(QUERY(SORT(GOOGLEFINANCE(B1214,""price"",TODAY()-365,TODAY()),1,0),""select Col2 limit 200""))"),76.17160000000001)</f>
        <v>76.1716</v>
      </c>
      <c r="O1214" s="20" t="str">
        <f t="shared" si="2"/>
        <v>Avoid</v>
      </c>
      <c r="P1214" s="21" t="str">
        <f t="shared" si="3"/>
        <v/>
      </c>
      <c r="Q1214" s="21" t="str">
        <f t="shared" si="4"/>
        <v/>
      </c>
      <c r="R1214" s="22" t="str">
        <f>IFERROR(__xludf.DUMMYFUNCTION("GOOGLEFINANCE(B1214, ""pe"")
"),"#N/A")</f>
        <v>#N/A</v>
      </c>
    </row>
    <row r="1215">
      <c r="A1215" s="9" t="s">
        <v>1225</v>
      </c>
      <c r="B1215" s="11" t="str">
        <f t="shared" si="1"/>
        <v>NSE:RKSWAMY</v>
      </c>
      <c r="C1215" s="12">
        <f>IFERROR(__xludf.DUMMYFUNCTION("GOOGLEFINANCE(B1215,""marketcap"")/10000000"),817.6808384)</f>
        <v>817.6808384</v>
      </c>
      <c r="D1215" s="13">
        <f>IFERROR(__xludf.DUMMYFUNCTION("GOOGLEFINANCE(B1215,""price"")"),162.2)</f>
        <v>162.2</v>
      </c>
      <c r="E1215" s="14">
        <f>IFERROR(__xludf.DUMMYFUNCTION("GOOGLEFINANCE(B1215,""Volume"")"),23996.0)</f>
        <v>23996</v>
      </c>
      <c r="F1215" s="14">
        <f t="array" ref="F1215">F1214</f>
        <v>14</v>
      </c>
      <c r="G1215" s="15" t="str">
        <f>IFERROR(__xludf.DUMMYFUNCTION("IF(E1215&gt;AVERAGE(INDEX(GOOGLEFINANCE(B1215,""volume"",WORKDAY(TODAY(),-$F$1),TODAY()),,2)),""Breakout"","""")"),"")</f>
        <v/>
      </c>
      <c r="H1215" s="16">
        <f>IFERROR(__xludf.DUMMYFUNCTION("GOOGLEFINANCE(B1215,""price"")"),162.2)</f>
        <v>162.2</v>
      </c>
      <c r="I1215" s="17" t="str">
        <f>IFERROR(__xludf.DUMMYFUNCTION("AVERAGE(QUERY(SORT(GOOGLEFINANCE(B1215,""price"",TODAY()-365,TODAY()),1,0),""select Col2 limit 10""))"),"#N/A")</f>
        <v>#N/A</v>
      </c>
      <c r="J1215" s="17" t="str">
        <f>IFERROR(__xludf.DUMMYFUNCTION("AVERAGE(QUERY(SORT(GOOGLEFINANCE(B1215,""price"",TODAY()-365,TODAY()),1,0),""select Col2 limit 30""))"),"#N/A")</f>
        <v>#N/A</v>
      </c>
      <c r="K1215" s="18" t="str">
        <f>IFERROR(__xludf.DUMMYFUNCTION("AVERAGE(QUERY(SORT(GOOGLEFINANCE(B1215,""price"",TODAY()-365,TODAY()),1,0),""select Col2 limit 60""))"),"#N/A")</f>
        <v>#N/A</v>
      </c>
      <c r="L1215" s="17" t="str">
        <f>IFERROR(__xludf.DUMMYFUNCTION("AVERAGE(QUERY(SORT(GOOGLEFINANCE(B1215,""price"",TODAY()-365,TODAY()),1,0),""select Col2 limit 90""))"),"#N/A")</f>
        <v>#N/A</v>
      </c>
      <c r="M1215" s="17" t="str">
        <f>IFERROR(__xludf.DUMMYFUNCTION("AVERAGE(QUERY(SORT(GOOGLEFINANCE(B1215,""price"",TODAY()-365,TODAY()),1,0),""select Col2 limit 120""))"),"#N/A")</f>
        <v>#N/A</v>
      </c>
      <c r="N1215" s="19" t="str">
        <f>IFERROR(__xludf.DUMMYFUNCTION("AVERAGE(QUERY(SORT(GOOGLEFINANCE(B1215,""price"",TODAY()-365,TODAY()),1,0),""select Col2 limit 200""))"),"#N/A")</f>
        <v>#N/A</v>
      </c>
      <c r="O1215" s="20" t="str">
        <f t="shared" si="2"/>
        <v>#N/A</v>
      </c>
      <c r="P1215" s="21" t="str">
        <f t="shared" si="3"/>
        <v>#N/A</v>
      </c>
      <c r="Q1215" s="21" t="str">
        <f t="shared" si="4"/>
        <v>#N/A</v>
      </c>
      <c r="R1215" s="22">
        <f>IFERROR(__xludf.DUMMYFUNCTION("GOOGLEFINANCE(B1215, ""pe"")
"),43.84)</f>
        <v>43.84</v>
      </c>
    </row>
    <row r="1216">
      <c r="A1216" s="9" t="s">
        <v>1226</v>
      </c>
      <c r="B1216" s="11" t="str">
        <f t="shared" si="1"/>
        <v>NSE:DYCL</v>
      </c>
      <c r="C1216" s="12">
        <f>IFERROR(__xludf.DUMMYFUNCTION("GOOGLEFINANCE(B1216,""marketcap"")/10000000"),1898.3370947)</f>
        <v>1898.337095</v>
      </c>
      <c r="D1216" s="13">
        <f>IFERROR(__xludf.DUMMYFUNCTION("GOOGLEFINANCE(B1216,""price"")"),395.0)</f>
        <v>395</v>
      </c>
      <c r="E1216" s="14">
        <f>IFERROR(__xludf.DUMMYFUNCTION("GOOGLEFINANCE(B1216,""Volume"")"),212601.0)</f>
        <v>212601</v>
      </c>
      <c r="F1216" s="14">
        <f t="array" ref="F1216">F1215</f>
        <v>14</v>
      </c>
      <c r="G1216" s="15" t="str">
        <f>IFERROR(__xludf.DUMMYFUNCTION("IF(E1216&gt;AVERAGE(INDEX(GOOGLEFINANCE(B1216,""volume"",WORKDAY(TODAY(),-$F$1),TODAY()),,2)),""Breakout"","""")"),"")</f>
        <v/>
      </c>
      <c r="H1216" s="16">
        <f>IFERROR(__xludf.DUMMYFUNCTION("GOOGLEFINANCE(B1216,""price"")"),395.0)</f>
        <v>395</v>
      </c>
      <c r="I1216" s="17">
        <f>IFERROR(__xludf.DUMMYFUNCTION("AVERAGE(QUERY(SORT(GOOGLEFINANCE(B1216,""price"",TODAY()-365,TODAY()),1,0),""select Col2 limit 10""))"),451.95500000000004)</f>
        <v>451.955</v>
      </c>
      <c r="J1216" s="17">
        <f>IFERROR(__xludf.DUMMYFUNCTION("AVERAGE(QUERY(SORT(GOOGLEFINANCE(B1216,""price"",TODAY()-365,TODAY()),1,0),""select Col2 limit 30""))"),462.77533333333326)</f>
        <v>462.7753333</v>
      </c>
      <c r="K1216" s="18">
        <f>IFERROR(__xludf.DUMMYFUNCTION("AVERAGE(QUERY(SORT(GOOGLEFINANCE(B1216,""price"",TODAY()-365,TODAY()),1,0),""select Col2 limit 60""))"),430.12500000000017)</f>
        <v>430.125</v>
      </c>
      <c r="L1216" s="17">
        <f>IFERROR(__xludf.DUMMYFUNCTION("AVERAGE(QUERY(SORT(GOOGLEFINANCE(B1216,""price"",TODAY()-365,TODAY()),1,0),""select Col2 limit 90""))"),379.9856666666669)</f>
        <v>379.9856667</v>
      </c>
      <c r="M1216" s="17">
        <f>IFERROR(__xludf.DUMMYFUNCTION("AVERAGE(QUERY(SORT(GOOGLEFINANCE(B1216,""price"",TODAY()-365,TODAY()),1,0),""select Col2 limit 120""))"),369.71650000000017)</f>
        <v>369.7165</v>
      </c>
      <c r="N1216" s="19">
        <f>IFERROR(__xludf.DUMMYFUNCTION("AVERAGE(QUERY(SORT(GOOGLEFINANCE(B1216,""price"",TODAY()-365,TODAY()),1,0),""select Col2 limit 200""))"),389.8824000000001)</f>
        <v>389.8824</v>
      </c>
      <c r="O1216" s="20" t="str">
        <f t="shared" si="2"/>
        <v>Avoid</v>
      </c>
      <c r="P1216" s="21" t="str">
        <f t="shared" si="3"/>
        <v/>
      </c>
      <c r="Q1216" s="21" t="str">
        <f t="shared" si="4"/>
        <v/>
      </c>
      <c r="R1216" s="22">
        <f>IFERROR(__xludf.DUMMYFUNCTION("GOOGLEFINANCE(B1216, ""pe"")
"),26.82)</f>
        <v>26.82</v>
      </c>
    </row>
    <row r="1217">
      <c r="A1217" s="9" t="s">
        <v>1227</v>
      </c>
      <c r="B1217" s="11" t="str">
        <f t="shared" si="1"/>
        <v>NSE:GVKPIL</v>
      </c>
      <c r="C1217" s="12">
        <f>IFERROR(__xludf.DUMMYFUNCTION("GOOGLEFINANCE(B1217,""marketcap"")/10000000"),614.3127065)</f>
        <v>614.3127065</v>
      </c>
      <c r="D1217" s="13">
        <f>IFERROR(__xludf.DUMMYFUNCTION("GOOGLEFINANCE(B1217,""price"")"),3.9)</f>
        <v>3.9</v>
      </c>
      <c r="E1217" s="14">
        <f>IFERROR(__xludf.DUMMYFUNCTION("GOOGLEFINANCE(B1217,""Volume"")"),159354.0)</f>
        <v>159354</v>
      </c>
      <c r="F1217" s="14">
        <f t="array" ref="F1217">F1216</f>
        <v>14</v>
      </c>
      <c r="G1217" s="15" t="str">
        <f>IFERROR(__xludf.DUMMYFUNCTION("IF(E1217&gt;AVERAGE(INDEX(GOOGLEFINANCE(B1217,""volume"",WORKDAY(TODAY(),-$F$1),TODAY()),,2)),""Breakout"","""")"),"")</f>
        <v/>
      </c>
      <c r="H1217" s="16">
        <f>IFERROR(__xludf.DUMMYFUNCTION("GOOGLEFINANCE(B1217,""price"")"),3.9)</f>
        <v>3.9</v>
      </c>
      <c r="I1217" s="17">
        <f>IFERROR(__xludf.DUMMYFUNCTION("AVERAGE(QUERY(SORT(GOOGLEFINANCE(B1217,""price"",TODAY()-365,TODAY()),1,0),""select Col2 limit 10""))"),4.032000000000001)</f>
        <v>4.032</v>
      </c>
      <c r="J1217" s="17">
        <f>IFERROR(__xludf.DUMMYFUNCTION("AVERAGE(QUERY(SORT(GOOGLEFINANCE(B1217,""price"",TODAY()-365,TODAY()),1,0),""select Col2 limit 30""))"),4.111000000000001)</f>
        <v>4.111</v>
      </c>
      <c r="K1217" s="18">
        <f>IFERROR(__xludf.DUMMYFUNCTION("AVERAGE(QUERY(SORT(GOOGLEFINANCE(B1217,""price"",TODAY()-365,TODAY()),1,0),""select Col2 limit 60""))"),4.010000000000002)</f>
        <v>4.01</v>
      </c>
      <c r="L1217" s="17">
        <f>IFERROR(__xludf.DUMMYFUNCTION("AVERAGE(QUERY(SORT(GOOGLEFINANCE(B1217,""price"",TODAY()-365,TODAY()),1,0),""select Col2 limit 90""))"),3.823111111111111)</f>
        <v>3.823111111</v>
      </c>
      <c r="M1217" s="17">
        <f>IFERROR(__xludf.DUMMYFUNCTION("AVERAGE(QUERY(SORT(GOOGLEFINANCE(B1217,""price"",TODAY()-365,TODAY()),1,0),""select Col2 limit 120""))"),3.9144166666666664)</f>
        <v>3.914416667</v>
      </c>
      <c r="N1217" s="19">
        <f>IFERROR(__xludf.DUMMYFUNCTION("AVERAGE(QUERY(SORT(GOOGLEFINANCE(B1217,""price"",TODAY()-365,TODAY()),1,0),""select Col2 limit 200""))"),4.376250000000001)</f>
        <v>4.37625</v>
      </c>
      <c r="O1217" s="20" t="str">
        <f t="shared" si="2"/>
        <v>Avoid</v>
      </c>
      <c r="P1217" s="21" t="str">
        <f t="shared" si="3"/>
        <v>120 DMA</v>
      </c>
      <c r="Q1217" s="21" t="str">
        <f t="shared" si="4"/>
        <v/>
      </c>
      <c r="R1217" s="22">
        <f>IFERROR(__xludf.DUMMYFUNCTION("GOOGLEFINANCE(B1217, ""pe"")
"),1.08)</f>
        <v>1.08</v>
      </c>
    </row>
    <row r="1218">
      <c r="A1218" s="9" t="s">
        <v>1228</v>
      </c>
      <c r="B1218" s="11" t="str">
        <f t="shared" si="1"/>
        <v>NSE:RML</v>
      </c>
      <c r="C1218" s="12">
        <f>IFERROR(__xludf.DUMMYFUNCTION("GOOGLEFINANCE(B1218,""marketcap"")/10000000"),2323.0389284)</f>
        <v>2323.038928</v>
      </c>
      <c r="D1218" s="13">
        <f>IFERROR(__xludf.DUMMYFUNCTION("GOOGLEFINANCE(B1218,""price"")"),840.55)</f>
        <v>840.55</v>
      </c>
      <c r="E1218" s="14">
        <f>IFERROR(__xludf.DUMMYFUNCTION("GOOGLEFINANCE(B1218,""Volume"")"),9098.0)</f>
        <v>9098</v>
      </c>
      <c r="F1218" s="14">
        <f t="array" ref="F1218">F1217</f>
        <v>14</v>
      </c>
      <c r="G1218" s="15" t="str">
        <f>IFERROR(__xludf.DUMMYFUNCTION("IF(E1218&gt;AVERAGE(INDEX(GOOGLEFINANCE(B1218,""volume"",WORKDAY(TODAY(),-$F$1),TODAY()),,2)),""Breakout"","""")"),"#N/A")</f>
        <v>#N/A</v>
      </c>
      <c r="H1218" s="16">
        <f>IFERROR(__xludf.DUMMYFUNCTION("GOOGLEFINANCE(B1218,""price"")"),840.55)</f>
        <v>840.55</v>
      </c>
      <c r="I1218" s="17">
        <f>IFERROR(__xludf.DUMMYFUNCTION("AVERAGE(QUERY(SORT(GOOGLEFINANCE(B1218,""price"",TODAY()-365,TODAY()),1,0),""select Col2 limit 10""))"),879.2950000000001)</f>
        <v>879.295</v>
      </c>
      <c r="J1218" s="17">
        <f>IFERROR(__xludf.DUMMYFUNCTION("AVERAGE(QUERY(SORT(GOOGLEFINANCE(B1218,""price"",TODAY()-365,TODAY()),1,0),""select Col2 limit 30""))"),900.9983333333333)</f>
        <v>900.9983333</v>
      </c>
      <c r="K1218" s="18">
        <f>IFERROR(__xludf.DUMMYFUNCTION("AVERAGE(QUERY(SORT(GOOGLEFINANCE(B1218,""price"",TODAY()-365,TODAY()),1,0),""select Col2 limit 60""))"),872.23)</f>
        <v>872.23</v>
      </c>
      <c r="L1218" s="17">
        <f>IFERROR(__xludf.DUMMYFUNCTION("AVERAGE(QUERY(SORT(GOOGLEFINANCE(B1218,""price"",TODAY()-365,TODAY()),1,0),""select Col2 limit 90""))"),806.6405555555557)</f>
        <v>806.6405556</v>
      </c>
      <c r="M1218" s="17">
        <f>IFERROR(__xludf.DUMMYFUNCTION("AVERAGE(QUERY(SORT(GOOGLEFINANCE(B1218,""price"",TODAY()-365,TODAY()),1,0),""select Col2 limit 120""))"),768.4725000000001)</f>
        <v>768.4725</v>
      </c>
      <c r="N1218" s="19">
        <f>IFERROR(__xludf.DUMMYFUNCTION("AVERAGE(QUERY(SORT(GOOGLEFINANCE(B1218,""price"",TODAY()-365,TODAY()),1,0),""select Col2 limit 200""))"),822.9932500000002)</f>
        <v>822.99325</v>
      </c>
      <c r="O1218" s="20" t="str">
        <f t="shared" si="2"/>
        <v>Avoid</v>
      </c>
      <c r="P1218" s="21" t="str">
        <f t="shared" si="3"/>
        <v/>
      </c>
      <c r="Q1218" s="21" t="str">
        <f t="shared" si="4"/>
        <v/>
      </c>
      <c r="R1218" s="22">
        <f>IFERROR(__xludf.DUMMYFUNCTION("GOOGLEFINANCE(B1218, ""pe"")
"),61.69)</f>
        <v>61.69</v>
      </c>
    </row>
    <row r="1219">
      <c r="A1219" s="9" t="s">
        <v>1229</v>
      </c>
      <c r="B1219" s="11" t="str">
        <f t="shared" si="1"/>
        <v>NSE:VHL</v>
      </c>
      <c r="C1219" s="12">
        <f>IFERROR(__xludf.DUMMYFUNCTION("GOOGLEFINANCE(B1219,""marketcap"")/10000000"),1290.9767165)</f>
        <v>1290.976717</v>
      </c>
      <c r="D1219" s="13">
        <f>IFERROR(__xludf.DUMMYFUNCTION("GOOGLEFINANCE(B1219,""price"")"),4064.4)</f>
        <v>4064.4</v>
      </c>
      <c r="E1219" s="14">
        <f>IFERROR(__xludf.DUMMYFUNCTION("GOOGLEFINANCE(B1219,""Volume"")"),460.0)</f>
        <v>460</v>
      </c>
      <c r="F1219" s="14">
        <f t="array" ref="F1219">F1218</f>
        <v>14</v>
      </c>
      <c r="G1219" s="15" t="str">
        <f>IFERROR(__xludf.DUMMYFUNCTION("IF(E1219&gt;AVERAGE(INDEX(GOOGLEFINANCE(B1219,""volume"",WORKDAY(TODAY(),-$F$1),TODAY()),,2)),""Breakout"","""")"),"")</f>
        <v/>
      </c>
      <c r="H1219" s="16">
        <f>IFERROR(__xludf.DUMMYFUNCTION("GOOGLEFINANCE(B1219,""price"")"),4064.4)</f>
        <v>4064.4</v>
      </c>
      <c r="I1219" s="17" t="str">
        <f>IFERROR(__xludf.DUMMYFUNCTION("AVERAGE(QUERY(SORT(GOOGLEFINANCE(B1219,""price"",TODAY()-365,TODAY()),1,0),""select Col2 limit 10""))"),"#N/A")</f>
        <v>#N/A</v>
      </c>
      <c r="J1219" s="17" t="str">
        <f>IFERROR(__xludf.DUMMYFUNCTION("AVERAGE(QUERY(SORT(GOOGLEFINANCE(B1219,""price"",TODAY()-365,TODAY()),1,0),""select Col2 limit 30""))"),"#N/A")</f>
        <v>#N/A</v>
      </c>
      <c r="K1219" s="18" t="str">
        <f>IFERROR(__xludf.DUMMYFUNCTION("AVERAGE(QUERY(SORT(GOOGLEFINANCE(B1219,""price"",TODAY()-365,TODAY()),1,0),""select Col2 limit 60""))"),"#N/A")</f>
        <v>#N/A</v>
      </c>
      <c r="L1219" s="17" t="str">
        <f>IFERROR(__xludf.DUMMYFUNCTION("AVERAGE(QUERY(SORT(GOOGLEFINANCE(B1219,""price"",TODAY()-365,TODAY()),1,0),""select Col2 limit 90""))"),"#N/A")</f>
        <v>#N/A</v>
      </c>
      <c r="M1219" s="17" t="str">
        <f>IFERROR(__xludf.DUMMYFUNCTION("AVERAGE(QUERY(SORT(GOOGLEFINANCE(B1219,""price"",TODAY()-365,TODAY()),1,0),""select Col2 limit 120""))"),"#N/A")</f>
        <v>#N/A</v>
      </c>
      <c r="N1219" s="19" t="str">
        <f>IFERROR(__xludf.DUMMYFUNCTION("AVERAGE(QUERY(SORT(GOOGLEFINANCE(B1219,""price"",TODAY()-365,TODAY()),1,0),""select Col2 limit 200""))"),"#N/A")</f>
        <v>#N/A</v>
      </c>
      <c r="O1219" s="20" t="str">
        <f t="shared" si="2"/>
        <v>#N/A</v>
      </c>
      <c r="P1219" s="21" t="str">
        <f t="shared" si="3"/>
        <v>#N/A</v>
      </c>
      <c r="Q1219" s="21" t="str">
        <f t="shared" si="4"/>
        <v>#N/A</v>
      </c>
      <c r="R1219" s="22">
        <f>IFERROR(__xludf.DUMMYFUNCTION("GOOGLEFINANCE(B1219, ""pe"")
"),5.0)</f>
        <v>5</v>
      </c>
    </row>
    <row r="1220">
      <c r="A1220" s="9" t="s">
        <v>1230</v>
      </c>
      <c r="B1220" s="11" t="str">
        <f t="shared" si="1"/>
        <v>NSE:PLATIND</v>
      </c>
      <c r="C1220" s="12">
        <f>IFERROR(__xludf.DUMMYFUNCTION("GOOGLEFINANCE(B1220,""marketcap"")/10000000"),1596.9400137)</f>
        <v>1596.940014</v>
      </c>
      <c r="D1220" s="13">
        <f>IFERROR(__xludf.DUMMYFUNCTION("GOOGLEFINANCE(B1220,""price"")"),293.25)</f>
        <v>293.25</v>
      </c>
      <c r="E1220" s="14">
        <f>IFERROR(__xludf.DUMMYFUNCTION("GOOGLEFINANCE(B1220,""Volume"")"),90467.0)</f>
        <v>90467</v>
      </c>
      <c r="F1220" s="14">
        <f t="array" ref="F1220">F1219</f>
        <v>14</v>
      </c>
      <c r="G1220" s="15" t="str">
        <f>IFERROR(__xludf.DUMMYFUNCTION("IF(E1220&gt;AVERAGE(INDEX(GOOGLEFINANCE(B1220,""volume"",WORKDAY(TODAY(),-$F$1),TODAY()),,2)),""Breakout"","""")"),"")</f>
        <v/>
      </c>
      <c r="H1220" s="16">
        <f>IFERROR(__xludf.DUMMYFUNCTION("GOOGLEFINANCE(B1220,""price"")"),293.25)</f>
        <v>293.25</v>
      </c>
      <c r="I1220" s="17">
        <f>IFERROR(__xludf.DUMMYFUNCTION("AVERAGE(QUERY(SORT(GOOGLEFINANCE(B1220,""price"",TODAY()-365,TODAY()),1,0),""select Col2 limit 10""))"),299.97999999999996)</f>
        <v>299.98</v>
      </c>
      <c r="J1220" s="17">
        <f>IFERROR(__xludf.DUMMYFUNCTION("AVERAGE(QUERY(SORT(GOOGLEFINANCE(B1220,""price"",TODAY()-365,TODAY()),1,0),""select Col2 limit 30""))"),281.41166666666663)</f>
        <v>281.4116667</v>
      </c>
      <c r="K1220" s="18">
        <f>IFERROR(__xludf.DUMMYFUNCTION("AVERAGE(QUERY(SORT(GOOGLEFINANCE(B1220,""price"",TODAY()-365,TODAY()),1,0),""select Col2 limit 60""))"),273.29249999999996)</f>
        <v>273.2925</v>
      </c>
      <c r="L1220" s="17">
        <f>IFERROR(__xludf.DUMMYFUNCTION("AVERAGE(QUERY(SORT(GOOGLEFINANCE(B1220,""price"",TODAY()-365,TODAY()),1,0),""select Col2 limit 90""))"),271.8144444444444)</f>
        <v>271.8144444</v>
      </c>
      <c r="M1220" s="17">
        <f>IFERROR(__xludf.DUMMYFUNCTION("AVERAGE(QUERY(SORT(GOOGLEFINANCE(B1220,""price"",TODAY()-365,TODAY()),1,0),""select Col2 limit 120""))"),271.91249999999997)</f>
        <v>271.9125</v>
      </c>
      <c r="N1220" s="19">
        <f>IFERROR(__xludf.DUMMYFUNCTION("AVERAGE(QUERY(SORT(GOOGLEFINANCE(B1220,""price"",TODAY()-365,TODAY()),1,0),""select Col2 limit 200""))"),330.66850000000005)</f>
        <v>330.6685</v>
      </c>
      <c r="O1220" s="20" t="str">
        <f t="shared" si="2"/>
        <v>Avoid</v>
      </c>
      <c r="P1220" s="21" t="str">
        <f t="shared" si="3"/>
        <v/>
      </c>
      <c r="Q1220" s="21" t="str">
        <f t="shared" si="4"/>
        <v/>
      </c>
      <c r="R1220" s="22">
        <f>IFERROR(__xludf.DUMMYFUNCTION("GOOGLEFINANCE(B1220, ""pe"")
"),32.28)</f>
        <v>32.28</v>
      </c>
    </row>
    <row r="1221">
      <c r="A1221" s="9" t="s">
        <v>1231</v>
      </c>
      <c r="B1221" s="11" t="str">
        <f t="shared" si="1"/>
        <v>NSE:DWARKESH</v>
      </c>
      <c r="C1221" s="12">
        <f>IFERROR(__xludf.DUMMYFUNCTION("GOOGLEFINANCE(B1221,""marketcap"")/10000000"),822.182292)</f>
        <v>822.182292</v>
      </c>
      <c r="D1221" s="13">
        <f>IFERROR(__xludf.DUMMYFUNCTION("GOOGLEFINANCE(B1221,""price"")"),44.43)</f>
        <v>44.43</v>
      </c>
      <c r="E1221" s="14">
        <f>IFERROR(__xludf.DUMMYFUNCTION("GOOGLEFINANCE(B1221,""Volume"")"),160360.0)</f>
        <v>160360</v>
      </c>
      <c r="F1221" s="14">
        <f t="array" ref="F1221">F1220</f>
        <v>14</v>
      </c>
      <c r="G1221" s="15" t="str">
        <f>IFERROR(__xludf.DUMMYFUNCTION("IF(E1221&gt;AVERAGE(INDEX(GOOGLEFINANCE(B1221,""volume"",WORKDAY(TODAY(),-$F$1),TODAY()),,2)),""Breakout"","""")"),"")</f>
        <v/>
      </c>
      <c r="H1221" s="16">
        <f>IFERROR(__xludf.DUMMYFUNCTION("GOOGLEFINANCE(B1221,""price"")"),44.43)</f>
        <v>44.43</v>
      </c>
      <c r="I1221" s="17">
        <f>IFERROR(__xludf.DUMMYFUNCTION("AVERAGE(QUERY(SORT(GOOGLEFINANCE(B1221,""price"",TODAY()-365,TODAY()),1,0),""select Col2 limit 10""))"),47.283)</f>
        <v>47.283</v>
      </c>
      <c r="J1221" s="17">
        <f>IFERROR(__xludf.DUMMYFUNCTION("AVERAGE(QUERY(SORT(GOOGLEFINANCE(B1221,""price"",TODAY()-365,TODAY()),1,0),""select Col2 limit 30""))"),47.95799999999999)</f>
        <v>47.958</v>
      </c>
      <c r="K1221" s="18">
        <f>IFERROR(__xludf.DUMMYFUNCTION("AVERAGE(QUERY(SORT(GOOGLEFINANCE(B1221,""price"",TODAY()-365,TODAY()),1,0),""select Col2 limit 60""))"),47.09883333333334)</f>
        <v>47.09883333</v>
      </c>
      <c r="L1221" s="17">
        <f>IFERROR(__xludf.DUMMYFUNCTION("AVERAGE(QUERY(SORT(GOOGLEFINANCE(B1221,""price"",TODAY()-365,TODAY()),1,0),""select Col2 limit 90""))"),44.62722222222221)</f>
        <v>44.62722222</v>
      </c>
      <c r="M1221" s="17">
        <f>IFERROR(__xludf.DUMMYFUNCTION("AVERAGE(QUERY(SORT(GOOGLEFINANCE(B1221,""price"",TODAY()-365,TODAY()),1,0),""select Col2 limit 120""))"),44.14833333333332)</f>
        <v>44.14833333</v>
      </c>
      <c r="N1221" s="19">
        <f>IFERROR(__xludf.DUMMYFUNCTION("AVERAGE(QUERY(SORT(GOOGLEFINANCE(B1221,""price"",TODAY()-365,TODAY()),1,0),""select Col2 limit 200""))"),50.791249999999984)</f>
        <v>50.79125</v>
      </c>
      <c r="O1221" s="20" t="str">
        <f t="shared" si="2"/>
        <v>Avoid</v>
      </c>
      <c r="P1221" s="21" t="str">
        <f t="shared" si="3"/>
        <v>90 DMA</v>
      </c>
      <c r="Q1221" s="21" t="str">
        <f t="shared" si="4"/>
        <v/>
      </c>
      <c r="R1221" s="22">
        <f>IFERROR(__xludf.DUMMYFUNCTION("GOOGLEFINANCE(B1221, ""pe"")
"),35.26)</f>
        <v>35.26</v>
      </c>
    </row>
    <row r="1222">
      <c r="A1222" s="9" t="s">
        <v>1232</v>
      </c>
      <c r="B1222" s="11" t="str">
        <f t="shared" si="1"/>
        <v>NSE:MAXIND</v>
      </c>
      <c r="C1222" s="12">
        <f>IFERROR(__xludf.DUMMYFUNCTION("GOOGLEFINANCE(B1222,""marketcap"")/10000000"),1139.2141526)</f>
        <v>1139.214153</v>
      </c>
      <c r="D1222" s="13">
        <f>IFERROR(__xludf.DUMMYFUNCTION("GOOGLEFINANCE(B1222,""price"")"),218.33)</f>
        <v>218.33</v>
      </c>
      <c r="E1222" s="14">
        <f>IFERROR(__xludf.DUMMYFUNCTION("GOOGLEFINANCE(B1222,""Volume"")"),53177.0)</f>
        <v>53177</v>
      </c>
      <c r="F1222" s="14">
        <f t="array" ref="F1222">F1221</f>
        <v>14</v>
      </c>
      <c r="G1222" s="15" t="str">
        <f>IFERROR(__xludf.DUMMYFUNCTION("IF(E1222&gt;AVERAGE(INDEX(GOOGLEFINANCE(B1222,""volume"",WORKDAY(TODAY(),-$F$1),TODAY()),,2)),""Breakout"","""")"),"")</f>
        <v/>
      </c>
      <c r="H1222" s="16">
        <f>IFERROR(__xludf.DUMMYFUNCTION("GOOGLEFINANCE(B1222,""price"")"),218.33)</f>
        <v>218.33</v>
      </c>
      <c r="I1222" s="17">
        <f>IFERROR(__xludf.DUMMYFUNCTION("AVERAGE(QUERY(SORT(GOOGLEFINANCE(B1222,""price"",TODAY()-365,TODAY()),1,0),""select Col2 limit 10""))"),207.004)</f>
        <v>207.004</v>
      </c>
      <c r="J1222" s="17">
        <f>IFERROR(__xludf.DUMMYFUNCTION("AVERAGE(QUERY(SORT(GOOGLEFINANCE(B1222,""price"",TODAY()-365,TODAY()),1,0),""select Col2 limit 30""))"),194.1363333333333)</f>
        <v>194.1363333</v>
      </c>
      <c r="K1222" s="18">
        <f>IFERROR(__xludf.DUMMYFUNCTION("AVERAGE(QUERY(SORT(GOOGLEFINANCE(B1222,""price"",TODAY()-365,TODAY()),1,0),""select Col2 limit 60""))"),189.46750000000003)</f>
        <v>189.4675</v>
      </c>
      <c r="L1222" s="17">
        <f>IFERROR(__xludf.DUMMYFUNCTION("AVERAGE(QUERY(SORT(GOOGLEFINANCE(B1222,""price"",TODAY()-365,TODAY()),1,0),""select Col2 limit 90""))"),188.26544444444448)</f>
        <v>188.2654444</v>
      </c>
      <c r="M1222" s="17">
        <f>IFERROR(__xludf.DUMMYFUNCTION("AVERAGE(QUERY(SORT(GOOGLEFINANCE(B1222,""price"",TODAY()-365,TODAY()),1,0),""select Col2 limit 120""))"),192.8691666666667)</f>
        <v>192.8691667</v>
      </c>
      <c r="N1222" s="19">
        <f>IFERROR(__xludf.DUMMYFUNCTION("AVERAGE(QUERY(SORT(GOOGLEFINANCE(B1222,""price"",TODAY()-365,TODAY()),1,0),""select Col2 limit 200""))"),215.87830000000005)</f>
        <v>215.8783</v>
      </c>
      <c r="O1222" s="20" t="str">
        <f t="shared" si="2"/>
        <v>Avoid</v>
      </c>
      <c r="P1222" s="21" t="str">
        <f t="shared" si="3"/>
        <v/>
      </c>
      <c r="Q1222" s="21" t="str">
        <f t="shared" si="4"/>
        <v/>
      </c>
      <c r="R1222" s="22" t="str">
        <f>IFERROR(__xludf.DUMMYFUNCTION("GOOGLEFINANCE(B1222, ""pe"")
"),"#N/A")</f>
        <v>#N/A</v>
      </c>
    </row>
    <row r="1223">
      <c r="A1223" s="9" t="s">
        <v>1233</v>
      </c>
      <c r="B1223" s="11" t="str">
        <f t="shared" si="1"/>
        <v>NSE:GICHSGFIN</v>
      </c>
      <c r="C1223" s="12">
        <f>IFERROR(__xludf.DUMMYFUNCTION("GOOGLEFINANCE(B1223,""marketcap"")/10000000"),1009.707375)</f>
        <v>1009.707375</v>
      </c>
      <c r="D1223" s="13">
        <f>IFERROR(__xludf.DUMMYFUNCTION("GOOGLEFINANCE(B1223,""price"")"),188.0)</f>
        <v>188</v>
      </c>
      <c r="E1223" s="14">
        <f>IFERROR(__xludf.DUMMYFUNCTION("GOOGLEFINANCE(B1223,""Volume"")"),57486.0)</f>
        <v>57486</v>
      </c>
      <c r="F1223" s="14">
        <f t="array" ref="F1223">F1222</f>
        <v>14</v>
      </c>
      <c r="G1223" s="15" t="str">
        <f>IFERROR(__xludf.DUMMYFUNCTION("IF(E1223&gt;AVERAGE(INDEX(GOOGLEFINANCE(B1223,""volume"",WORKDAY(TODAY(),-$F$1),TODAY()),,2)),""Breakout"","""")"),"")</f>
        <v/>
      </c>
      <c r="H1223" s="16">
        <f>IFERROR(__xludf.DUMMYFUNCTION("GOOGLEFINANCE(B1223,""price"")"),188.0)</f>
        <v>188</v>
      </c>
      <c r="I1223" s="17">
        <f>IFERROR(__xludf.DUMMYFUNCTION("AVERAGE(QUERY(SORT(GOOGLEFINANCE(B1223,""price"",TODAY()-365,TODAY()),1,0),""select Col2 limit 10""))"),196.359)</f>
        <v>196.359</v>
      </c>
      <c r="J1223" s="17">
        <f>IFERROR(__xludf.DUMMYFUNCTION("AVERAGE(QUERY(SORT(GOOGLEFINANCE(B1223,""price"",TODAY()-365,TODAY()),1,0),""select Col2 limit 30""))"),194.3816666666667)</f>
        <v>194.3816667</v>
      </c>
      <c r="K1223" s="18">
        <f>IFERROR(__xludf.DUMMYFUNCTION("AVERAGE(QUERY(SORT(GOOGLEFINANCE(B1223,""price"",TODAY()-365,TODAY()),1,0),""select Col2 limit 60""))"),190.54633333333334)</f>
        <v>190.5463333</v>
      </c>
      <c r="L1223" s="17">
        <f>IFERROR(__xludf.DUMMYFUNCTION("AVERAGE(QUERY(SORT(GOOGLEFINANCE(B1223,""price"",TODAY()-365,TODAY()),1,0),""select Col2 limit 90""))"),184.70644444444446)</f>
        <v>184.7064444</v>
      </c>
      <c r="M1223" s="17">
        <f>IFERROR(__xludf.DUMMYFUNCTION("AVERAGE(QUERY(SORT(GOOGLEFINANCE(B1223,""price"",TODAY()-365,TODAY()),1,0),""select Col2 limit 120""))"),182.09400000000002)</f>
        <v>182.094</v>
      </c>
      <c r="N1223" s="19">
        <f>IFERROR(__xludf.DUMMYFUNCTION("AVERAGE(QUERY(SORT(GOOGLEFINANCE(B1223,""price"",TODAY()-365,TODAY()),1,0),""select Col2 limit 200""))"),192.9696000000001)</f>
        <v>192.9696</v>
      </c>
      <c r="O1223" s="20" t="str">
        <f t="shared" si="2"/>
        <v>Avoid</v>
      </c>
      <c r="P1223" s="21" t="str">
        <f t="shared" si="3"/>
        <v/>
      </c>
      <c r="Q1223" s="21" t="str">
        <f t="shared" si="4"/>
        <v/>
      </c>
      <c r="R1223" s="22">
        <f>IFERROR(__xludf.DUMMYFUNCTION("GOOGLEFINANCE(B1223, ""pe"")
"),6.29)</f>
        <v>6.29</v>
      </c>
    </row>
    <row r="1224">
      <c r="A1224" s="9" t="s">
        <v>1234</v>
      </c>
      <c r="B1224" s="11" t="str">
        <f t="shared" si="1"/>
        <v>NSE:RAMCOSYS</v>
      </c>
      <c r="C1224" s="12">
        <f>IFERROR(__xludf.DUMMYFUNCTION("GOOGLEFINANCE(B1224,""marketcap"")/10000000"),1456.6187626)</f>
        <v>1456.618763</v>
      </c>
      <c r="D1224" s="13">
        <f>IFERROR(__xludf.DUMMYFUNCTION("GOOGLEFINANCE(B1224,""price"")"),390.35)</f>
        <v>390.35</v>
      </c>
      <c r="E1224" s="14">
        <f>IFERROR(__xludf.DUMMYFUNCTION("GOOGLEFINANCE(B1224,""Volume"")"),13866.0)</f>
        <v>13866</v>
      </c>
      <c r="F1224" s="14">
        <f t="array" ref="F1224">F1223</f>
        <v>14</v>
      </c>
      <c r="G1224" s="15" t="str">
        <f>IFERROR(__xludf.DUMMYFUNCTION("IF(E1224&gt;AVERAGE(INDEX(GOOGLEFINANCE(B1224,""volume"",WORKDAY(TODAY(),-$F$1),TODAY()),,2)),""Breakout"","""")"),"")</f>
        <v/>
      </c>
      <c r="H1224" s="16">
        <f>IFERROR(__xludf.DUMMYFUNCTION("GOOGLEFINANCE(B1224,""price"")"),390.35)</f>
        <v>390.35</v>
      </c>
      <c r="I1224" s="17">
        <f>IFERROR(__xludf.DUMMYFUNCTION("AVERAGE(QUERY(SORT(GOOGLEFINANCE(B1224,""price"",TODAY()-365,TODAY()),1,0),""select Col2 limit 10""))"),395.235)</f>
        <v>395.235</v>
      </c>
      <c r="J1224" s="17">
        <f>IFERROR(__xludf.DUMMYFUNCTION("AVERAGE(QUERY(SORT(GOOGLEFINANCE(B1224,""price"",TODAY()-365,TODAY()),1,0),""select Col2 limit 30""))"),396.90333333333336)</f>
        <v>396.9033333</v>
      </c>
      <c r="K1224" s="18">
        <f>IFERROR(__xludf.DUMMYFUNCTION("AVERAGE(QUERY(SORT(GOOGLEFINANCE(B1224,""price"",TODAY()-365,TODAY()),1,0),""select Col2 limit 60""))"),405.43500000000006)</f>
        <v>405.435</v>
      </c>
      <c r="L1224" s="17">
        <f>IFERROR(__xludf.DUMMYFUNCTION("AVERAGE(QUERY(SORT(GOOGLEFINANCE(B1224,""price"",TODAY()-365,TODAY()),1,0),""select Col2 limit 90""))"),389.5977777777778)</f>
        <v>389.5977778</v>
      </c>
      <c r="M1224" s="17">
        <f>IFERROR(__xludf.DUMMYFUNCTION("AVERAGE(QUERY(SORT(GOOGLEFINANCE(B1224,""price"",TODAY()-365,TODAY()),1,0),""select Col2 limit 120""))"),373.33666666666664)</f>
        <v>373.3366667</v>
      </c>
      <c r="N1224" s="19">
        <f>IFERROR(__xludf.DUMMYFUNCTION("AVERAGE(QUERY(SORT(GOOGLEFINANCE(B1224,""price"",TODAY()-365,TODAY()),1,0),""select Col2 limit 200""))"),390.0890000000001)</f>
        <v>390.089</v>
      </c>
      <c r="O1224" s="20" t="str">
        <f t="shared" si="2"/>
        <v>Avoid</v>
      </c>
      <c r="P1224" s="21" t="str">
        <f t="shared" si="3"/>
        <v/>
      </c>
      <c r="Q1224" s="21" t="str">
        <f t="shared" si="4"/>
        <v/>
      </c>
      <c r="R1224" s="22" t="str">
        <f>IFERROR(__xludf.DUMMYFUNCTION("GOOGLEFINANCE(B1224, ""pe"")
"),"#N/A")</f>
        <v>#N/A</v>
      </c>
    </row>
    <row r="1225">
      <c r="A1225" s="9" t="s">
        <v>1235</v>
      </c>
      <c r="B1225" s="11" t="str">
        <f t="shared" si="1"/>
        <v>NSE:STERTOOLS</v>
      </c>
      <c r="C1225" s="12">
        <f>IFERROR(__xludf.DUMMYFUNCTION("GOOGLEFINANCE(B1225,""marketcap"")/10000000"),1275.3160501)</f>
        <v>1275.31605</v>
      </c>
      <c r="D1225" s="13">
        <f>IFERROR(__xludf.DUMMYFUNCTION("GOOGLEFINANCE(B1225,""price"")"),352.85)</f>
        <v>352.85</v>
      </c>
      <c r="E1225" s="14">
        <f>IFERROR(__xludf.DUMMYFUNCTION("GOOGLEFINANCE(B1225,""Volume"")"),62857.0)</f>
        <v>62857</v>
      </c>
      <c r="F1225" s="14">
        <f t="array" ref="F1225">F1224</f>
        <v>14</v>
      </c>
      <c r="G1225" s="15" t="str">
        <f>IFERROR(__xludf.DUMMYFUNCTION("IF(E1225&gt;AVERAGE(INDEX(GOOGLEFINANCE(B1225,""volume"",WORKDAY(TODAY(),-$F$1),TODAY()),,2)),""Breakout"","""")"),"")</f>
        <v/>
      </c>
      <c r="H1225" s="16">
        <f>IFERROR(__xludf.DUMMYFUNCTION("GOOGLEFINANCE(B1225,""price"")"),352.85)</f>
        <v>352.85</v>
      </c>
      <c r="I1225" s="17">
        <f>IFERROR(__xludf.DUMMYFUNCTION("AVERAGE(QUERY(SORT(GOOGLEFINANCE(B1225,""price"",TODAY()-365,TODAY()),1,0),""select Col2 limit 10""))"),364.05000000000007)</f>
        <v>364.05</v>
      </c>
      <c r="J1225" s="17">
        <f>IFERROR(__xludf.DUMMYFUNCTION("AVERAGE(QUERY(SORT(GOOGLEFINANCE(B1225,""price"",TODAY()-365,TODAY()),1,0),""select Col2 limit 30""))"),359.0866666666667)</f>
        <v>359.0866667</v>
      </c>
      <c r="K1225" s="18">
        <f>IFERROR(__xludf.DUMMYFUNCTION("AVERAGE(QUERY(SORT(GOOGLEFINANCE(B1225,""price"",TODAY()-365,TODAY()),1,0),""select Col2 limit 60""))"),344.6875)</f>
        <v>344.6875</v>
      </c>
      <c r="L1225" s="17">
        <f>IFERROR(__xludf.DUMMYFUNCTION("AVERAGE(QUERY(SORT(GOOGLEFINANCE(B1225,""price"",TODAY()-365,TODAY()),1,0),""select Col2 limit 90""))"),336.1366666666667)</f>
        <v>336.1366667</v>
      </c>
      <c r="M1225" s="17">
        <f>IFERROR(__xludf.DUMMYFUNCTION("AVERAGE(QUERY(SORT(GOOGLEFINANCE(B1225,""price"",TODAY()-365,TODAY()),1,0),""select Col2 limit 120""))"),350.3408333333334)</f>
        <v>350.3408333</v>
      </c>
      <c r="N1225" s="19">
        <f>IFERROR(__xludf.DUMMYFUNCTION("AVERAGE(QUERY(SORT(GOOGLEFINANCE(B1225,""price"",TODAY()-365,TODAY()),1,0),""select Col2 limit 200""))"),439.19274999999993)</f>
        <v>439.19275</v>
      </c>
      <c r="O1225" s="20" t="str">
        <f t="shared" si="2"/>
        <v>Avoid</v>
      </c>
      <c r="P1225" s="21" t="str">
        <f t="shared" si="3"/>
        <v/>
      </c>
      <c r="Q1225" s="21" t="str">
        <f t="shared" si="4"/>
        <v/>
      </c>
      <c r="R1225" s="22">
        <f>IFERROR(__xludf.DUMMYFUNCTION("GOOGLEFINANCE(B1225, ""pe"")
"),21.93)</f>
        <v>21.93</v>
      </c>
    </row>
    <row r="1226">
      <c r="A1226" s="9" t="s">
        <v>1236</v>
      </c>
      <c r="B1226" s="11" t="str">
        <f t="shared" si="1"/>
        <v>NSE:KABRAEXTRU</v>
      </c>
      <c r="C1226" s="12">
        <f>IFERROR(__xludf.DUMMYFUNCTION("GOOGLEFINANCE(B1226,""marketcap"")/10000000"),998.7925619)</f>
        <v>998.7925619</v>
      </c>
      <c r="D1226" s="13">
        <f>IFERROR(__xludf.DUMMYFUNCTION("GOOGLEFINANCE(B1226,""price"")"),285.35)</f>
        <v>285.35</v>
      </c>
      <c r="E1226" s="14">
        <f>IFERROR(__xludf.DUMMYFUNCTION("GOOGLEFINANCE(B1226,""Volume"")"),13050.0)</f>
        <v>13050</v>
      </c>
      <c r="F1226" s="14">
        <f t="array" ref="F1226">F1225</f>
        <v>14</v>
      </c>
      <c r="G1226" s="15" t="str">
        <f>IFERROR(__xludf.DUMMYFUNCTION("IF(E1226&gt;AVERAGE(INDEX(GOOGLEFINANCE(B1226,""volume"",WORKDAY(TODAY(),-$F$1),TODAY()),,2)),""Breakout"","""")"),"")</f>
        <v/>
      </c>
      <c r="H1226" s="16">
        <f>IFERROR(__xludf.DUMMYFUNCTION("GOOGLEFINANCE(B1226,""price"")"),285.35)</f>
        <v>285.35</v>
      </c>
      <c r="I1226" s="17">
        <f>IFERROR(__xludf.DUMMYFUNCTION("AVERAGE(QUERY(SORT(GOOGLEFINANCE(B1226,""price"",TODAY()-365,TODAY()),1,0),""select Col2 limit 10""))"),304.09000000000003)</f>
        <v>304.09</v>
      </c>
      <c r="J1226" s="17">
        <f>IFERROR(__xludf.DUMMYFUNCTION("AVERAGE(QUERY(SORT(GOOGLEFINANCE(B1226,""price"",TODAY()-365,TODAY()),1,0),""select Col2 limit 30""))"),295.20666666666665)</f>
        <v>295.2066667</v>
      </c>
      <c r="K1226" s="18">
        <f>IFERROR(__xludf.DUMMYFUNCTION("AVERAGE(QUERY(SORT(GOOGLEFINANCE(B1226,""price"",TODAY()-365,TODAY()),1,0),""select Col2 limit 60""))"),283.1408333333333)</f>
        <v>283.1408333</v>
      </c>
      <c r="L1226" s="17">
        <f>IFERROR(__xludf.DUMMYFUNCTION("AVERAGE(QUERY(SORT(GOOGLEFINANCE(B1226,""price"",TODAY()-365,TODAY()),1,0),""select Col2 limit 90""))"),284.5638888888889)</f>
        <v>284.5638889</v>
      </c>
      <c r="M1226" s="17">
        <f>IFERROR(__xludf.DUMMYFUNCTION("AVERAGE(QUERY(SORT(GOOGLEFINANCE(B1226,""price"",TODAY()-365,TODAY()),1,0),""select Col2 limit 120""))"),309.12375000000003)</f>
        <v>309.12375</v>
      </c>
      <c r="N1226" s="19">
        <f>IFERROR(__xludf.DUMMYFUNCTION("AVERAGE(QUERY(SORT(GOOGLEFINANCE(B1226,""price"",TODAY()-365,TODAY()),1,0),""select Col2 limit 200""))"),376.5344999999999)</f>
        <v>376.5345</v>
      </c>
      <c r="O1226" s="20" t="str">
        <f t="shared" si="2"/>
        <v>Avoid</v>
      </c>
      <c r="P1226" s="21" t="str">
        <f t="shared" si="3"/>
        <v/>
      </c>
      <c r="Q1226" s="21" t="str">
        <f t="shared" si="4"/>
        <v/>
      </c>
      <c r="R1226" s="22">
        <f>IFERROR(__xludf.DUMMYFUNCTION("GOOGLEFINANCE(B1226, ""pe"")
"),30.99)</f>
        <v>30.99</v>
      </c>
    </row>
    <row r="1227">
      <c r="A1227" s="9" t="s">
        <v>1237</v>
      </c>
      <c r="B1227" s="11" t="str">
        <f t="shared" si="1"/>
        <v>NSE:ESSARSHPNG</v>
      </c>
      <c r="C1227" s="12">
        <f>IFERROR(__xludf.DUMMYFUNCTION("GOOGLEFINANCE(B1227,""marketcap"")/10000000"),582.193198)</f>
        <v>582.193198</v>
      </c>
      <c r="D1227" s="13">
        <f>IFERROR(__xludf.DUMMYFUNCTION("GOOGLEFINANCE(B1227,""price"")"),27.93)</f>
        <v>27.93</v>
      </c>
      <c r="E1227" s="14">
        <f>IFERROR(__xludf.DUMMYFUNCTION("GOOGLEFINANCE(B1227,""Volume"")"),17822.0)</f>
        <v>17822</v>
      </c>
      <c r="F1227" s="14">
        <f t="array" ref="F1227">F1226</f>
        <v>14</v>
      </c>
      <c r="G1227" s="15" t="str">
        <f>IFERROR(__xludf.DUMMYFUNCTION("IF(E1227&gt;AVERAGE(INDEX(GOOGLEFINANCE(B1227,""volume"",WORKDAY(TODAY(),-$F$1),TODAY()),,2)),""Breakout"","""")"),"")</f>
        <v/>
      </c>
      <c r="H1227" s="16">
        <f>IFERROR(__xludf.DUMMYFUNCTION("GOOGLEFINANCE(B1227,""price"")"),27.93)</f>
        <v>27.93</v>
      </c>
      <c r="I1227" s="17">
        <f>IFERROR(__xludf.DUMMYFUNCTION("AVERAGE(QUERY(SORT(GOOGLEFINANCE(B1227,""price"",TODAY()-365,TODAY()),1,0),""select Col2 limit 10""))"),28.604000000000003)</f>
        <v>28.604</v>
      </c>
      <c r="J1227" s="17">
        <f>IFERROR(__xludf.DUMMYFUNCTION("AVERAGE(QUERY(SORT(GOOGLEFINANCE(B1227,""price"",TODAY()-365,TODAY()),1,0),""select Col2 limit 30""))"),29.20833333333333)</f>
        <v>29.20833333</v>
      </c>
      <c r="K1227" s="18">
        <f>IFERROR(__xludf.DUMMYFUNCTION("AVERAGE(QUERY(SORT(GOOGLEFINANCE(B1227,""price"",TODAY()-365,TODAY()),1,0),""select Col2 limit 60""))"),30.473833333333328)</f>
        <v>30.47383333</v>
      </c>
      <c r="L1227" s="17">
        <f>IFERROR(__xludf.DUMMYFUNCTION("AVERAGE(QUERY(SORT(GOOGLEFINANCE(B1227,""price"",TODAY()-365,TODAY()),1,0),""select Col2 limit 90""))"),29.252333333333333)</f>
        <v>29.25233333</v>
      </c>
      <c r="M1227" s="17">
        <f>IFERROR(__xludf.DUMMYFUNCTION("AVERAGE(QUERY(SORT(GOOGLEFINANCE(B1227,""price"",TODAY()-365,TODAY()),1,0),""select Col2 limit 120""))"),28.809833333333344)</f>
        <v>28.80983333</v>
      </c>
      <c r="N1227" s="19">
        <f>IFERROR(__xludf.DUMMYFUNCTION("AVERAGE(QUERY(SORT(GOOGLEFINANCE(B1227,""price"",TODAY()-365,TODAY()),1,0),""select Col2 limit 200""))"),31.988050000000012)</f>
        <v>31.98805</v>
      </c>
      <c r="O1227" s="20" t="str">
        <f t="shared" si="2"/>
        <v>Avoid</v>
      </c>
      <c r="P1227" s="21" t="str">
        <f t="shared" si="3"/>
        <v/>
      </c>
      <c r="Q1227" s="21" t="str">
        <f t="shared" si="4"/>
        <v/>
      </c>
      <c r="R1227" s="22">
        <f>IFERROR(__xludf.DUMMYFUNCTION("GOOGLEFINANCE(B1227, ""pe"")
"),0.87)</f>
        <v>0.87</v>
      </c>
    </row>
    <row r="1228">
      <c r="A1228" s="9" t="s">
        <v>1238</v>
      </c>
      <c r="B1228" s="11" t="str">
        <f t="shared" si="1"/>
        <v>NSE:ASIANENE</v>
      </c>
      <c r="C1228" s="12">
        <f>IFERROR(__xludf.DUMMYFUNCTION("GOOGLEFINANCE(B1228,""marketcap"")/10000000"),1445.9110577)</f>
        <v>1445.911058</v>
      </c>
      <c r="D1228" s="13">
        <f>IFERROR(__xludf.DUMMYFUNCTION("GOOGLEFINANCE(B1228,""price"")"),322.65)</f>
        <v>322.65</v>
      </c>
      <c r="E1228" s="14">
        <f>IFERROR(__xludf.DUMMYFUNCTION("GOOGLEFINANCE(B1228,""Volume"")"),2698839.0)</f>
        <v>2698839</v>
      </c>
      <c r="F1228" s="14">
        <f t="array" ref="F1228">F1227</f>
        <v>14</v>
      </c>
      <c r="G1228" s="15" t="str">
        <f>IFERROR(__xludf.DUMMYFUNCTION("IF(E1228&gt;AVERAGE(INDEX(GOOGLEFINANCE(B1228,""volume"",WORKDAY(TODAY(),-$F$1),TODAY()),,2)),""Breakout"","""")"),"Breakout")</f>
        <v>Breakout</v>
      </c>
      <c r="H1228" s="16">
        <f>IFERROR(__xludf.DUMMYFUNCTION("GOOGLEFINANCE(B1228,""price"")"),322.65)</f>
        <v>322.65</v>
      </c>
      <c r="I1228" s="17">
        <f>IFERROR(__xludf.DUMMYFUNCTION("AVERAGE(QUERY(SORT(GOOGLEFINANCE(B1228,""price"",TODAY()-365,TODAY()),1,0),""select Col2 limit 10""))"),294.075)</f>
        <v>294.075</v>
      </c>
      <c r="J1228" s="17">
        <f>IFERROR(__xludf.DUMMYFUNCTION("AVERAGE(QUERY(SORT(GOOGLEFINANCE(B1228,""price"",TODAY()-365,TODAY()),1,0),""select Col2 limit 30""))"),294.04666666666674)</f>
        <v>294.0466667</v>
      </c>
      <c r="K1228" s="18">
        <f>IFERROR(__xludf.DUMMYFUNCTION("AVERAGE(QUERY(SORT(GOOGLEFINANCE(B1228,""price"",TODAY()-365,TODAY()),1,0),""select Col2 limit 60""))"),301.18750000000006)</f>
        <v>301.1875</v>
      </c>
      <c r="L1228" s="17">
        <f>IFERROR(__xludf.DUMMYFUNCTION("AVERAGE(QUERY(SORT(GOOGLEFINANCE(B1228,""price"",TODAY()-365,TODAY()),1,0),""select Col2 limit 90""))"),294.7508888888889)</f>
        <v>294.7508889</v>
      </c>
      <c r="M1228" s="17">
        <f>IFERROR(__xludf.DUMMYFUNCTION("AVERAGE(QUERY(SORT(GOOGLEFINANCE(B1228,""price"",TODAY()-365,TODAY()),1,0),""select Col2 limit 120""))"),288.04374999999993)</f>
        <v>288.04375</v>
      </c>
      <c r="N1228" s="19">
        <f>IFERROR(__xludf.DUMMYFUNCTION("AVERAGE(QUERY(SORT(GOOGLEFINANCE(B1228,""price"",TODAY()-365,TODAY()),1,0),""select Col2 limit 200""))"),315.72525)</f>
        <v>315.72525</v>
      </c>
      <c r="O1228" s="20" t="str">
        <f t="shared" si="2"/>
        <v>Avoid</v>
      </c>
      <c r="P1228" s="21" t="str">
        <f t="shared" si="3"/>
        <v/>
      </c>
      <c r="Q1228" s="21" t="str">
        <f t="shared" si="4"/>
        <v/>
      </c>
      <c r="R1228" s="22">
        <f>IFERROR(__xludf.DUMMYFUNCTION("GOOGLEFINANCE(B1228, ""pe"")
"),33.07)</f>
        <v>33.07</v>
      </c>
    </row>
    <row r="1229">
      <c r="A1229" s="9" t="s">
        <v>1239</v>
      </c>
      <c r="B1229" s="11" t="str">
        <f t="shared" si="1"/>
        <v>NSE:NACLIND</v>
      </c>
      <c r="C1229" s="12">
        <f>IFERROR(__xludf.DUMMYFUNCTION("GOOGLEFINANCE(B1229,""marketcap"")/10000000"),5730.7371815)</f>
        <v>5730.737182</v>
      </c>
      <c r="D1229" s="13">
        <f>IFERROR(__xludf.DUMMYFUNCTION("GOOGLEFINANCE(B1229,""price"")"),283.1)</f>
        <v>283.1</v>
      </c>
      <c r="E1229" s="14">
        <f>IFERROR(__xludf.DUMMYFUNCTION("GOOGLEFINANCE(B1229,""Volume"")"),143581.0)</f>
        <v>143581</v>
      </c>
      <c r="F1229" s="14">
        <f t="array" ref="F1229">F1228</f>
        <v>14</v>
      </c>
      <c r="G1229" s="15" t="str">
        <f>IFERROR(__xludf.DUMMYFUNCTION("IF(E1229&gt;AVERAGE(INDEX(GOOGLEFINANCE(B1229,""volume"",WORKDAY(TODAY(),-$F$1),TODAY()),,2)),""Breakout"","""")"),"")</f>
        <v/>
      </c>
      <c r="H1229" s="16">
        <f>IFERROR(__xludf.DUMMYFUNCTION("GOOGLEFINANCE(B1229,""price"")"),283.1)</f>
        <v>283.1</v>
      </c>
      <c r="I1229" s="17">
        <f>IFERROR(__xludf.DUMMYFUNCTION("AVERAGE(QUERY(SORT(GOOGLEFINANCE(B1229,""price"",TODAY()-365,TODAY()),1,0),""select Col2 limit 10""))"),288.26599999999996)</f>
        <v>288.266</v>
      </c>
      <c r="J1229" s="17">
        <f>IFERROR(__xludf.DUMMYFUNCTION("AVERAGE(QUERY(SORT(GOOGLEFINANCE(B1229,""price"",TODAY()-365,TODAY()),1,0),""select Col2 limit 30""))"),239.14299999999997)</f>
        <v>239.143</v>
      </c>
      <c r="K1229" s="18">
        <f>IFERROR(__xludf.DUMMYFUNCTION("AVERAGE(QUERY(SORT(GOOGLEFINANCE(B1229,""price"",TODAY()-365,TODAY()),1,0),""select Col2 limit 60""))"),210.0521666666667)</f>
        <v>210.0521667</v>
      </c>
      <c r="L1229" s="17">
        <f>IFERROR(__xludf.DUMMYFUNCTION("AVERAGE(QUERY(SORT(GOOGLEFINANCE(B1229,""price"",TODAY()-365,TODAY()),1,0),""select Col2 limit 90""))"),188.747111111111)</f>
        <v>188.7471111</v>
      </c>
      <c r="M1229" s="17">
        <f>IFERROR(__xludf.DUMMYFUNCTION("AVERAGE(QUERY(SORT(GOOGLEFINANCE(B1229,""price"",TODAY()-365,TODAY()),1,0),""select Col2 limit 120""))"),158.1909999999999)</f>
        <v>158.191</v>
      </c>
      <c r="N1229" s="19">
        <f>IFERROR(__xludf.DUMMYFUNCTION("AVERAGE(QUERY(SORT(GOOGLEFINANCE(B1229,""price"",TODAY()-365,TODAY()),1,0),""select Col2 limit 200""))"),117.9802999999999)</f>
        <v>117.9803</v>
      </c>
      <c r="O1229" s="20" t="str">
        <f t="shared" si="2"/>
        <v>Avoid</v>
      </c>
      <c r="P1229" s="21" t="str">
        <f t="shared" si="3"/>
        <v/>
      </c>
      <c r="Q1229" s="21" t="str">
        <f t="shared" si="4"/>
        <v/>
      </c>
      <c r="R1229" s="22" t="str">
        <f>IFERROR(__xludf.DUMMYFUNCTION("GOOGLEFINANCE(B1229, ""pe"")
"),"#N/A")</f>
        <v>#N/A</v>
      </c>
    </row>
    <row r="1230">
      <c r="A1230" s="9" t="s">
        <v>1240</v>
      </c>
      <c r="B1230" s="11" t="str">
        <f t="shared" si="1"/>
        <v>NSE:AVTNPL</v>
      </c>
      <c r="C1230" s="12">
        <f>IFERROR(__xludf.DUMMYFUNCTION("GOOGLEFINANCE(B1230,""marketcap"")/10000000"),1123.8559664)</f>
        <v>1123.855966</v>
      </c>
      <c r="D1230" s="13">
        <f>IFERROR(__xludf.DUMMYFUNCTION("GOOGLEFINANCE(B1230,""price"")"),74.0)</f>
        <v>74</v>
      </c>
      <c r="E1230" s="14">
        <f>IFERROR(__xludf.DUMMYFUNCTION("GOOGLEFINANCE(B1230,""Volume"")"),46565.0)</f>
        <v>46565</v>
      </c>
      <c r="F1230" s="14">
        <f t="array" ref="F1230">F1229</f>
        <v>14</v>
      </c>
      <c r="G1230" s="15" t="str">
        <f>IFERROR(__xludf.DUMMYFUNCTION("IF(E1230&gt;AVERAGE(INDEX(GOOGLEFINANCE(B1230,""volume"",WORKDAY(TODAY(),-$F$1),TODAY()),,2)),""Breakout"","""")"),"")</f>
        <v/>
      </c>
      <c r="H1230" s="16">
        <f>IFERROR(__xludf.DUMMYFUNCTION("GOOGLEFINANCE(B1230,""price"")"),74.0)</f>
        <v>74</v>
      </c>
      <c r="I1230" s="17">
        <f>IFERROR(__xludf.DUMMYFUNCTION("AVERAGE(QUERY(SORT(GOOGLEFINANCE(B1230,""price"",TODAY()-365,TODAY()),1,0),""select Col2 limit 10""))"),71.794)</f>
        <v>71.794</v>
      </c>
      <c r="J1230" s="17">
        <f>IFERROR(__xludf.DUMMYFUNCTION("AVERAGE(QUERY(SORT(GOOGLEFINANCE(B1230,""price"",TODAY()-365,TODAY()),1,0),""select Col2 limit 30""))"),67.57433333333333)</f>
        <v>67.57433333</v>
      </c>
      <c r="K1230" s="18">
        <f>IFERROR(__xludf.DUMMYFUNCTION("AVERAGE(QUERY(SORT(GOOGLEFINANCE(B1230,""price"",TODAY()-365,TODAY()),1,0),""select Col2 limit 60""))"),66.302)</f>
        <v>66.302</v>
      </c>
      <c r="L1230" s="17">
        <f>IFERROR(__xludf.DUMMYFUNCTION("AVERAGE(QUERY(SORT(GOOGLEFINANCE(B1230,""price"",TODAY()-365,TODAY()),1,0),""select Col2 limit 90""))"),63.707)</f>
        <v>63.707</v>
      </c>
      <c r="M1230" s="17">
        <f>IFERROR(__xludf.DUMMYFUNCTION("AVERAGE(QUERY(SORT(GOOGLEFINANCE(B1230,""price"",TODAY()-365,TODAY()),1,0),""select Col2 limit 120""))"),64.24558333333334)</f>
        <v>64.24558333</v>
      </c>
      <c r="N1230" s="19">
        <f>IFERROR(__xludf.DUMMYFUNCTION("AVERAGE(QUERY(SORT(GOOGLEFINANCE(B1230,""price"",TODAY()-365,TODAY()),1,0),""select Col2 limit 200""))"),70.11975000000002)</f>
        <v>70.11975</v>
      </c>
      <c r="O1230" s="20" t="str">
        <f t="shared" si="2"/>
        <v>Avoid</v>
      </c>
      <c r="P1230" s="21" t="str">
        <f t="shared" si="3"/>
        <v/>
      </c>
      <c r="Q1230" s="21" t="str">
        <f t="shared" si="4"/>
        <v/>
      </c>
      <c r="R1230" s="22">
        <f>IFERROR(__xludf.DUMMYFUNCTION("GOOGLEFINANCE(B1230, ""pe"")
"),23.33)</f>
        <v>23.33</v>
      </c>
    </row>
    <row r="1231">
      <c r="A1231" s="9" t="s">
        <v>1241</v>
      </c>
      <c r="B1231" s="11" t="str">
        <f t="shared" si="1"/>
        <v>NSE:MONTECARLO</v>
      </c>
      <c r="C1231" s="12">
        <f>IFERROR(__xludf.DUMMYFUNCTION("GOOGLEFINANCE(B1231,""marketcap"")/10000000"),1216.971335)</f>
        <v>1216.971335</v>
      </c>
      <c r="D1231" s="13">
        <f>IFERROR(__xludf.DUMMYFUNCTION("GOOGLEFINANCE(B1231,""price"")"),587.7)</f>
        <v>587.7</v>
      </c>
      <c r="E1231" s="14">
        <f>IFERROR(__xludf.DUMMYFUNCTION("GOOGLEFINANCE(B1231,""Volume"")"),7867.0)</f>
        <v>7867</v>
      </c>
      <c r="F1231" s="14">
        <f t="array" ref="F1231">F1230</f>
        <v>14</v>
      </c>
      <c r="G1231" s="15" t="str">
        <f>IFERROR(__xludf.DUMMYFUNCTION("IF(E1231&gt;AVERAGE(INDEX(GOOGLEFINANCE(B1231,""volume"",WORKDAY(TODAY(),-$F$1),TODAY()),,2)),""Breakout"","""")"),"")</f>
        <v/>
      </c>
      <c r="H1231" s="16">
        <f>IFERROR(__xludf.DUMMYFUNCTION("GOOGLEFINANCE(B1231,""price"")"),587.7)</f>
        <v>587.7</v>
      </c>
      <c r="I1231" s="17">
        <f>IFERROR(__xludf.DUMMYFUNCTION("AVERAGE(QUERY(SORT(GOOGLEFINANCE(B1231,""price"",TODAY()-365,TODAY()),1,0),""select Col2 limit 10""))"),601.375)</f>
        <v>601.375</v>
      </c>
      <c r="J1231" s="17">
        <f>IFERROR(__xludf.DUMMYFUNCTION("AVERAGE(QUERY(SORT(GOOGLEFINANCE(B1231,""price"",TODAY()-365,TODAY()),1,0),""select Col2 limit 30""))"),603.615)</f>
        <v>603.615</v>
      </c>
      <c r="K1231" s="18">
        <f>IFERROR(__xludf.DUMMYFUNCTION("AVERAGE(QUERY(SORT(GOOGLEFINANCE(B1231,""price"",TODAY()-365,TODAY()),1,0),""select Col2 limit 60""))"),599.8399999999999)</f>
        <v>599.84</v>
      </c>
      <c r="L1231" s="17">
        <f>IFERROR(__xludf.DUMMYFUNCTION("AVERAGE(QUERY(SORT(GOOGLEFINANCE(B1231,""price"",TODAY()-365,TODAY()),1,0),""select Col2 limit 90""))"),587.7338888888888)</f>
        <v>587.7338889</v>
      </c>
      <c r="M1231" s="17">
        <f>IFERROR(__xludf.DUMMYFUNCTION("AVERAGE(QUERY(SORT(GOOGLEFINANCE(B1231,""price"",TODAY()-365,TODAY()),1,0),""select Col2 limit 120""))"),596.4133333333333)</f>
        <v>596.4133333</v>
      </c>
      <c r="N1231" s="19">
        <f>IFERROR(__xludf.DUMMYFUNCTION("AVERAGE(QUERY(SORT(GOOGLEFINANCE(B1231,""price"",TODAY()-365,TODAY()),1,0),""select Col2 limit 200""))"),677.2332499999997)</f>
        <v>677.23325</v>
      </c>
      <c r="O1231" s="20" t="str">
        <f t="shared" si="2"/>
        <v>Avoid</v>
      </c>
      <c r="P1231" s="21" t="str">
        <f t="shared" si="3"/>
        <v>90 DMA</v>
      </c>
      <c r="Q1231" s="21" t="str">
        <f t="shared" si="4"/>
        <v/>
      </c>
      <c r="R1231" s="22">
        <f>IFERROR(__xludf.DUMMYFUNCTION("GOOGLEFINANCE(B1231, ""pe"")
"),15.02)</f>
        <v>15.02</v>
      </c>
    </row>
    <row r="1232">
      <c r="A1232" s="9" t="s">
        <v>1242</v>
      </c>
      <c r="B1232" s="11" t="str">
        <f t="shared" si="1"/>
        <v>NSE:DRREDDY</v>
      </c>
      <c r="C1232" s="12">
        <f>IFERROR(__xludf.DUMMYFUNCTION("GOOGLEFINANCE(B1232,""marketcap"")/10000000"),106177.2427278)</f>
        <v>106177.2427</v>
      </c>
      <c r="D1232" s="13">
        <f>IFERROR(__xludf.DUMMYFUNCTION("GOOGLEFINANCE(B1232,""price"")"),1275.6)</f>
        <v>1275.6</v>
      </c>
      <c r="E1232" s="14">
        <f>IFERROR(__xludf.DUMMYFUNCTION("GOOGLEFINANCE(B1232,""Volume"")"),617842.0)</f>
        <v>617842</v>
      </c>
      <c r="F1232" s="14">
        <f t="array" ref="F1232">F1231</f>
        <v>14</v>
      </c>
      <c r="G1232" s="15" t="str">
        <f>IFERROR(__xludf.DUMMYFUNCTION("IF(E1232&gt;AVERAGE(INDEX(GOOGLEFINANCE(B1232,""volume"",WORKDAY(TODAY(),-$F$1),TODAY()),,2)),""Breakout"","""")"),"")</f>
        <v/>
      </c>
      <c r="H1232" s="16">
        <f>IFERROR(__xludf.DUMMYFUNCTION("GOOGLEFINANCE(B1232,""price"")"),1275.6)</f>
        <v>1275.6</v>
      </c>
      <c r="I1232" s="17">
        <f>IFERROR(__xludf.DUMMYFUNCTION("AVERAGE(QUERY(SORT(GOOGLEFINANCE(B1232,""price"",TODAY()-365,TODAY()),1,0),""select Col2 limit 10""))"),1258.16)</f>
        <v>1258.16</v>
      </c>
      <c r="J1232" s="17">
        <f>IFERROR(__xludf.DUMMYFUNCTION("AVERAGE(QUERY(SORT(GOOGLEFINANCE(B1232,""price"",TODAY()-365,TODAY()),1,0),""select Col2 limit 30""))"),1288.0600000000004)</f>
        <v>1288.06</v>
      </c>
      <c r="K1232" s="18">
        <f>IFERROR(__xludf.DUMMYFUNCTION("AVERAGE(QUERY(SORT(GOOGLEFINANCE(B1232,""price"",TODAY()-365,TODAY()),1,0),""select Col2 limit 60""))"),1266.2949999999996)</f>
        <v>1266.295</v>
      </c>
      <c r="L1232" s="17">
        <f>IFERROR(__xludf.DUMMYFUNCTION("AVERAGE(QUERY(SORT(GOOGLEFINANCE(B1232,""price"",TODAY()-365,TODAY()),1,0),""select Col2 limit 90""))"),1231.1849999999993)</f>
        <v>1231.185</v>
      </c>
      <c r="M1232" s="17">
        <f>IFERROR(__xludf.DUMMYFUNCTION("AVERAGE(QUERY(SORT(GOOGLEFINANCE(B1232,""price"",TODAY()-365,TODAY()),1,0),""select Col2 limit 120""))"),1216.0274999999995)</f>
        <v>1216.0275</v>
      </c>
      <c r="N1232" s="19">
        <f>IFERROR(__xludf.DUMMYFUNCTION("AVERAGE(QUERY(SORT(GOOGLEFINANCE(B1232,""price"",TODAY()-365,TODAY()),1,0),""select Col2 limit 200""))"),1245.3550499999997)</f>
        <v>1245.35505</v>
      </c>
      <c r="O1232" s="20" t="str">
        <f t="shared" si="2"/>
        <v>Avoid</v>
      </c>
      <c r="P1232" s="21" t="str">
        <f t="shared" si="3"/>
        <v>30 DMA</v>
      </c>
      <c r="Q1232" s="21" t="str">
        <f t="shared" si="4"/>
        <v/>
      </c>
      <c r="R1232" s="22">
        <f>IFERROR(__xludf.DUMMYFUNCTION("GOOGLEFINANCE(B1232, ""pe"")
"),18.72)</f>
        <v>18.72</v>
      </c>
    </row>
    <row r="1233">
      <c r="A1233" s="9" t="s">
        <v>1243</v>
      </c>
      <c r="B1233" s="11" t="str">
        <f t="shared" si="1"/>
        <v>NSE:HIMATSEIDE</v>
      </c>
      <c r="C1233" s="12">
        <f>IFERROR(__xludf.DUMMYFUNCTION("GOOGLEFINANCE(B1233,""marketcap"")/10000000"),1938.6931475)</f>
        <v>1938.693148</v>
      </c>
      <c r="D1233" s="13">
        <f>IFERROR(__xludf.DUMMYFUNCTION("GOOGLEFINANCE(B1233,""price"")"),154.18)</f>
        <v>154.18</v>
      </c>
      <c r="E1233" s="14">
        <f>IFERROR(__xludf.DUMMYFUNCTION("GOOGLEFINANCE(B1233,""Volume"")"),125821.0)</f>
        <v>125821</v>
      </c>
      <c r="F1233" s="14">
        <f t="array" ref="F1233">F1232</f>
        <v>14</v>
      </c>
      <c r="G1233" s="15" t="str">
        <f>IFERROR(__xludf.DUMMYFUNCTION("IF(E1233&gt;AVERAGE(INDEX(GOOGLEFINANCE(B1233,""volume"",WORKDAY(TODAY(),-$F$1),TODAY()),,2)),""Breakout"","""")"),"")</f>
        <v/>
      </c>
      <c r="H1233" s="16">
        <f>IFERROR(__xludf.DUMMYFUNCTION("GOOGLEFINANCE(B1233,""price"")"),154.18)</f>
        <v>154.18</v>
      </c>
      <c r="I1233" s="17">
        <f>IFERROR(__xludf.DUMMYFUNCTION("AVERAGE(QUERY(SORT(GOOGLEFINANCE(B1233,""price"",TODAY()-365,TODAY()),1,0),""select Col2 limit 10""))"),153.948)</f>
        <v>153.948</v>
      </c>
      <c r="J1233" s="17">
        <f>IFERROR(__xludf.DUMMYFUNCTION("AVERAGE(QUERY(SORT(GOOGLEFINANCE(B1233,""price"",TODAY()-365,TODAY()),1,0),""select Col2 limit 30""))"),151.982)</f>
        <v>151.982</v>
      </c>
      <c r="K1233" s="18">
        <f>IFERROR(__xludf.DUMMYFUNCTION("AVERAGE(QUERY(SORT(GOOGLEFINANCE(B1233,""price"",TODAY()-365,TODAY()),1,0),""select Col2 limit 60""))"),153.11200000000005)</f>
        <v>153.112</v>
      </c>
      <c r="L1233" s="17">
        <f>IFERROR(__xludf.DUMMYFUNCTION("AVERAGE(QUERY(SORT(GOOGLEFINANCE(B1233,""price"",TODAY()-365,TODAY()),1,0),""select Col2 limit 90""))"),151.13588888888896)</f>
        <v>151.1358889</v>
      </c>
      <c r="M1233" s="17">
        <f>IFERROR(__xludf.DUMMYFUNCTION("AVERAGE(QUERY(SORT(GOOGLEFINANCE(B1233,""price"",TODAY()-365,TODAY()),1,0),""select Col2 limit 120""))"),147.91866666666678)</f>
        <v>147.9186667</v>
      </c>
      <c r="N1233" s="19">
        <f>IFERROR(__xludf.DUMMYFUNCTION("AVERAGE(QUERY(SORT(GOOGLEFINANCE(B1233,""price"",TODAY()-365,TODAY()),1,0),""select Col2 limit 200""))"),158.95825000000005)</f>
        <v>158.95825</v>
      </c>
      <c r="O1233" s="20" t="str">
        <f t="shared" si="2"/>
        <v>Buy Above 200 DMA</v>
      </c>
      <c r="P1233" s="21" t="str">
        <f t="shared" si="3"/>
        <v/>
      </c>
      <c r="Q1233" s="21" t="str">
        <f t="shared" si="4"/>
        <v/>
      </c>
      <c r="R1233" s="22">
        <f>IFERROR(__xludf.DUMMYFUNCTION("GOOGLEFINANCE(B1233, ""pe"")
"),22.65)</f>
        <v>22.65</v>
      </c>
    </row>
    <row r="1234">
      <c r="A1234" s="9" t="s">
        <v>1244</v>
      </c>
      <c r="B1234" s="11" t="str">
        <f t="shared" si="1"/>
        <v>NSE:SIGNPOST</v>
      </c>
      <c r="C1234" s="12">
        <f>IFERROR(__xludf.DUMMYFUNCTION("GOOGLEFINANCE(B1234,""marketcap"")/10000000"),1250.7827186)</f>
        <v>1250.782719</v>
      </c>
      <c r="D1234" s="13">
        <f>IFERROR(__xludf.DUMMYFUNCTION("GOOGLEFINANCE(B1234,""price"")"),234.77)</f>
        <v>234.77</v>
      </c>
      <c r="E1234" s="14">
        <f>IFERROR(__xludf.DUMMYFUNCTION("GOOGLEFINANCE(B1234,""Volume"")"),15867.0)</f>
        <v>15867</v>
      </c>
      <c r="F1234" s="14">
        <f t="array" ref="F1234">F1233</f>
        <v>14</v>
      </c>
      <c r="G1234" s="15" t="str">
        <f>IFERROR(__xludf.DUMMYFUNCTION("IF(E1234&gt;AVERAGE(INDEX(GOOGLEFINANCE(B1234,""volume"",WORKDAY(TODAY(),-$F$1),TODAY()),,2)),""Breakout"","""")"),"")</f>
        <v/>
      </c>
      <c r="H1234" s="16">
        <f>IFERROR(__xludf.DUMMYFUNCTION("GOOGLEFINANCE(B1234,""price"")"),234.77)</f>
        <v>234.77</v>
      </c>
      <c r="I1234" s="17">
        <f>IFERROR(__xludf.DUMMYFUNCTION("AVERAGE(QUERY(SORT(GOOGLEFINANCE(B1234,""price"",TODAY()-365,TODAY()),1,0),""select Col2 limit 10""))"),241.654)</f>
        <v>241.654</v>
      </c>
      <c r="J1234" s="17">
        <f>IFERROR(__xludf.DUMMYFUNCTION("AVERAGE(QUERY(SORT(GOOGLEFINANCE(B1234,""price"",TODAY()-365,TODAY()),1,0),""select Col2 limit 30""))"),219.196)</f>
        <v>219.196</v>
      </c>
      <c r="K1234" s="18">
        <f>IFERROR(__xludf.DUMMYFUNCTION("AVERAGE(QUERY(SORT(GOOGLEFINANCE(B1234,""price"",TODAY()-365,TODAY()),1,0),""select Col2 limit 60""))"),213.67433333333332)</f>
        <v>213.6743333</v>
      </c>
      <c r="L1234" s="17">
        <f>IFERROR(__xludf.DUMMYFUNCTION("AVERAGE(QUERY(SORT(GOOGLEFINANCE(B1234,""price"",TODAY()-365,TODAY()),1,0),""select Col2 limit 90""))"),221.86077777777783)</f>
        <v>221.8607778</v>
      </c>
      <c r="M1234" s="17">
        <f>IFERROR(__xludf.DUMMYFUNCTION("AVERAGE(QUERY(SORT(GOOGLEFINANCE(B1234,""price"",TODAY()-365,TODAY()),1,0),""select Col2 limit 120""))"),236.0308333333333)</f>
        <v>236.0308333</v>
      </c>
      <c r="N1234" s="19">
        <f>IFERROR(__xludf.DUMMYFUNCTION("AVERAGE(QUERY(SORT(GOOGLEFINANCE(B1234,""price"",TODAY()-365,TODAY()),1,0),""select Col2 limit 200""))"),263.07585)</f>
        <v>263.07585</v>
      </c>
      <c r="O1234" s="20" t="str">
        <f t="shared" si="2"/>
        <v>Avoid</v>
      </c>
      <c r="P1234" s="21" t="str">
        <f t="shared" si="3"/>
        <v>120 DMA</v>
      </c>
      <c r="Q1234" s="21" t="str">
        <f t="shared" si="4"/>
        <v/>
      </c>
      <c r="R1234" s="22">
        <f>IFERROR(__xludf.DUMMYFUNCTION("GOOGLEFINANCE(B1234, ""pe"")
"),36.91)</f>
        <v>36.91</v>
      </c>
    </row>
    <row r="1235">
      <c r="A1235" s="9" t="s">
        <v>1245</v>
      </c>
      <c r="B1235" s="11" t="str">
        <f t="shared" si="1"/>
        <v>NSE:CONTROLPR</v>
      </c>
      <c r="C1235" s="12">
        <f>IFERROR(__xludf.DUMMYFUNCTION("GOOGLEFINANCE(B1235,""marketcap"")/10000000"),1155.9815277)</f>
        <v>1155.981528</v>
      </c>
      <c r="D1235" s="13">
        <f>IFERROR(__xludf.DUMMYFUNCTION("GOOGLEFINANCE(B1235,""price"")"),722.75)</f>
        <v>722.75</v>
      </c>
      <c r="E1235" s="14">
        <f>IFERROR(__xludf.DUMMYFUNCTION("GOOGLEFINANCE(B1235,""Volume"")"),17427.0)</f>
        <v>17427</v>
      </c>
      <c r="F1235" s="14">
        <f t="array" ref="F1235">F1234</f>
        <v>14</v>
      </c>
      <c r="G1235" s="15" t="str">
        <f>IFERROR(__xludf.DUMMYFUNCTION("IF(E1235&gt;AVERAGE(INDEX(GOOGLEFINANCE(B1235,""volume"",WORKDAY(TODAY(),-$F$1),TODAY()),,2)),""Breakout"","""")"),"#N/A")</f>
        <v>#N/A</v>
      </c>
      <c r="H1235" s="16">
        <f>IFERROR(__xludf.DUMMYFUNCTION("GOOGLEFINANCE(B1235,""price"")"),722.75)</f>
        <v>722.75</v>
      </c>
      <c r="I1235" s="17">
        <f>IFERROR(__xludf.DUMMYFUNCTION("AVERAGE(QUERY(SORT(GOOGLEFINANCE(B1235,""price"",TODAY()-365,TODAY()),1,0),""select Col2 limit 10""))"),819.0950000000001)</f>
        <v>819.095</v>
      </c>
      <c r="J1235" s="17">
        <f>IFERROR(__xludf.DUMMYFUNCTION("AVERAGE(QUERY(SORT(GOOGLEFINANCE(B1235,""price"",TODAY()-365,TODAY()),1,0),""select Col2 limit 30""))"),811.7983333333335)</f>
        <v>811.7983333</v>
      </c>
      <c r="K1235" s="18">
        <f>IFERROR(__xludf.DUMMYFUNCTION("AVERAGE(QUERY(SORT(GOOGLEFINANCE(B1235,""price"",TODAY()-365,TODAY()),1,0),""select Col2 limit 60""))"),747.9775000000003)</f>
        <v>747.9775</v>
      </c>
      <c r="L1235" s="17">
        <f>IFERROR(__xludf.DUMMYFUNCTION("AVERAGE(QUERY(SORT(GOOGLEFINANCE(B1235,""price"",TODAY()-365,TODAY()),1,0),""select Col2 limit 90""))"),710.6183333333336)</f>
        <v>710.6183333</v>
      </c>
      <c r="M1235" s="17">
        <f>IFERROR(__xludf.DUMMYFUNCTION("AVERAGE(QUERY(SORT(GOOGLEFINANCE(B1235,""price"",TODAY()-365,TODAY()),1,0),""select Col2 limit 120""))"),691.3225000000001)</f>
        <v>691.3225</v>
      </c>
      <c r="N1235" s="19">
        <f>IFERROR(__xludf.DUMMYFUNCTION("AVERAGE(QUERY(SORT(GOOGLEFINANCE(B1235,""price"",TODAY()-365,TODAY()),1,0),""select Col2 limit 200""))"),709.7064999999999)</f>
        <v>709.7065</v>
      </c>
      <c r="O1235" s="20" t="str">
        <f t="shared" si="2"/>
        <v>Avoid</v>
      </c>
      <c r="P1235" s="21" t="str">
        <f t="shared" si="3"/>
        <v/>
      </c>
      <c r="Q1235" s="21" t="str">
        <f t="shared" si="4"/>
        <v/>
      </c>
      <c r="R1235" s="22">
        <f>IFERROR(__xludf.DUMMYFUNCTION("GOOGLEFINANCE(B1235, ""pe"")
"),11.93)</f>
        <v>11.93</v>
      </c>
    </row>
    <row r="1236">
      <c r="A1236" s="9" t="s">
        <v>1246</v>
      </c>
      <c r="B1236" s="11" t="str">
        <f t="shared" si="1"/>
        <v>NSE:BLAL</v>
      </c>
      <c r="C1236" s="12">
        <f>IFERROR(__xludf.DUMMYFUNCTION("GOOGLEFINANCE(B1236,""marketcap"")/10000000"),878.865289)</f>
        <v>878.865289</v>
      </c>
      <c r="D1236" s="13">
        <f>IFERROR(__xludf.DUMMYFUNCTION("GOOGLEFINANCE(B1236,""price"")"),210.69)</f>
        <v>210.69</v>
      </c>
      <c r="E1236" s="14">
        <f>IFERROR(__xludf.DUMMYFUNCTION("GOOGLEFINANCE(B1236,""Volume"")"),25890.0)</f>
        <v>25890</v>
      </c>
      <c r="F1236" s="14">
        <f t="array" ref="F1236">F1235</f>
        <v>14</v>
      </c>
      <c r="G1236" s="15" t="str">
        <f>IFERROR(__xludf.DUMMYFUNCTION("IF(E1236&gt;AVERAGE(INDEX(GOOGLEFINANCE(B1236,""volume"",WORKDAY(TODAY(),-$F$1),TODAY()),,2)),""Breakout"","""")"),"")</f>
        <v/>
      </c>
      <c r="H1236" s="16">
        <f>IFERROR(__xludf.DUMMYFUNCTION("GOOGLEFINANCE(B1236,""price"")"),210.69)</f>
        <v>210.69</v>
      </c>
      <c r="I1236" s="17">
        <f>IFERROR(__xludf.DUMMYFUNCTION("AVERAGE(QUERY(SORT(GOOGLEFINANCE(B1236,""price"",TODAY()-365,TODAY()),1,0),""select Col2 limit 10""))"),211.81600000000003)</f>
        <v>211.816</v>
      </c>
      <c r="J1236" s="17">
        <f>IFERROR(__xludf.DUMMYFUNCTION("AVERAGE(QUERY(SORT(GOOGLEFINANCE(B1236,""price"",TODAY()-365,TODAY()),1,0),""select Col2 limit 30""))"),213.42566666666667)</f>
        <v>213.4256667</v>
      </c>
      <c r="K1236" s="18">
        <f>IFERROR(__xludf.DUMMYFUNCTION("AVERAGE(QUERY(SORT(GOOGLEFINANCE(B1236,""price"",TODAY()-365,TODAY()),1,0),""select Col2 limit 60""))"),209.95216666666664)</f>
        <v>209.9521667</v>
      </c>
      <c r="L1236" s="17">
        <f>IFERROR(__xludf.DUMMYFUNCTION("AVERAGE(QUERY(SORT(GOOGLEFINANCE(B1236,""price"",TODAY()-365,TODAY()),1,0),""select Col2 limit 90""))"),208.29366666666664)</f>
        <v>208.2936667</v>
      </c>
      <c r="M1236" s="17">
        <f>IFERROR(__xludf.DUMMYFUNCTION("AVERAGE(QUERY(SORT(GOOGLEFINANCE(B1236,""price"",TODAY()-365,TODAY()),1,0),""select Col2 limit 120""))"),206.95099999999994)</f>
        <v>206.951</v>
      </c>
      <c r="N1236" s="19">
        <f>IFERROR(__xludf.DUMMYFUNCTION("AVERAGE(QUERY(SORT(GOOGLEFINANCE(B1236,""price"",TODAY()-365,TODAY()),1,0),""select Col2 limit 200""))"),217.31894999999997)</f>
        <v>217.31895</v>
      </c>
      <c r="O1236" s="20" t="str">
        <f t="shared" si="2"/>
        <v>Avoid</v>
      </c>
      <c r="P1236" s="21" t="str">
        <f t="shared" si="3"/>
        <v>10 DMA</v>
      </c>
      <c r="Q1236" s="21" t="str">
        <f t="shared" si="4"/>
        <v/>
      </c>
      <c r="R1236" s="22" t="str">
        <f>IFERROR(__xludf.DUMMYFUNCTION("GOOGLEFINANCE(B1236, ""pe"")
"),"#N/A")</f>
        <v>#N/A</v>
      </c>
    </row>
    <row r="1237">
      <c r="A1237" s="9" t="s">
        <v>1247</v>
      </c>
      <c r="B1237" s="11" t="str">
        <f t="shared" si="1"/>
        <v>NSE:SATIA</v>
      </c>
      <c r="C1237" s="12">
        <f>IFERROR(__xludf.DUMMYFUNCTION("GOOGLEFINANCE(B1237,""marketcap"")/10000000"),862.0999908)</f>
        <v>862.0999908</v>
      </c>
      <c r="D1237" s="13">
        <f>IFERROR(__xludf.DUMMYFUNCTION("GOOGLEFINANCE(B1237,""price"")"),86.1)</f>
        <v>86.1</v>
      </c>
      <c r="E1237" s="14">
        <f>IFERROR(__xludf.DUMMYFUNCTION("GOOGLEFINANCE(B1237,""Volume"")"),47991.0)</f>
        <v>47991</v>
      </c>
      <c r="F1237" s="14">
        <f t="array" ref="F1237">F1236</f>
        <v>14</v>
      </c>
      <c r="G1237" s="15" t="str">
        <f>IFERROR(__xludf.DUMMYFUNCTION("IF(E1237&gt;AVERAGE(INDEX(GOOGLEFINANCE(B1237,""volume"",WORKDAY(TODAY(),-$F$1),TODAY()),,2)),""Breakout"","""")"),"")</f>
        <v/>
      </c>
      <c r="H1237" s="16">
        <f>IFERROR(__xludf.DUMMYFUNCTION("GOOGLEFINANCE(B1237,""price"")"),86.1)</f>
        <v>86.1</v>
      </c>
      <c r="I1237" s="17">
        <f>IFERROR(__xludf.DUMMYFUNCTION("AVERAGE(QUERY(SORT(GOOGLEFINANCE(B1237,""price"",TODAY()-365,TODAY()),1,0),""select Col2 limit 10""))"),88.424)</f>
        <v>88.424</v>
      </c>
      <c r="J1237" s="17">
        <f>IFERROR(__xludf.DUMMYFUNCTION("AVERAGE(QUERY(SORT(GOOGLEFINANCE(B1237,""price"",TODAY()-365,TODAY()),1,0),""select Col2 limit 30""))"),87.88433333333334)</f>
        <v>87.88433333</v>
      </c>
      <c r="K1237" s="18">
        <f>IFERROR(__xludf.DUMMYFUNCTION("AVERAGE(QUERY(SORT(GOOGLEFINANCE(B1237,""price"",TODAY()-365,TODAY()),1,0),""select Col2 limit 60""))"),82.78733333333335)</f>
        <v>82.78733333</v>
      </c>
      <c r="L1237" s="17">
        <f>IFERROR(__xludf.DUMMYFUNCTION("AVERAGE(QUERY(SORT(GOOGLEFINANCE(B1237,""price"",TODAY()-365,TODAY()),1,0),""select Col2 limit 90""))"),79.0298888888889)</f>
        <v>79.02988889</v>
      </c>
      <c r="M1237" s="17">
        <f>IFERROR(__xludf.DUMMYFUNCTION("AVERAGE(QUERY(SORT(GOOGLEFINANCE(B1237,""price"",TODAY()-365,TODAY()),1,0),""select Col2 limit 120""))"),78.80433333333333)</f>
        <v>78.80433333</v>
      </c>
      <c r="N1237" s="19">
        <f>IFERROR(__xludf.DUMMYFUNCTION("AVERAGE(QUERY(SORT(GOOGLEFINANCE(B1237,""price"",TODAY()-365,TODAY()),1,0),""select Col2 limit 200""))"),87.87964999999997)</f>
        <v>87.87965</v>
      </c>
      <c r="O1237" s="20" t="str">
        <f t="shared" si="2"/>
        <v>Avoid</v>
      </c>
      <c r="P1237" s="21" t="str">
        <f t="shared" si="3"/>
        <v/>
      </c>
      <c r="Q1237" s="21" t="str">
        <f t="shared" si="4"/>
        <v/>
      </c>
      <c r="R1237" s="22">
        <f>IFERROR(__xludf.DUMMYFUNCTION("GOOGLEFINANCE(B1237, ""pe"")
"),7.25)</f>
        <v>7.25</v>
      </c>
    </row>
    <row r="1238">
      <c r="A1238" s="9" t="s">
        <v>1248</v>
      </c>
      <c r="B1238" s="11" t="str">
        <f t="shared" si="1"/>
        <v>NSE:STEELCAS</v>
      </c>
      <c r="C1238" s="12">
        <f>IFERROR(__xludf.DUMMYFUNCTION("GOOGLEFINANCE(B1238,""marketcap"")/10000000"),2455.9216494)</f>
        <v>2455.921649</v>
      </c>
      <c r="D1238" s="13">
        <f>IFERROR(__xludf.DUMMYFUNCTION("GOOGLEFINANCE(B1238,""price"")"),1210.0)</f>
        <v>1210</v>
      </c>
      <c r="E1238" s="14">
        <f>IFERROR(__xludf.DUMMYFUNCTION("GOOGLEFINANCE(B1238,""Volume"")"),15985.0)</f>
        <v>15985</v>
      </c>
      <c r="F1238" s="14">
        <f t="array" ref="F1238">F1237</f>
        <v>14</v>
      </c>
      <c r="G1238" s="15" t="str">
        <f>IFERROR(__xludf.DUMMYFUNCTION("IF(E1238&gt;AVERAGE(INDEX(GOOGLEFINANCE(B1238,""volume"",WORKDAY(TODAY(),-$F$1),TODAY()),,2)),""Breakout"","""")"),"")</f>
        <v/>
      </c>
      <c r="H1238" s="16">
        <f>IFERROR(__xludf.DUMMYFUNCTION("GOOGLEFINANCE(B1238,""price"")"),1210.0)</f>
        <v>1210</v>
      </c>
      <c r="I1238" s="17">
        <f>IFERROR(__xludf.DUMMYFUNCTION("AVERAGE(QUERY(SORT(GOOGLEFINANCE(B1238,""price"",TODAY()-365,TODAY()),1,0),""select Col2 limit 10""))"),1195.97)</f>
        <v>1195.97</v>
      </c>
      <c r="J1238" s="17">
        <f>IFERROR(__xludf.DUMMYFUNCTION("AVERAGE(QUERY(SORT(GOOGLEFINANCE(B1238,""price"",TODAY()-365,TODAY()),1,0),""select Col2 limit 30""))"),1154.88)</f>
        <v>1154.88</v>
      </c>
      <c r="K1238" s="18">
        <f>IFERROR(__xludf.DUMMYFUNCTION("AVERAGE(QUERY(SORT(GOOGLEFINANCE(B1238,""price"",TODAY()-365,TODAY()),1,0),""select Col2 limit 60""))"),1072.3900000000003)</f>
        <v>1072.39</v>
      </c>
      <c r="L1238" s="17">
        <f>IFERROR(__xludf.DUMMYFUNCTION("AVERAGE(QUERY(SORT(GOOGLEFINANCE(B1238,""price"",TODAY()-365,TODAY()),1,0),""select Col2 limit 90""))"),1024.8261111111112)</f>
        <v>1024.826111</v>
      </c>
      <c r="M1238" s="17">
        <f>IFERROR(__xludf.DUMMYFUNCTION("AVERAGE(QUERY(SORT(GOOGLEFINANCE(B1238,""price"",TODAY()-365,TODAY()),1,0),""select Col2 limit 120""))"),983.4287499999998)</f>
        <v>983.42875</v>
      </c>
      <c r="N1238" s="19">
        <f>IFERROR(__xludf.DUMMYFUNCTION("AVERAGE(QUERY(SORT(GOOGLEFINANCE(B1238,""price"",TODAY()-365,TODAY()),1,0),""select Col2 limit 200""))"),918.71725)</f>
        <v>918.71725</v>
      </c>
      <c r="O1238" s="20" t="str">
        <f t="shared" si="2"/>
        <v>Avoid</v>
      </c>
      <c r="P1238" s="21" t="str">
        <f t="shared" si="3"/>
        <v/>
      </c>
      <c r="Q1238" s="21" t="str">
        <f t="shared" si="4"/>
        <v/>
      </c>
      <c r="R1238" s="22">
        <f>IFERROR(__xludf.DUMMYFUNCTION("GOOGLEFINANCE(B1238, ""pe"")
"),34.02)</f>
        <v>34.02</v>
      </c>
    </row>
    <row r="1239">
      <c r="A1239" s="9" t="s">
        <v>1249</v>
      </c>
      <c r="B1239" s="11" t="str">
        <f t="shared" si="1"/>
        <v>NSE:UTTAMSUGAR</v>
      </c>
      <c r="C1239" s="12">
        <f>IFERROR(__xludf.DUMMYFUNCTION("GOOGLEFINANCE(B1239,""marketcap"")/10000000"),1016.1902539)</f>
        <v>1016.190254</v>
      </c>
      <c r="D1239" s="13">
        <f>IFERROR(__xludf.DUMMYFUNCTION("GOOGLEFINANCE(B1239,""price"")"),266.9)</f>
        <v>266.9</v>
      </c>
      <c r="E1239" s="14">
        <f>IFERROR(__xludf.DUMMYFUNCTION("GOOGLEFINANCE(B1239,""Volume"")"),15468.0)</f>
        <v>15468</v>
      </c>
      <c r="F1239" s="14">
        <f t="array" ref="F1239">F1238</f>
        <v>14</v>
      </c>
      <c r="G1239" s="15" t="str">
        <f>IFERROR(__xludf.DUMMYFUNCTION("IF(E1239&gt;AVERAGE(INDEX(GOOGLEFINANCE(B1239,""volume"",WORKDAY(TODAY(),-$F$1),TODAY()),,2)),""Breakout"","""")"),"")</f>
        <v/>
      </c>
      <c r="H1239" s="16">
        <f>IFERROR(__xludf.DUMMYFUNCTION("GOOGLEFINANCE(B1239,""price"")"),266.9)</f>
        <v>266.9</v>
      </c>
      <c r="I1239" s="17">
        <f>IFERROR(__xludf.DUMMYFUNCTION("AVERAGE(QUERY(SORT(GOOGLEFINANCE(B1239,""price"",TODAY()-365,TODAY()),1,0),""select Col2 limit 10""))"),283.21999999999997)</f>
        <v>283.22</v>
      </c>
      <c r="J1239" s="17">
        <f>IFERROR(__xludf.DUMMYFUNCTION("AVERAGE(QUERY(SORT(GOOGLEFINANCE(B1239,""price"",TODAY()-365,TODAY()),1,0),""select Col2 limit 30""))"),290.72)</f>
        <v>290.72</v>
      </c>
      <c r="K1239" s="18">
        <f>IFERROR(__xludf.DUMMYFUNCTION("AVERAGE(QUERY(SORT(GOOGLEFINANCE(B1239,""price"",TODAY()-365,TODAY()),1,0),""select Col2 limit 60""))"),298.5591666666667)</f>
        <v>298.5591667</v>
      </c>
      <c r="L1239" s="17">
        <f>IFERROR(__xludf.DUMMYFUNCTION("AVERAGE(QUERY(SORT(GOOGLEFINANCE(B1239,""price"",TODAY()-365,TODAY()),1,0),""select Col2 limit 90""))"),288.6356666666667)</f>
        <v>288.6356667</v>
      </c>
      <c r="M1239" s="17">
        <f>IFERROR(__xludf.DUMMYFUNCTION("AVERAGE(QUERY(SORT(GOOGLEFINANCE(B1239,""price"",TODAY()-365,TODAY()),1,0),""select Col2 limit 120""))"),266.5803333333333)</f>
        <v>266.5803333</v>
      </c>
      <c r="N1239" s="19">
        <f>IFERROR(__xludf.DUMMYFUNCTION("AVERAGE(QUERY(SORT(GOOGLEFINANCE(B1239,""price"",TODAY()-365,TODAY()),1,0),""select Col2 limit 200""))"),275.40495000000004)</f>
        <v>275.40495</v>
      </c>
      <c r="O1239" s="20" t="str">
        <f t="shared" si="2"/>
        <v>Avoid</v>
      </c>
      <c r="P1239" s="21" t="str">
        <f t="shared" si="3"/>
        <v/>
      </c>
      <c r="Q1239" s="21" t="str">
        <f t="shared" si="4"/>
        <v/>
      </c>
      <c r="R1239" s="22">
        <f>IFERROR(__xludf.DUMMYFUNCTION("GOOGLEFINANCE(B1239, ""pe"")
"),11.52)</f>
        <v>11.52</v>
      </c>
    </row>
    <row r="1240">
      <c r="A1240" s="9" t="s">
        <v>1250</v>
      </c>
      <c r="B1240" s="11" t="str">
        <f t="shared" si="1"/>
        <v>NSE:SPORTKING</v>
      </c>
      <c r="C1240" s="12">
        <f>IFERROR(__xludf.DUMMYFUNCTION("GOOGLEFINANCE(B1240,""marketcap"")/10000000"),1616.228799)</f>
        <v>1616.228799</v>
      </c>
      <c r="D1240" s="13">
        <f>IFERROR(__xludf.DUMMYFUNCTION("GOOGLEFINANCE(B1240,""price"")"),124.55)</f>
        <v>124.55</v>
      </c>
      <c r="E1240" s="14">
        <f>IFERROR(__xludf.DUMMYFUNCTION("GOOGLEFINANCE(B1240,""Volume"")"),319724.0)</f>
        <v>319724</v>
      </c>
      <c r="F1240" s="14">
        <f t="array" ref="F1240">F1239</f>
        <v>14</v>
      </c>
      <c r="G1240" s="15" t="str">
        <f>IFERROR(__xludf.DUMMYFUNCTION("IF(E1240&gt;AVERAGE(INDEX(GOOGLEFINANCE(B1240,""volume"",WORKDAY(TODAY(),-$F$1),TODAY()),,2)),""Breakout"","""")"),"")</f>
        <v/>
      </c>
      <c r="H1240" s="16">
        <f>IFERROR(__xludf.DUMMYFUNCTION("GOOGLEFINANCE(B1240,""price"")"),124.55)</f>
        <v>124.55</v>
      </c>
      <c r="I1240" s="17">
        <f>IFERROR(__xludf.DUMMYFUNCTION("AVERAGE(QUERY(SORT(GOOGLEFINANCE(B1240,""price"",TODAY()-365,TODAY()),1,0),""select Col2 limit 10""))"),128.76500000000001)</f>
        <v>128.765</v>
      </c>
      <c r="J1240" s="17">
        <f>IFERROR(__xludf.DUMMYFUNCTION("AVERAGE(QUERY(SORT(GOOGLEFINANCE(B1240,""price"",TODAY()-365,TODAY()),1,0),""select Col2 limit 30""))"),117.70899999999999)</f>
        <v>117.709</v>
      </c>
      <c r="K1240" s="18">
        <f>IFERROR(__xludf.DUMMYFUNCTION("AVERAGE(QUERY(SORT(GOOGLEFINANCE(B1240,""price"",TODAY()-365,TODAY()),1,0),""select Col2 limit 60""))"),116.01183333333331)</f>
        <v>116.0118333</v>
      </c>
      <c r="L1240" s="17">
        <f>IFERROR(__xludf.DUMMYFUNCTION("AVERAGE(QUERY(SORT(GOOGLEFINANCE(B1240,""price"",TODAY()-365,TODAY()),1,0),""select Col2 limit 90""))"),106.33366666666673)</f>
        <v>106.3336667</v>
      </c>
      <c r="M1240" s="17">
        <f>IFERROR(__xludf.DUMMYFUNCTION("AVERAGE(QUERY(SORT(GOOGLEFINANCE(B1240,""price"",TODAY()-365,TODAY()),1,0),""select Col2 limit 120""))"),100.20125000000006)</f>
        <v>100.20125</v>
      </c>
      <c r="N1240" s="19">
        <f>IFERROR(__xludf.DUMMYFUNCTION("AVERAGE(QUERY(SORT(GOOGLEFINANCE(B1240,""price"",TODAY()-365,TODAY()),1,0),""select Col2 limit 200""))"),102.2658)</f>
        <v>102.2658</v>
      </c>
      <c r="O1240" s="20" t="str">
        <f t="shared" si="2"/>
        <v>Avoid</v>
      </c>
      <c r="P1240" s="21" t="str">
        <f t="shared" si="3"/>
        <v/>
      </c>
      <c r="Q1240" s="21" t="str">
        <f t="shared" si="4"/>
        <v/>
      </c>
      <c r="R1240" s="22">
        <f>IFERROR(__xludf.DUMMYFUNCTION("GOOGLEFINANCE(B1240, ""pe"")
"),14.84)</f>
        <v>14.84</v>
      </c>
    </row>
    <row r="1241">
      <c r="A1241" s="9" t="s">
        <v>1251</v>
      </c>
      <c r="B1241" s="11" t="str">
        <f t="shared" si="1"/>
        <v>NSE:MATRIMONY</v>
      </c>
      <c r="C1241" s="12">
        <f>IFERROR(__xludf.DUMMYFUNCTION("GOOGLEFINANCE(B1241,""marketcap"")/10000000"),1130.811792)</f>
        <v>1130.811792</v>
      </c>
      <c r="D1241" s="13">
        <f>IFERROR(__xludf.DUMMYFUNCTION("GOOGLEFINANCE(B1241,""price"")"),528.0)</f>
        <v>528</v>
      </c>
      <c r="E1241" s="14">
        <f>IFERROR(__xludf.DUMMYFUNCTION("GOOGLEFINANCE(B1241,""Volume"")"),6069.0)</f>
        <v>6069</v>
      </c>
      <c r="F1241" s="14">
        <f t="array" ref="F1241">F1240</f>
        <v>14</v>
      </c>
      <c r="G1241" s="15" t="str">
        <f>IFERROR(__xludf.DUMMYFUNCTION("IF(E1241&gt;AVERAGE(INDEX(GOOGLEFINANCE(B1241,""volume"",WORKDAY(TODAY(),-$F$1),TODAY()),,2)),""Breakout"","""")"),"#N/A")</f>
        <v>#N/A</v>
      </c>
      <c r="H1241" s="16">
        <f>IFERROR(__xludf.DUMMYFUNCTION("GOOGLEFINANCE(B1241,""price"")"),528.0)</f>
        <v>528</v>
      </c>
      <c r="I1241" s="17">
        <f>IFERROR(__xludf.DUMMYFUNCTION("AVERAGE(QUERY(SORT(GOOGLEFINANCE(B1241,""price"",TODAY()-365,TODAY()),1,0),""select Col2 limit 10""))"),528.8900000000001)</f>
        <v>528.89</v>
      </c>
      <c r="J1241" s="17">
        <f>IFERROR(__xludf.DUMMYFUNCTION("AVERAGE(QUERY(SORT(GOOGLEFINANCE(B1241,""price"",TODAY()-365,TODAY()),1,0),""select Col2 limit 30""))"),531.1166666666667)</f>
        <v>531.1166667</v>
      </c>
      <c r="K1241" s="18">
        <f>IFERROR(__xludf.DUMMYFUNCTION("AVERAGE(QUERY(SORT(GOOGLEFINANCE(B1241,""price"",TODAY()-365,TODAY()),1,0),""select Col2 limit 60""))"),517.8566666666668)</f>
        <v>517.8566667</v>
      </c>
      <c r="L1241" s="17">
        <f>IFERROR(__xludf.DUMMYFUNCTION("AVERAGE(QUERY(SORT(GOOGLEFINANCE(B1241,""price"",TODAY()-365,TODAY()),1,0),""select Col2 limit 90""))"),516.6711111111113)</f>
        <v>516.6711111</v>
      </c>
      <c r="M1241" s="17">
        <f>IFERROR(__xludf.DUMMYFUNCTION("AVERAGE(QUERY(SORT(GOOGLEFINANCE(B1241,""price"",TODAY()-365,TODAY()),1,0),""select Col2 limit 120""))"),524.0791666666668)</f>
        <v>524.0791667</v>
      </c>
      <c r="N1241" s="19">
        <f>IFERROR(__xludf.DUMMYFUNCTION("AVERAGE(QUERY(SORT(GOOGLEFINANCE(B1241,""price"",TODAY()-365,TODAY()),1,0),""select Col2 limit 200""))"),594.5377500000002)</f>
        <v>594.53775</v>
      </c>
      <c r="O1241" s="20" t="str">
        <f t="shared" si="2"/>
        <v>Avoid</v>
      </c>
      <c r="P1241" s="21" t="str">
        <f t="shared" si="3"/>
        <v>10 DMA</v>
      </c>
      <c r="Q1241" s="21" t="str">
        <f t="shared" si="4"/>
        <v/>
      </c>
      <c r="R1241" s="22">
        <f>IFERROR(__xludf.DUMMYFUNCTION("GOOGLEFINANCE(B1241, ""pe"")
"),25.66)</f>
        <v>25.66</v>
      </c>
    </row>
    <row r="1242">
      <c r="A1242" s="9" t="s">
        <v>1252</v>
      </c>
      <c r="B1242" s="11" t="str">
        <f t="shared" si="1"/>
        <v>NSE:NELCAST</v>
      </c>
      <c r="C1242" s="12">
        <f>IFERROR(__xludf.DUMMYFUNCTION("GOOGLEFINANCE(B1242,""marketcap"")/10000000"),1359.132757)</f>
        <v>1359.132757</v>
      </c>
      <c r="D1242" s="13">
        <f>IFERROR(__xludf.DUMMYFUNCTION("GOOGLEFINANCE(B1242,""price"")"),156.15)</f>
        <v>156.15</v>
      </c>
      <c r="E1242" s="14">
        <f>IFERROR(__xludf.DUMMYFUNCTION("GOOGLEFINANCE(B1242,""Volume"")"),88107.0)</f>
        <v>88107</v>
      </c>
      <c r="F1242" s="14">
        <f t="array" ref="F1242">F1241</f>
        <v>14</v>
      </c>
      <c r="G1242" s="15" t="str">
        <f>IFERROR(__xludf.DUMMYFUNCTION("IF(E1242&gt;AVERAGE(INDEX(GOOGLEFINANCE(B1242,""volume"",WORKDAY(TODAY(),-$F$1),TODAY()),,2)),""Breakout"","""")"),"")</f>
        <v/>
      </c>
      <c r="H1242" s="16">
        <f>IFERROR(__xludf.DUMMYFUNCTION("GOOGLEFINANCE(B1242,""price"")"),156.15)</f>
        <v>156.15</v>
      </c>
      <c r="I1242" s="17">
        <f>IFERROR(__xludf.DUMMYFUNCTION("AVERAGE(QUERY(SORT(GOOGLEFINANCE(B1242,""price"",TODAY()-365,TODAY()),1,0),""select Col2 limit 10""))"),151.519)</f>
        <v>151.519</v>
      </c>
      <c r="J1242" s="17">
        <f>IFERROR(__xludf.DUMMYFUNCTION("AVERAGE(QUERY(SORT(GOOGLEFINANCE(B1242,""price"",TODAY()-365,TODAY()),1,0),""select Col2 limit 30""))"),145.52866666666665)</f>
        <v>145.5286667</v>
      </c>
      <c r="K1242" s="18">
        <f>IFERROR(__xludf.DUMMYFUNCTION("AVERAGE(QUERY(SORT(GOOGLEFINANCE(B1242,""price"",TODAY()-365,TODAY()),1,0),""select Col2 limit 60""))"),132.9125)</f>
        <v>132.9125</v>
      </c>
      <c r="L1242" s="17">
        <f>IFERROR(__xludf.DUMMYFUNCTION("AVERAGE(QUERY(SORT(GOOGLEFINANCE(B1242,""price"",TODAY()-365,TODAY()),1,0),""select Col2 limit 90""))"),117.99988888888885)</f>
        <v>117.9998889</v>
      </c>
      <c r="M1242" s="17">
        <f>IFERROR(__xludf.DUMMYFUNCTION("AVERAGE(QUERY(SORT(GOOGLEFINANCE(B1242,""price"",TODAY()-365,TODAY()),1,0),""select Col2 limit 120""))"),113.63208333333331)</f>
        <v>113.6320833</v>
      </c>
      <c r="N1242" s="19">
        <f>IFERROR(__xludf.DUMMYFUNCTION("AVERAGE(QUERY(SORT(GOOGLEFINANCE(B1242,""price"",TODAY()-365,TODAY()),1,0),""select Col2 limit 200""))"),115.93970000000002)</f>
        <v>115.9397</v>
      </c>
      <c r="O1242" s="20" t="str">
        <f t="shared" si="2"/>
        <v>Avoid</v>
      </c>
      <c r="P1242" s="21" t="str">
        <f t="shared" si="3"/>
        <v/>
      </c>
      <c r="Q1242" s="21" t="str">
        <f t="shared" si="4"/>
        <v/>
      </c>
      <c r="R1242" s="22">
        <f>IFERROR(__xludf.DUMMYFUNCTION("GOOGLEFINANCE(B1242, ""pe"")
"),36.43)</f>
        <v>36.43</v>
      </c>
    </row>
    <row r="1243">
      <c r="A1243" s="9" t="s">
        <v>1253</v>
      </c>
      <c r="B1243" s="11" t="str">
        <f t="shared" si="1"/>
        <v>NSE:DVL</v>
      </c>
      <c r="C1243" s="12">
        <f>IFERROR(__xludf.DUMMYFUNCTION("GOOGLEFINANCE(B1243,""marketcap"")/10000000"),1218.3955015)</f>
        <v>1218.395502</v>
      </c>
      <c r="D1243" s="13">
        <f>IFERROR(__xludf.DUMMYFUNCTION("GOOGLEFINANCE(B1243,""price"")"),348.0)</f>
        <v>348</v>
      </c>
      <c r="E1243" s="14">
        <f>IFERROR(__xludf.DUMMYFUNCTION("GOOGLEFINANCE(B1243,""Volume"")"),58809.0)</f>
        <v>58809</v>
      </c>
      <c r="F1243" s="14">
        <f t="array" ref="F1243">F1242</f>
        <v>14</v>
      </c>
      <c r="G1243" s="15" t="str">
        <f>IFERROR(__xludf.DUMMYFUNCTION("IF(E1243&gt;AVERAGE(INDEX(GOOGLEFINANCE(B1243,""volume"",WORKDAY(TODAY(),-$F$1),TODAY()),,2)),""Breakout"","""")"),"Breakout")</f>
        <v>Breakout</v>
      </c>
      <c r="H1243" s="16">
        <f>IFERROR(__xludf.DUMMYFUNCTION("GOOGLEFINANCE(B1243,""price"")"),348.0)</f>
        <v>348</v>
      </c>
      <c r="I1243" s="17">
        <f>IFERROR(__xludf.DUMMYFUNCTION("AVERAGE(QUERY(SORT(GOOGLEFINANCE(B1243,""price"",TODAY()-365,TODAY()),1,0),""select Col2 limit 10""))"),351.03000000000003)</f>
        <v>351.03</v>
      </c>
      <c r="J1243" s="17">
        <f>IFERROR(__xludf.DUMMYFUNCTION("AVERAGE(QUERY(SORT(GOOGLEFINANCE(B1243,""price"",TODAY()-365,TODAY()),1,0),""select Col2 limit 30""))"),343.58833333333325)</f>
        <v>343.5883333</v>
      </c>
      <c r="K1243" s="18">
        <f>IFERROR(__xludf.DUMMYFUNCTION("AVERAGE(QUERY(SORT(GOOGLEFINANCE(B1243,""price"",TODAY()-365,TODAY()),1,0),""select Col2 limit 60""))"),342.8683333333333)</f>
        <v>342.8683333</v>
      </c>
      <c r="L1243" s="17">
        <f>IFERROR(__xludf.DUMMYFUNCTION("AVERAGE(QUERY(SORT(GOOGLEFINANCE(B1243,""price"",TODAY()-365,TODAY()),1,0),""select Col2 limit 90""))"),341.57333333333327)</f>
        <v>341.5733333</v>
      </c>
      <c r="M1243" s="17">
        <f>IFERROR(__xludf.DUMMYFUNCTION("AVERAGE(QUERY(SORT(GOOGLEFINANCE(B1243,""price"",TODAY()-365,TODAY()),1,0),""select Col2 limit 120""))"),339.7516666666667)</f>
        <v>339.7516667</v>
      </c>
      <c r="N1243" s="19">
        <f>IFERROR(__xludf.DUMMYFUNCTION("AVERAGE(QUERY(SORT(GOOGLEFINANCE(B1243,""price"",TODAY()-365,TODAY()),1,0),""select Col2 limit 200""))"),365.68075000000005)</f>
        <v>365.68075</v>
      </c>
      <c r="O1243" s="20" t="str">
        <f t="shared" si="2"/>
        <v>Avoid</v>
      </c>
      <c r="P1243" s="21" t="str">
        <f t="shared" si="3"/>
        <v>10 DMA</v>
      </c>
      <c r="Q1243" s="21" t="str">
        <f t="shared" si="4"/>
        <v/>
      </c>
      <c r="R1243" s="22" t="str">
        <f>IFERROR(__xludf.DUMMYFUNCTION("GOOGLEFINANCE(B1243, ""pe"")
"),"#N/A")</f>
        <v>#N/A</v>
      </c>
    </row>
    <row r="1244">
      <c r="A1244" s="9" t="s">
        <v>1254</v>
      </c>
      <c r="B1244" s="11" t="str">
        <f t="shared" si="1"/>
        <v>NSE:LINCOLN</v>
      </c>
      <c r="C1244" s="12">
        <f>IFERROR(__xludf.DUMMYFUNCTION("GOOGLEFINANCE(B1244,""marketcap"")/10000000"),1083.607311)</f>
        <v>1083.607311</v>
      </c>
      <c r="D1244" s="13">
        <f>IFERROR(__xludf.DUMMYFUNCTION("GOOGLEFINANCE(B1244,""price"")"),541.95)</f>
        <v>541.95</v>
      </c>
      <c r="E1244" s="14">
        <f>IFERROR(__xludf.DUMMYFUNCTION("GOOGLEFINANCE(B1244,""Volume"")"),7783.0)</f>
        <v>7783</v>
      </c>
      <c r="F1244" s="14">
        <f t="array" ref="F1244">F1243</f>
        <v>14</v>
      </c>
      <c r="G1244" s="15" t="str">
        <f>IFERROR(__xludf.DUMMYFUNCTION("IF(E1244&gt;AVERAGE(INDEX(GOOGLEFINANCE(B1244,""volume"",WORKDAY(TODAY(),-$F$1),TODAY()),,2)),""Breakout"","""")"),"")</f>
        <v/>
      </c>
      <c r="H1244" s="16">
        <f>IFERROR(__xludf.DUMMYFUNCTION("GOOGLEFINANCE(B1244,""price"")"),541.95)</f>
        <v>541.95</v>
      </c>
      <c r="I1244" s="17">
        <f>IFERROR(__xludf.DUMMYFUNCTION("AVERAGE(QUERY(SORT(GOOGLEFINANCE(B1244,""price"",TODAY()-365,TODAY()),1,0),""select Col2 limit 10""))"),554.5449999999998)</f>
        <v>554.545</v>
      </c>
      <c r="J1244" s="17">
        <f>IFERROR(__xludf.DUMMYFUNCTION("AVERAGE(QUERY(SORT(GOOGLEFINANCE(B1244,""price"",TODAY()-365,TODAY()),1,0),""select Col2 limit 30""))"),560.7216666666667)</f>
        <v>560.7216667</v>
      </c>
      <c r="K1244" s="18">
        <f>IFERROR(__xludf.DUMMYFUNCTION("AVERAGE(QUERY(SORT(GOOGLEFINANCE(B1244,""price"",TODAY()-365,TODAY()),1,0),""select Col2 limit 60""))"),566.0358333333334)</f>
        <v>566.0358333</v>
      </c>
      <c r="L1244" s="17">
        <f>IFERROR(__xludf.DUMMYFUNCTION("AVERAGE(QUERY(SORT(GOOGLEFINANCE(B1244,""price"",TODAY()-365,TODAY()),1,0),""select Col2 limit 90""))"),564.747222222222)</f>
        <v>564.7472222</v>
      </c>
      <c r="M1244" s="17">
        <f>IFERROR(__xludf.DUMMYFUNCTION("AVERAGE(QUERY(SORT(GOOGLEFINANCE(B1244,""price"",TODAY()-365,TODAY()),1,0),""select Col2 limit 120""))"),576.8537499999999)</f>
        <v>576.85375</v>
      </c>
      <c r="N1244" s="19">
        <f>IFERROR(__xludf.DUMMYFUNCTION("AVERAGE(QUERY(SORT(GOOGLEFINANCE(B1244,""price"",TODAY()-365,TODAY()),1,0),""select Col2 limit 200""))"),641.9882499999999)</f>
        <v>641.98825</v>
      </c>
      <c r="O1244" s="20" t="str">
        <f t="shared" si="2"/>
        <v>Avoid</v>
      </c>
      <c r="P1244" s="21" t="str">
        <f t="shared" si="3"/>
        <v/>
      </c>
      <c r="Q1244" s="21" t="str">
        <f t="shared" si="4"/>
        <v/>
      </c>
      <c r="R1244" s="22">
        <f>IFERROR(__xludf.DUMMYFUNCTION("GOOGLEFINANCE(B1244, ""pe"")
"),13.15)</f>
        <v>13.15</v>
      </c>
    </row>
    <row r="1245">
      <c r="A1245" s="9" t="s">
        <v>1255</v>
      </c>
      <c r="B1245" s="11" t="str">
        <f t="shared" si="1"/>
        <v>NSE:HIRECT</v>
      </c>
      <c r="C1245" s="12">
        <f>IFERROR(__xludf.DUMMYFUNCTION("GOOGLEFINANCE(B1245,""marketcap"")/10000000"),2470.3947617)</f>
        <v>2470.394762</v>
      </c>
      <c r="D1245" s="13">
        <f>IFERROR(__xludf.DUMMYFUNCTION("GOOGLEFINANCE(B1245,""price"")"),1441.6)</f>
        <v>1441.6</v>
      </c>
      <c r="E1245" s="14">
        <f>IFERROR(__xludf.DUMMYFUNCTION("GOOGLEFINANCE(B1245,""Volume"")"),172419.0)</f>
        <v>172419</v>
      </c>
      <c r="F1245" s="14">
        <f t="array" ref="F1245">F1244</f>
        <v>14</v>
      </c>
      <c r="G1245" s="15" t="str">
        <f>IFERROR(__xludf.DUMMYFUNCTION("IF(E1245&gt;AVERAGE(INDEX(GOOGLEFINANCE(B1245,""volume"",WORKDAY(TODAY(),-$F$1),TODAY()),,2)),""Breakout"","""")"),"Breakout")</f>
        <v>Breakout</v>
      </c>
      <c r="H1245" s="16">
        <f>IFERROR(__xludf.DUMMYFUNCTION("GOOGLEFINANCE(B1245,""price"")"),1441.6)</f>
        <v>1441.6</v>
      </c>
      <c r="I1245" s="17">
        <f>IFERROR(__xludf.DUMMYFUNCTION("AVERAGE(QUERY(SORT(GOOGLEFINANCE(B1245,""price"",TODAY()-365,TODAY()),1,0),""select Col2 limit 10""))"),1321.86)</f>
        <v>1321.86</v>
      </c>
      <c r="J1245" s="17">
        <f>IFERROR(__xludf.DUMMYFUNCTION("AVERAGE(QUERY(SORT(GOOGLEFINANCE(B1245,""price"",TODAY()-365,TODAY()),1,0),""select Col2 limit 30""))"),1305.6733333333334)</f>
        <v>1305.673333</v>
      </c>
      <c r="K1245" s="18">
        <f>IFERROR(__xludf.DUMMYFUNCTION("AVERAGE(QUERY(SORT(GOOGLEFINANCE(B1245,""price"",TODAY()-365,TODAY()),1,0),""select Col2 limit 60""))"),1229.3125)</f>
        <v>1229.3125</v>
      </c>
      <c r="L1245" s="17">
        <f>IFERROR(__xludf.DUMMYFUNCTION("AVERAGE(QUERY(SORT(GOOGLEFINANCE(B1245,""price"",TODAY()-365,TODAY()),1,0),""select Col2 limit 90""))"),1134.3433333333337)</f>
        <v>1134.343333</v>
      </c>
      <c r="M1245" s="17">
        <f>IFERROR(__xludf.DUMMYFUNCTION("AVERAGE(QUERY(SORT(GOOGLEFINANCE(B1245,""price"",TODAY()-365,TODAY()),1,0),""select Col2 limit 120""))"),1094.7145833333336)</f>
        <v>1094.714583</v>
      </c>
      <c r="N1245" s="19">
        <f>IFERROR(__xludf.DUMMYFUNCTION("AVERAGE(QUERY(SORT(GOOGLEFINANCE(B1245,""price"",TODAY()-365,TODAY()),1,0),""select Col2 limit 200""))"),1146.048)</f>
        <v>1146.048</v>
      </c>
      <c r="O1245" s="20" t="str">
        <f t="shared" si="2"/>
        <v>Avoid</v>
      </c>
      <c r="P1245" s="21" t="str">
        <f t="shared" si="3"/>
        <v/>
      </c>
      <c r="Q1245" s="21" t="str">
        <f t="shared" si="4"/>
        <v/>
      </c>
      <c r="R1245" s="22">
        <f>IFERROR(__xludf.DUMMYFUNCTION("GOOGLEFINANCE(B1245, ""pe"")
"),66.73)</f>
        <v>66.73</v>
      </c>
    </row>
    <row r="1246">
      <c r="A1246" s="9" t="s">
        <v>1256</v>
      </c>
      <c r="B1246" s="11" t="str">
        <f t="shared" si="1"/>
        <v>NSE:ATL</v>
      </c>
      <c r="C1246" s="12">
        <f>IFERROR(__xludf.DUMMYFUNCTION("GOOGLEFINANCE(B1246,""marketcap"")/10000000"),789.4528519)</f>
        <v>789.4528519</v>
      </c>
      <c r="D1246" s="13">
        <f>IFERROR(__xludf.DUMMYFUNCTION("GOOGLEFINANCE(B1246,""price"")"),31.24)</f>
        <v>31.24</v>
      </c>
      <c r="E1246" s="14">
        <f>IFERROR(__xludf.DUMMYFUNCTION("GOOGLEFINANCE(B1246,""Volume"")"),96662.0)</f>
        <v>96662</v>
      </c>
      <c r="F1246" s="14">
        <f t="array" ref="F1246">F1245</f>
        <v>14</v>
      </c>
      <c r="G1246" s="15" t="str">
        <f>IFERROR(__xludf.DUMMYFUNCTION("IF(E1246&gt;AVERAGE(INDEX(GOOGLEFINANCE(B1246,""volume"",WORKDAY(TODAY(),-$F$1),TODAY()),,2)),""Breakout"","""")"),"")</f>
        <v/>
      </c>
      <c r="H1246" s="16">
        <f>IFERROR(__xludf.DUMMYFUNCTION("GOOGLEFINANCE(B1246,""price"")"),31.24)</f>
        <v>31.24</v>
      </c>
      <c r="I1246" s="17">
        <f>IFERROR(__xludf.DUMMYFUNCTION("AVERAGE(QUERY(SORT(GOOGLEFINANCE(B1246,""price"",TODAY()-365,TODAY()),1,0),""select Col2 limit 10""))"),32.565000000000005)</f>
        <v>32.565</v>
      </c>
      <c r="J1246" s="17">
        <f>IFERROR(__xludf.DUMMYFUNCTION("AVERAGE(QUERY(SORT(GOOGLEFINANCE(B1246,""price"",TODAY()-365,TODAY()),1,0),""select Col2 limit 30""))"),30.057666666666673)</f>
        <v>30.05766667</v>
      </c>
      <c r="K1246" s="18">
        <f>IFERROR(__xludf.DUMMYFUNCTION("AVERAGE(QUERY(SORT(GOOGLEFINANCE(B1246,""price"",TODAY()-365,TODAY()),1,0),""select Col2 limit 60""))"),28.8585)</f>
        <v>28.8585</v>
      </c>
      <c r="L1246" s="17">
        <f>IFERROR(__xludf.DUMMYFUNCTION("AVERAGE(QUERY(SORT(GOOGLEFINANCE(B1246,""price"",TODAY()-365,TODAY()),1,0),""select Col2 limit 90""))"),27.488333333333337)</f>
        <v>27.48833333</v>
      </c>
      <c r="M1246" s="17">
        <f>IFERROR(__xludf.DUMMYFUNCTION("AVERAGE(QUERY(SORT(GOOGLEFINANCE(B1246,""price"",TODAY()-365,TODAY()),1,0),""select Col2 limit 120""))"),28.02241666666667)</f>
        <v>28.02241667</v>
      </c>
      <c r="N1246" s="19">
        <f>IFERROR(__xludf.DUMMYFUNCTION("AVERAGE(QUERY(SORT(GOOGLEFINANCE(B1246,""price"",TODAY()-365,TODAY()),1,0),""select Col2 limit 200""))"),32.35165000000001)</f>
        <v>32.35165</v>
      </c>
      <c r="O1246" s="20" t="str">
        <f t="shared" si="2"/>
        <v>Avoid</v>
      </c>
      <c r="P1246" s="21" t="str">
        <f t="shared" si="3"/>
        <v/>
      </c>
      <c r="Q1246" s="21" t="str">
        <f t="shared" si="4"/>
        <v/>
      </c>
      <c r="R1246" s="22">
        <f>IFERROR(__xludf.DUMMYFUNCTION("GOOGLEFINANCE(B1246, ""pe"")
"),25.24)</f>
        <v>25.24</v>
      </c>
    </row>
    <row r="1247">
      <c r="A1247" s="9" t="s">
        <v>1257</v>
      </c>
      <c r="B1247" s="11" t="str">
        <f t="shared" si="1"/>
        <v>NSE:GULPOLY</v>
      </c>
      <c r="C1247" s="12">
        <f>IFERROR(__xludf.DUMMYFUNCTION("GOOGLEFINANCE(B1247,""marketcap"")/10000000"),1049.0347825)</f>
        <v>1049.034783</v>
      </c>
      <c r="D1247" s="13">
        <f>IFERROR(__xludf.DUMMYFUNCTION("GOOGLEFINANCE(B1247,""price"")"),168.7)</f>
        <v>168.7</v>
      </c>
      <c r="E1247" s="14">
        <f>IFERROR(__xludf.DUMMYFUNCTION("GOOGLEFINANCE(B1247,""Volume"")"),18466.0)</f>
        <v>18466</v>
      </c>
      <c r="F1247" s="14">
        <f t="array" ref="F1247">F1246</f>
        <v>14</v>
      </c>
      <c r="G1247" s="15" t="str">
        <f>IFERROR(__xludf.DUMMYFUNCTION("IF(E1247&gt;AVERAGE(INDEX(GOOGLEFINANCE(B1247,""volume"",WORKDAY(TODAY(),-$F$1),TODAY()),,2)),""Breakout"","""")"),"")</f>
        <v/>
      </c>
      <c r="H1247" s="16">
        <f>IFERROR(__xludf.DUMMYFUNCTION("GOOGLEFINANCE(B1247,""price"")"),168.7)</f>
        <v>168.7</v>
      </c>
      <c r="I1247" s="17">
        <f>IFERROR(__xludf.DUMMYFUNCTION("AVERAGE(QUERY(SORT(GOOGLEFINANCE(B1247,""price"",TODAY()-365,TODAY()),1,0),""select Col2 limit 10""))"),170.60700000000003)</f>
        <v>170.607</v>
      </c>
      <c r="J1247" s="17">
        <f>IFERROR(__xludf.DUMMYFUNCTION("AVERAGE(QUERY(SORT(GOOGLEFINANCE(B1247,""price"",TODAY()-365,TODAY()),1,0),""select Col2 limit 30""))"),174.61366666666666)</f>
        <v>174.6136667</v>
      </c>
      <c r="K1247" s="18">
        <f>IFERROR(__xludf.DUMMYFUNCTION("AVERAGE(QUERY(SORT(GOOGLEFINANCE(B1247,""price"",TODAY()-365,TODAY()),1,0),""select Col2 limit 60""))"),183.59233333333333)</f>
        <v>183.5923333</v>
      </c>
      <c r="L1247" s="17">
        <f>IFERROR(__xludf.DUMMYFUNCTION("AVERAGE(QUERY(SORT(GOOGLEFINANCE(B1247,""price"",TODAY()-365,TODAY()),1,0),""select Col2 limit 90""))"),185.76688888888884)</f>
        <v>185.7668889</v>
      </c>
      <c r="M1247" s="17">
        <f>IFERROR(__xludf.DUMMYFUNCTION("AVERAGE(QUERY(SORT(GOOGLEFINANCE(B1247,""price"",TODAY()-365,TODAY()),1,0),""select Col2 limit 120""))"),183.96191666666667)</f>
        <v>183.9619167</v>
      </c>
      <c r="N1247" s="19">
        <f>IFERROR(__xludf.DUMMYFUNCTION("AVERAGE(QUERY(SORT(GOOGLEFINANCE(B1247,""price"",TODAY()-365,TODAY()),1,0),""select Col2 limit 200""))"),185.9347999999999)</f>
        <v>185.9348</v>
      </c>
      <c r="O1247" s="20" t="str">
        <f t="shared" si="2"/>
        <v>Avoid</v>
      </c>
      <c r="P1247" s="21" t="str">
        <f t="shared" si="3"/>
        <v/>
      </c>
      <c r="Q1247" s="21" t="str">
        <f t="shared" si="4"/>
        <v/>
      </c>
      <c r="R1247" s="22">
        <f>IFERROR(__xludf.DUMMYFUNCTION("GOOGLEFINANCE(B1247, ""pe"")
"),42.71)</f>
        <v>42.71</v>
      </c>
    </row>
    <row r="1248">
      <c r="A1248" s="9" t="s">
        <v>1258</v>
      </c>
      <c r="B1248" s="11" t="str">
        <f t="shared" si="1"/>
        <v>NSE:AVADHSUGAR</v>
      </c>
      <c r="C1248" s="12">
        <f>IFERROR(__xludf.DUMMYFUNCTION("GOOGLEFINANCE(B1248,""marketcap"")/10000000"),912.5396879)</f>
        <v>912.5396879</v>
      </c>
      <c r="D1248" s="13">
        <f>IFERROR(__xludf.DUMMYFUNCTION("GOOGLEFINANCE(B1248,""price"")"),458.0)</f>
        <v>458</v>
      </c>
      <c r="E1248" s="14">
        <f>IFERROR(__xludf.DUMMYFUNCTION("GOOGLEFINANCE(B1248,""Volume"")"),6200.0)</f>
        <v>6200</v>
      </c>
      <c r="F1248" s="14">
        <f t="array" ref="F1248">F1247</f>
        <v>14</v>
      </c>
      <c r="G1248" s="15" t="str">
        <f>IFERROR(__xludf.DUMMYFUNCTION("IF(E1248&gt;AVERAGE(INDEX(GOOGLEFINANCE(B1248,""volume"",WORKDAY(TODAY(),-$F$1),TODAY()),,2)),""Breakout"","""")"),"")</f>
        <v/>
      </c>
      <c r="H1248" s="16">
        <f>IFERROR(__xludf.DUMMYFUNCTION("GOOGLEFINANCE(B1248,""price"")"),458.0)</f>
        <v>458</v>
      </c>
      <c r="I1248" s="17">
        <f>IFERROR(__xludf.DUMMYFUNCTION("AVERAGE(QUERY(SORT(GOOGLEFINANCE(B1248,""price"",TODAY()-365,TODAY()),1,0),""select Col2 limit 10""))"),487.03000000000003)</f>
        <v>487.03</v>
      </c>
      <c r="J1248" s="17">
        <f>IFERROR(__xludf.DUMMYFUNCTION("AVERAGE(QUERY(SORT(GOOGLEFINANCE(B1248,""price"",TODAY()-365,TODAY()),1,0),""select Col2 limit 30""))"),495.5516666666667)</f>
        <v>495.5516667</v>
      </c>
      <c r="K1248" s="18">
        <f>IFERROR(__xludf.DUMMYFUNCTION("AVERAGE(QUERY(SORT(GOOGLEFINANCE(B1248,""price"",TODAY()-365,TODAY()),1,0),""select Col2 limit 60""))"),522.4941666666667)</f>
        <v>522.4941667</v>
      </c>
      <c r="L1248" s="17">
        <f>IFERROR(__xludf.DUMMYFUNCTION("AVERAGE(QUERY(SORT(GOOGLEFINANCE(B1248,""price"",TODAY()-365,TODAY()),1,0),""select Col2 limit 90""))"),507.3583333333334)</f>
        <v>507.3583333</v>
      </c>
      <c r="M1248" s="17">
        <f>IFERROR(__xludf.DUMMYFUNCTION("AVERAGE(QUERY(SORT(GOOGLEFINANCE(B1248,""price"",TODAY()-365,TODAY()),1,0),""select Col2 limit 120""))"),482.0933333333334)</f>
        <v>482.0933333</v>
      </c>
      <c r="N1248" s="19">
        <f>IFERROR(__xludf.DUMMYFUNCTION("AVERAGE(QUERY(SORT(GOOGLEFINANCE(B1248,""price"",TODAY()-365,TODAY()),1,0),""select Col2 limit 200""))"),519.3887500000004)</f>
        <v>519.38875</v>
      </c>
      <c r="O1248" s="20" t="str">
        <f t="shared" si="2"/>
        <v>Avoid</v>
      </c>
      <c r="P1248" s="21" t="str">
        <f t="shared" si="3"/>
        <v/>
      </c>
      <c r="Q1248" s="21" t="str">
        <f t="shared" si="4"/>
        <v/>
      </c>
      <c r="R1248" s="22">
        <f>IFERROR(__xludf.DUMMYFUNCTION("GOOGLEFINANCE(B1248, ""pe"")
"),10.36)</f>
        <v>10.36</v>
      </c>
    </row>
    <row r="1249">
      <c r="A1249" s="9" t="s">
        <v>1259</v>
      </c>
      <c r="B1249" s="11" t="str">
        <f t="shared" si="1"/>
        <v>NSE:SNOWMAN</v>
      </c>
      <c r="C1249" s="12">
        <f>IFERROR(__xludf.DUMMYFUNCTION("GOOGLEFINANCE(B1249,""marketcap"")/10000000"),927.881815)</f>
        <v>927.881815</v>
      </c>
      <c r="D1249" s="13">
        <f>IFERROR(__xludf.DUMMYFUNCTION("GOOGLEFINANCE(B1249,""price"")"),55.72)</f>
        <v>55.72</v>
      </c>
      <c r="E1249" s="14">
        <f>IFERROR(__xludf.DUMMYFUNCTION("GOOGLEFINANCE(B1249,""Volume"")"),192789.0)</f>
        <v>192789</v>
      </c>
      <c r="F1249" s="14">
        <f t="array" ref="F1249">F1248</f>
        <v>14</v>
      </c>
      <c r="G1249" s="15" t="str">
        <f>IFERROR(__xludf.DUMMYFUNCTION("IF(E1249&gt;AVERAGE(INDEX(GOOGLEFINANCE(B1249,""volume"",WORKDAY(TODAY(),-$F$1),TODAY()),,2)),""Breakout"","""")"),"")</f>
        <v/>
      </c>
      <c r="H1249" s="16">
        <f>IFERROR(__xludf.DUMMYFUNCTION("GOOGLEFINANCE(B1249,""price"")"),55.72)</f>
        <v>55.72</v>
      </c>
      <c r="I1249" s="17">
        <f>IFERROR(__xludf.DUMMYFUNCTION("AVERAGE(QUERY(SORT(GOOGLEFINANCE(B1249,""price"",TODAY()-365,TODAY()),1,0),""select Col2 limit 10""))"),58.57800000000001)</f>
        <v>58.578</v>
      </c>
      <c r="J1249" s="17">
        <f>IFERROR(__xludf.DUMMYFUNCTION("AVERAGE(QUERY(SORT(GOOGLEFINANCE(B1249,""price"",TODAY()-365,TODAY()),1,0),""select Col2 limit 30""))"),59.56233333333332)</f>
        <v>59.56233333</v>
      </c>
      <c r="K1249" s="18">
        <f>IFERROR(__xludf.DUMMYFUNCTION("AVERAGE(QUERY(SORT(GOOGLEFINANCE(B1249,""price"",TODAY()-365,TODAY()),1,0),""select Col2 limit 60""))"),57.736166666666655)</f>
        <v>57.73616667</v>
      </c>
      <c r="L1249" s="17">
        <f>IFERROR(__xludf.DUMMYFUNCTION("AVERAGE(QUERY(SORT(GOOGLEFINANCE(B1249,""price"",TODAY()-365,TODAY()),1,0),""select Col2 limit 90""))"),54.77844444444442)</f>
        <v>54.77844444</v>
      </c>
      <c r="M1249" s="17">
        <f>IFERROR(__xludf.DUMMYFUNCTION("AVERAGE(QUERY(SORT(GOOGLEFINANCE(B1249,""price"",TODAY()-365,TODAY()),1,0),""select Col2 limit 120""))"),53.912083333333335)</f>
        <v>53.91208333</v>
      </c>
      <c r="N1249" s="19">
        <f>IFERROR(__xludf.DUMMYFUNCTION("AVERAGE(QUERY(SORT(GOOGLEFINANCE(B1249,""price"",TODAY()-365,TODAY()),1,0),""select Col2 limit 200""))"),60.62495000000003)</f>
        <v>60.62495</v>
      </c>
      <c r="O1249" s="20" t="str">
        <f t="shared" si="2"/>
        <v>Avoid</v>
      </c>
      <c r="P1249" s="21" t="str">
        <f t="shared" si="3"/>
        <v/>
      </c>
      <c r="Q1249" s="21" t="str">
        <f t="shared" si="4"/>
        <v/>
      </c>
      <c r="R1249" s="22">
        <f>IFERROR(__xludf.DUMMYFUNCTION("GOOGLEFINANCE(B1249, ""pe"")
"),164.41)</f>
        <v>164.41</v>
      </c>
    </row>
    <row r="1250">
      <c r="A1250" s="9" t="s">
        <v>1260</v>
      </c>
      <c r="B1250" s="11" t="str">
        <f t="shared" si="1"/>
        <v>NSE:ADSL</v>
      </c>
      <c r="C1250" s="12">
        <f>IFERROR(__xludf.DUMMYFUNCTION("GOOGLEFINANCE(B1250,""marketcap"")/10000000"),939.9179059)</f>
        <v>939.9179059</v>
      </c>
      <c r="D1250" s="13">
        <f>IFERROR(__xludf.DUMMYFUNCTION("GOOGLEFINANCE(B1250,""price"")"),166.55)</f>
        <v>166.55</v>
      </c>
      <c r="E1250" s="14">
        <f>IFERROR(__xludf.DUMMYFUNCTION("GOOGLEFINANCE(B1250,""Volume"")"),113579.0)</f>
        <v>113579</v>
      </c>
      <c r="F1250" s="14">
        <f t="array" ref="F1250">F1249</f>
        <v>14</v>
      </c>
      <c r="G1250" s="15" t="str">
        <f>IFERROR(__xludf.DUMMYFUNCTION("IF(E1250&gt;AVERAGE(INDEX(GOOGLEFINANCE(B1250,""volume"",WORKDAY(TODAY(),-$F$1),TODAY()),,2)),""Breakout"","""")"),"")</f>
        <v/>
      </c>
      <c r="H1250" s="16">
        <f>IFERROR(__xludf.DUMMYFUNCTION("GOOGLEFINANCE(B1250,""price"")"),166.55)</f>
        <v>166.55</v>
      </c>
      <c r="I1250" s="17">
        <f>IFERROR(__xludf.DUMMYFUNCTION("AVERAGE(QUERY(SORT(GOOGLEFINANCE(B1250,""price"",TODAY()-365,TODAY()),1,0),""select Col2 limit 10""))"),179.07099999999997)</f>
        <v>179.071</v>
      </c>
      <c r="J1250" s="17">
        <f>IFERROR(__xludf.DUMMYFUNCTION("AVERAGE(QUERY(SORT(GOOGLEFINANCE(B1250,""price"",TODAY()-365,TODAY()),1,0),""select Col2 limit 30""))"),180.48533333333327)</f>
        <v>180.4853333</v>
      </c>
      <c r="K1250" s="18">
        <f>IFERROR(__xludf.DUMMYFUNCTION("AVERAGE(QUERY(SORT(GOOGLEFINANCE(B1250,""price"",TODAY()-365,TODAY()),1,0),""select Col2 limit 60""))"),187.82266666666666)</f>
        <v>187.8226667</v>
      </c>
      <c r="L1250" s="17">
        <f>IFERROR(__xludf.DUMMYFUNCTION("AVERAGE(QUERY(SORT(GOOGLEFINANCE(B1250,""price"",TODAY()-365,TODAY()),1,0),""select Col2 limit 90""))"),188.92633333333333)</f>
        <v>188.9263333</v>
      </c>
      <c r="M1250" s="17">
        <f>IFERROR(__xludf.DUMMYFUNCTION("AVERAGE(QUERY(SORT(GOOGLEFINANCE(B1250,""price"",TODAY()-365,TODAY()),1,0),""select Col2 limit 120""))"),198.7920833333332)</f>
        <v>198.7920833</v>
      </c>
      <c r="N1250" s="19">
        <f>IFERROR(__xludf.DUMMYFUNCTION("AVERAGE(QUERY(SORT(GOOGLEFINANCE(B1250,""price"",TODAY()-365,TODAY()),1,0),""select Col2 limit 200""))"),222.53674999999984)</f>
        <v>222.53675</v>
      </c>
      <c r="O1250" s="20" t="str">
        <f t="shared" si="2"/>
        <v>Avoid</v>
      </c>
      <c r="P1250" s="21" t="str">
        <f t="shared" si="3"/>
        <v/>
      </c>
      <c r="Q1250" s="21" t="str">
        <f t="shared" si="4"/>
        <v/>
      </c>
      <c r="R1250" s="22">
        <f>IFERROR(__xludf.DUMMYFUNCTION("GOOGLEFINANCE(B1250, ""pe"")
"),33.92)</f>
        <v>33.92</v>
      </c>
    </row>
    <row r="1251">
      <c r="A1251" s="9" t="s">
        <v>1261</v>
      </c>
      <c r="B1251" s="11" t="str">
        <f t="shared" si="1"/>
        <v>NSE:ICEMAKE</v>
      </c>
      <c r="C1251" s="12">
        <f>IFERROR(__xludf.DUMMYFUNCTION("GOOGLEFINANCE(B1251,""marketcap"")/10000000"),1234.6849931)</f>
        <v>1234.684993</v>
      </c>
      <c r="D1251" s="13">
        <f>IFERROR(__xludf.DUMMYFUNCTION("GOOGLEFINANCE(B1251,""price"")"),782.8)</f>
        <v>782.8</v>
      </c>
      <c r="E1251" s="14">
        <f>IFERROR(__xludf.DUMMYFUNCTION("GOOGLEFINANCE(B1251,""Volume"")"),7783.0)</f>
        <v>7783</v>
      </c>
      <c r="F1251" s="14">
        <f t="array" ref="F1251">F1250</f>
        <v>14</v>
      </c>
      <c r="G1251" s="15" t="str">
        <f>IFERROR(__xludf.DUMMYFUNCTION("IF(E1251&gt;AVERAGE(INDEX(GOOGLEFINANCE(B1251,""volume"",WORKDAY(TODAY(),-$F$1),TODAY()),,2)),""Breakout"","""")"),"")</f>
        <v/>
      </c>
      <c r="H1251" s="16">
        <f>IFERROR(__xludf.DUMMYFUNCTION("GOOGLEFINANCE(B1251,""price"")"),782.8)</f>
        <v>782.8</v>
      </c>
      <c r="I1251" s="17">
        <f>IFERROR(__xludf.DUMMYFUNCTION("AVERAGE(QUERY(SORT(GOOGLEFINANCE(B1251,""price"",TODAY()-365,TODAY()),1,0),""select Col2 limit 10""))"),798.19)</f>
        <v>798.19</v>
      </c>
      <c r="J1251" s="17">
        <f>IFERROR(__xludf.DUMMYFUNCTION("AVERAGE(QUERY(SORT(GOOGLEFINANCE(B1251,""price"",TODAY()-365,TODAY()),1,0),""select Col2 limit 30""))"),789.9233333333333)</f>
        <v>789.9233333</v>
      </c>
      <c r="K1251" s="18">
        <f>IFERROR(__xludf.DUMMYFUNCTION("AVERAGE(QUERY(SORT(GOOGLEFINANCE(B1251,""price"",TODAY()-365,TODAY()),1,0),""select Col2 limit 60""))"),813.7408333333334)</f>
        <v>813.7408333</v>
      </c>
      <c r="L1251" s="17">
        <f>IFERROR(__xludf.DUMMYFUNCTION("AVERAGE(QUERY(SORT(GOOGLEFINANCE(B1251,""price"",TODAY()-365,TODAY()),1,0),""select Col2 limit 90""))"),847.0405555555557)</f>
        <v>847.0405556</v>
      </c>
      <c r="M1251" s="17">
        <f>IFERROR(__xludf.DUMMYFUNCTION("AVERAGE(QUERY(SORT(GOOGLEFINANCE(B1251,""price"",TODAY()-365,TODAY()),1,0),""select Col2 limit 120""))"),812.9720833333337)</f>
        <v>812.9720833</v>
      </c>
      <c r="N1251" s="19">
        <f>IFERROR(__xludf.DUMMYFUNCTION("AVERAGE(QUERY(SORT(GOOGLEFINANCE(B1251,""price"",TODAY()-365,TODAY()),1,0),""select Col2 limit 200""))"),803.5222500000001)</f>
        <v>803.52225</v>
      </c>
      <c r="O1251" s="20" t="str">
        <f t="shared" si="2"/>
        <v>Avoid</v>
      </c>
      <c r="P1251" s="21" t="str">
        <f t="shared" si="3"/>
        <v>30 DMA</v>
      </c>
      <c r="Q1251" s="21" t="str">
        <f t="shared" si="4"/>
        <v/>
      </c>
      <c r="R1251" s="22">
        <f>IFERROR(__xludf.DUMMYFUNCTION("GOOGLEFINANCE(B1251, ""pe"")
"),53.41)</f>
        <v>53.41</v>
      </c>
    </row>
    <row r="1252">
      <c r="A1252" s="9" t="s">
        <v>1262</v>
      </c>
      <c r="B1252" s="11" t="str">
        <f t="shared" si="1"/>
        <v>NSE:CENTENKA</v>
      </c>
      <c r="C1252" s="12">
        <f>IFERROR(__xludf.DUMMYFUNCTION("GOOGLEFINANCE(B1252,""marketcap"")/10000000"),1092.5285)</f>
        <v>1092.5285</v>
      </c>
      <c r="D1252" s="13">
        <f>IFERROR(__xludf.DUMMYFUNCTION("GOOGLEFINANCE(B1252,""price"")"),500.0)</f>
        <v>500</v>
      </c>
      <c r="E1252" s="14">
        <f>IFERROR(__xludf.DUMMYFUNCTION("GOOGLEFINANCE(B1252,""Volume"")"),15671.0)</f>
        <v>15671</v>
      </c>
      <c r="F1252" s="14">
        <f t="array" ref="F1252">F1251</f>
        <v>14</v>
      </c>
      <c r="G1252" s="15" t="str">
        <f>IFERROR(__xludf.DUMMYFUNCTION("IF(E1252&gt;AVERAGE(INDEX(GOOGLEFINANCE(B1252,""volume"",WORKDAY(TODAY(),-$F$1),TODAY()),,2)),""Breakout"","""")"),"")</f>
        <v/>
      </c>
      <c r="H1252" s="16">
        <f>IFERROR(__xludf.DUMMYFUNCTION("GOOGLEFINANCE(B1252,""price"")"),500.0)</f>
        <v>500</v>
      </c>
      <c r="I1252" s="17">
        <f>IFERROR(__xludf.DUMMYFUNCTION("AVERAGE(QUERY(SORT(GOOGLEFINANCE(B1252,""price"",TODAY()-365,TODAY()),1,0),""select Col2 limit 10""))"),519.705)</f>
        <v>519.705</v>
      </c>
      <c r="J1252" s="17">
        <f>IFERROR(__xludf.DUMMYFUNCTION("AVERAGE(QUERY(SORT(GOOGLEFINANCE(B1252,""price"",TODAY()-365,TODAY()),1,0),""select Col2 limit 30""))"),510.84666666666664)</f>
        <v>510.8466667</v>
      </c>
      <c r="K1252" s="18">
        <f>IFERROR(__xludf.DUMMYFUNCTION("AVERAGE(QUERY(SORT(GOOGLEFINANCE(B1252,""price"",TODAY()-365,TODAY()),1,0),""select Col2 limit 60""))"),485.73333333333335)</f>
        <v>485.7333333</v>
      </c>
      <c r="L1252" s="17">
        <f>IFERROR(__xludf.DUMMYFUNCTION("AVERAGE(QUERY(SORT(GOOGLEFINANCE(B1252,""price"",TODAY()-365,TODAY()),1,0),""select Col2 limit 90""))"),499.481111111111)</f>
        <v>499.4811111</v>
      </c>
      <c r="M1252" s="17">
        <f>IFERROR(__xludf.DUMMYFUNCTION("AVERAGE(QUERY(SORT(GOOGLEFINANCE(B1252,""price"",TODAY()-365,TODAY()),1,0),""select Col2 limit 120""))"),503.33249999999987)</f>
        <v>503.3325</v>
      </c>
      <c r="N1252" s="19">
        <f>IFERROR(__xludf.DUMMYFUNCTION("AVERAGE(QUERY(SORT(GOOGLEFINANCE(B1252,""price"",TODAY()-365,TODAY()),1,0),""select Col2 limit 200""))"),550.40875)</f>
        <v>550.40875</v>
      </c>
      <c r="O1252" s="20" t="str">
        <f t="shared" si="2"/>
        <v>Avoid</v>
      </c>
      <c r="P1252" s="21" t="str">
        <f t="shared" si="3"/>
        <v>120 DMA</v>
      </c>
      <c r="Q1252" s="21" t="str">
        <f t="shared" si="4"/>
        <v/>
      </c>
      <c r="R1252" s="22">
        <f>IFERROR(__xludf.DUMMYFUNCTION("GOOGLEFINANCE(B1252, ""pe"")
"),16.48)</f>
        <v>16.48</v>
      </c>
    </row>
    <row r="1253">
      <c r="A1253" s="9" t="s">
        <v>1263</v>
      </c>
      <c r="B1253" s="11" t="str">
        <f t="shared" si="1"/>
        <v>NSE:SHALPAINTS</v>
      </c>
      <c r="C1253" s="12">
        <f>IFERROR(__xludf.DUMMYFUNCTION("GOOGLEFINANCE(B1253,""marketcap"")/10000000"),703.0901829)</f>
        <v>703.0901829</v>
      </c>
      <c r="D1253" s="13">
        <f>IFERROR(__xludf.DUMMYFUNCTION("GOOGLEFINANCE(B1253,""price"")"),83.75)</f>
        <v>83.75</v>
      </c>
      <c r="E1253" s="14">
        <f>IFERROR(__xludf.DUMMYFUNCTION("GOOGLEFINANCE(B1253,""Volume"")"),324754.0)</f>
        <v>324754</v>
      </c>
      <c r="F1253" s="14">
        <f t="array" ref="F1253">F1252</f>
        <v>14</v>
      </c>
      <c r="G1253" s="15" t="str">
        <f>IFERROR(__xludf.DUMMYFUNCTION("IF(E1253&gt;AVERAGE(INDEX(GOOGLEFINANCE(B1253,""volume"",WORKDAY(TODAY(),-$F$1),TODAY()),,2)),""Breakout"","""")"),"Breakout")</f>
        <v>Breakout</v>
      </c>
      <c r="H1253" s="16">
        <f>IFERROR(__xludf.DUMMYFUNCTION("GOOGLEFINANCE(B1253,""price"")"),83.75)</f>
        <v>83.75</v>
      </c>
      <c r="I1253" s="17">
        <f>IFERROR(__xludf.DUMMYFUNCTION("AVERAGE(QUERY(SORT(GOOGLEFINANCE(B1253,""price"",TODAY()-365,TODAY()),1,0),""select Col2 limit 10""))"),94.75800000000001)</f>
        <v>94.758</v>
      </c>
      <c r="J1253" s="17">
        <f>IFERROR(__xludf.DUMMYFUNCTION("AVERAGE(QUERY(SORT(GOOGLEFINANCE(B1253,""price"",TODAY()-365,TODAY()),1,0),""select Col2 limit 30""))"),96.12666666666665)</f>
        <v>96.12666667</v>
      </c>
      <c r="K1253" s="18">
        <f>IFERROR(__xludf.DUMMYFUNCTION("AVERAGE(QUERY(SORT(GOOGLEFINANCE(B1253,""price"",TODAY()-365,TODAY()),1,0),""select Col2 limit 60""))"),98.45233333333333)</f>
        <v>98.45233333</v>
      </c>
      <c r="L1253" s="17">
        <f>IFERROR(__xludf.DUMMYFUNCTION("AVERAGE(QUERY(SORT(GOOGLEFINANCE(B1253,""price"",TODAY()-365,TODAY()),1,0),""select Col2 limit 90""))"),101.07499999999997)</f>
        <v>101.075</v>
      </c>
      <c r="M1253" s="17">
        <f>IFERROR(__xludf.DUMMYFUNCTION("AVERAGE(QUERY(SORT(GOOGLEFINANCE(B1253,""price"",TODAY()-365,TODAY()),1,0),""select Col2 limit 120""))"),105.493)</f>
        <v>105.493</v>
      </c>
      <c r="N1253" s="19">
        <f>IFERROR(__xludf.DUMMYFUNCTION("AVERAGE(QUERY(SORT(GOOGLEFINANCE(B1253,""price"",TODAY()-365,TODAY()),1,0),""select Col2 limit 200""))"),111.54040000000003)</f>
        <v>111.5404</v>
      </c>
      <c r="O1253" s="20" t="str">
        <f t="shared" si="2"/>
        <v>Avoid</v>
      </c>
      <c r="P1253" s="21" t="str">
        <f t="shared" si="3"/>
        <v/>
      </c>
      <c r="Q1253" s="21" t="str">
        <f t="shared" si="4"/>
        <v/>
      </c>
      <c r="R1253" s="22" t="str">
        <f>IFERROR(__xludf.DUMMYFUNCTION("GOOGLEFINANCE(B1253, ""pe"")
"),"#N/A")</f>
        <v>#N/A</v>
      </c>
    </row>
    <row r="1254">
      <c r="A1254" s="9" t="s">
        <v>1264</v>
      </c>
      <c r="B1254" s="11" t="str">
        <f t="shared" si="1"/>
        <v>NSE:SANDESH</v>
      </c>
      <c r="C1254" s="12">
        <f>IFERROR(__xludf.DUMMYFUNCTION("GOOGLEFINANCE(B1254,""marketcap"")/10000000"),880.323546)</f>
        <v>880.323546</v>
      </c>
      <c r="D1254" s="13">
        <f>IFERROR(__xludf.DUMMYFUNCTION("GOOGLEFINANCE(B1254,""price"")"),1163.0)</f>
        <v>1163</v>
      </c>
      <c r="E1254" s="14">
        <f>IFERROR(__xludf.DUMMYFUNCTION("GOOGLEFINANCE(B1254,""Volume"")"),519.0)</f>
        <v>519</v>
      </c>
      <c r="F1254" s="14">
        <f t="array" ref="F1254">F1253</f>
        <v>14</v>
      </c>
      <c r="G1254" s="15" t="str">
        <f>IFERROR(__xludf.DUMMYFUNCTION("IF(E1254&gt;AVERAGE(INDEX(GOOGLEFINANCE(B1254,""volume"",WORKDAY(TODAY(),-$F$1),TODAY()),,2)),""Breakout"","""")"),"")</f>
        <v/>
      </c>
      <c r="H1254" s="16">
        <f>IFERROR(__xludf.DUMMYFUNCTION("GOOGLEFINANCE(B1254,""price"")"),1163.0)</f>
        <v>1163</v>
      </c>
      <c r="I1254" s="17">
        <f>IFERROR(__xludf.DUMMYFUNCTION("AVERAGE(QUERY(SORT(GOOGLEFINANCE(B1254,""price"",TODAY()-365,TODAY()),1,0),""select Col2 limit 10""))"),1159.1399999999999)</f>
        <v>1159.14</v>
      </c>
      <c r="J1254" s="17">
        <f>IFERROR(__xludf.DUMMYFUNCTION("AVERAGE(QUERY(SORT(GOOGLEFINANCE(B1254,""price"",TODAY()-365,TODAY()),1,0),""select Col2 limit 30""))"),1162.73)</f>
        <v>1162.73</v>
      </c>
      <c r="K1254" s="18">
        <f>IFERROR(__xludf.DUMMYFUNCTION("AVERAGE(QUERY(SORT(GOOGLEFINANCE(B1254,""price"",TODAY()-365,TODAY()),1,0),""select Col2 limit 60""))"),1168.7966666666664)</f>
        <v>1168.796667</v>
      </c>
      <c r="L1254" s="17">
        <f>IFERROR(__xludf.DUMMYFUNCTION("AVERAGE(QUERY(SORT(GOOGLEFINANCE(B1254,""price"",TODAY()-365,TODAY()),1,0),""select Col2 limit 90""))"),1150.0983333333331)</f>
        <v>1150.098333</v>
      </c>
      <c r="M1254" s="17">
        <f>IFERROR(__xludf.DUMMYFUNCTION("AVERAGE(QUERY(SORT(GOOGLEFINANCE(B1254,""price"",TODAY()-365,TODAY()),1,0),""select Col2 limit 120""))"),1173.0912500000004)</f>
        <v>1173.09125</v>
      </c>
      <c r="N1254" s="19">
        <f>IFERROR(__xludf.DUMMYFUNCTION("AVERAGE(QUERY(SORT(GOOGLEFINANCE(B1254,""price"",TODAY()-365,TODAY()),1,0),""select Col2 limit 200""))"),1358.7267500000003)</f>
        <v>1358.72675</v>
      </c>
      <c r="O1254" s="20" t="str">
        <f t="shared" si="2"/>
        <v>Avoid</v>
      </c>
      <c r="P1254" s="21" t="str">
        <f t="shared" si="3"/>
        <v>60 DMA</v>
      </c>
      <c r="Q1254" s="21" t="str">
        <f t="shared" si="4"/>
        <v/>
      </c>
      <c r="R1254" s="22">
        <f>IFERROR(__xludf.DUMMYFUNCTION("GOOGLEFINANCE(B1254, ""pe"")
"),11.41)</f>
        <v>11.41</v>
      </c>
    </row>
    <row r="1255">
      <c r="A1255" s="9" t="s">
        <v>1265</v>
      </c>
      <c r="B1255" s="11" t="str">
        <f t="shared" si="1"/>
        <v>NSE:FAZE3Q</v>
      </c>
      <c r="C1255" s="12">
        <f>IFERROR(__xludf.DUMMYFUNCTION("GOOGLEFINANCE(B1255,""marketcap"")/10000000"),1655.5442151)</f>
        <v>1655.544215</v>
      </c>
      <c r="D1255" s="13">
        <f>IFERROR(__xludf.DUMMYFUNCTION("GOOGLEFINANCE(B1255,""price"")"),682.85)</f>
        <v>682.85</v>
      </c>
      <c r="E1255" s="14">
        <f>IFERROR(__xludf.DUMMYFUNCTION("GOOGLEFINANCE(B1255,""Volume"")"),34830.0)</f>
        <v>34830</v>
      </c>
      <c r="F1255" s="14">
        <f t="array" ref="F1255">F1254</f>
        <v>14</v>
      </c>
      <c r="G1255" s="15" t="str">
        <f>IFERROR(__xludf.DUMMYFUNCTION("IF(E1255&gt;AVERAGE(INDEX(GOOGLEFINANCE(B1255,""volume"",WORKDAY(TODAY(),-$F$1),TODAY()),,2)),""Breakout"","""")"),"")</f>
        <v/>
      </c>
      <c r="H1255" s="16">
        <f>IFERROR(__xludf.DUMMYFUNCTION("GOOGLEFINANCE(B1255,""price"")"),682.85)</f>
        <v>682.85</v>
      </c>
      <c r="I1255" s="17">
        <f>IFERROR(__xludf.DUMMYFUNCTION("AVERAGE(QUERY(SORT(GOOGLEFINANCE(B1255,""price"",TODAY()-365,TODAY()),1,0),""select Col2 limit 10""))"),701.5150000000001)</f>
        <v>701.515</v>
      </c>
      <c r="J1255" s="17">
        <f>IFERROR(__xludf.DUMMYFUNCTION("AVERAGE(QUERY(SORT(GOOGLEFINANCE(B1255,""price"",TODAY()-365,TODAY()),1,0),""select Col2 limit 30""))"),627.5266666666668)</f>
        <v>627.5266667</v>
      </c>
      <c r="K1255" s="18">
        <f>IFERROR(__xludf.DUMMYFUNCTION("AVERAGE(QUERY(SORT(GOOGLEFINANCE(B1255,""price"",TODAY()-365,TODAY()),1,0),""select Col2 limit 60""))"),605.9833333333332)</f>
        <v>605.9833333</v>
      </c>
      <c r="L1255" s="17">
        <f>IFERROR(__xludf.DUMMYFUNCTION("AVERAGE(QUERY(SORT(GOOGLEFINANCE(B1255,""price"",TODAY()-365,TODAY()),1,0),""select Col2 limit 90""))"),544.2444444444446)</f>
        <v>544.2444444</v>
      </c>
      <c r="M1255" s="17">
        <f>IFERROR(__xludf.DUMMYFUNCTION("AVERAGE(QUERY(SORT(GOOGLEFINANCE(B1255,""price"",TODAY()-365,TODAY()),1,0),""select Col2 limit 120""))"),500.6558333333335)</f>
        <v>500.6558333</v>
      </c>
      <c r="N1255" s="19">
        <f>IFERROR(__xludf.DUMMYFUNCTION("AVERAGE(QUERY(SORT(GOOGLEFINANCE(B1255,""price"",TODAY()-365,TODAY()),1,0),""select Col2 limit 200""))"),467.9007500000002)</f>
        <v>467.90075</v>
      </c>
      <c r="O1255" s="20" t="str">
        <f t="shared" si="2"/>
        <v>Avoid</v>
      </c>
      <c r="P1255" s="21" t="str">
        <f t="shared" si="3"/>
        <v/>
      </c>
      <c r="Q1255" s="21" t="str">
        <f t="shared" si="4"/>
        <v/>
      </c>
      <c r="R1255" s="22">
        <f>IFERROR(__xludf.DUMMYFUNCTION("GOOGLEFINANCE(B1255, ""pe"")
"),40.84)</f>
        <v>40.84</v>
      </c>
    </row>
    <row r="1256">
      <c r="A1256" s="9" t="s">
        <v>1266</v>
      </c>
      <c r="B1256" s="11" t="str">
        <f t="shared" si="1"/>
        <v>NSE:KAMOPAINTS</v>
      </c>
      <c r="C1256" s="12">
        <f>IFERROR(__xludf.DUMMYFUNCTION("GOOGLEFINANCE(B1256,""marketcap"")/10000000"),310.2683814)</f>
        <v>310.2683814</v>
      </c>
      <c r="D1256" s="13">
        <f>IFERROR(__xludf.DUMMYFUNCTION("GOOGLEFINANCE(B1256,""price"")"),9.85)</f>
        <v>9.85</v>
      </c>
      <c r="E1256" s="14">
        <f>IFERROR(__xludf.DUMMYFUNCTION("GOOGLEFINANCE(B1256,""Volume"")"),305389.0)</f>
        <v>305389</v>
      </c>
      <c r="F1256" s="14">
        <f t="array" ref="F1256">F1255</f>
        <v>14</v>
      </c>
      <c r="G1256" s="15" t="str">
        <f>IFERROR(__xludf.DUMMYFUNCTION("IF(E1256&gt;AVERAGE(INDEX(GOOGLEFINANCE(B1256,""volume"",WORKDAY(TODAY(),-$F$1),TODAY()),,2)),""Breakout"","""")"),"Breakout")</f>
        <v>Breakout</v>
      </c>
      <c r="H1256" s="16">
        <f>IFERROR(__xludf.DUMMYFUNCTION("GOOGLEFINANCE(B1256,""price"")"),9.85)</f>
        <v>9.85</v>
      </c>
      <c r="I1256" s="17">
        <f>IFERROR(__xludf.DUMMYFUNCTION("AVERAGE(QUERY(SORT(GOOGLEFINANCE(B1256,""price"",TODAY()-365,TODAY()),1,0),""select Col2 limit 10""))"),9.936)</f>
        <v>9.936</v>
      </c>
      <c r="J1256" s="17">
        <f>IFERROR(__xludf.DUMMYFUNCTION("AVERAGE(QUERY(SORT(GOOGLEFINANCE(B1256,""price"",TODAY()-365,TODAY()),1,0),""select Col2 limit 30""))"),10.269000000000002)</f>
        <v>10.269</v>
      </c>
      <c r="K1256" s="18">
        <f>IFERROR(__xludf.DUMMYFUNCTION("AVERAGE(QUERY(SORT(GOOGLEFINANCE(B1256,""price"",TODAY()-365,TODAY()),1,0),""select Col2 limit 60""))"),10.841500000000002)</f>
        <v>10.8415</v>
      </c>
      <c r="L1256" s="17">
        <f>IFERROR(__xludf.DUMMYFUNCTION("AVERAGE(QUERY(SORT(GOOGLEFINANCE(B1256,""price"",TODAY()-365,TODAY()),1,0),""select Col2 limit 90""))"),10.645666666666667)</f>
        <v>10.64566667</v>
      </c>
      <c r="M1256" s="17">
        <f>IFERROR(__xludf.DUMMYFUNCTION("AVERAGE(QUERY(SORT(GOOGLEFINANCE(B1256,""price"",TODAY()-365,TODAY()),1,0),""select Col2 limit 120""))"),11.182666666666673)</f>
        <v>11.18266667</v>
      </c>
      <c r="N1256" s="19">
        <f>IFERROR(__xludf.DUMMYFUNCTION("AVERAGE(QUERY(SORT(GOOGLEFINANCE(B1256,""price"",TODAY()-365,TODAY()),1,0),""select Col2 limit 200""))"),14.5048)</f>
        <v>14.5048</v>
      </c>
      <c r="O1256" s="20" t="str">
        <f t="shared" si="2"/>
        <v>Avoid</v>
      </c>
      <c r="P1256" s="21" t="str">
        <f t="shared" si="3"/>
        <v>10 DMA</v>
      </c>
      <c r="Q1256" s="21" t="str">
        <f t="shared" si="4"/>
        <v>10 DMA cross best</v>
      </c>
      <c r="R1256" s="22">
        <f>IFERROR(__xludf.DUMMYFUNCTION("GOOGLEFINANCE(B1256, ""pe"")
"),47.0)</f>
        <v>47</v>
      </c>
    </row>
    <row r="1257">
      <c r="A1257" s="9" t="s">
        <v>1267</v>
      </c>
      <c r="B1257" s="11" t="str">
        <f t="shared" si="1"/>
        <v>NSE:APTECHT</v>
      </c>
      <c r="C1257" s="12">
        <f>IFERROR(__xludf.DUMMYFUNCTION("GOOGLEFINANCE(B1257,""marketcap"")/10000000"),778.9627144)</f>
        <v>778.9627144</v>
      </c>
      <c r="D1257" s="13">
        <f>IFERROR(__xludf.DUMMYFUNCTION("GOOGLEFINANCE(B1257,""price"")"),134.0)</f>
        <v>134</v>
      </c>
      <c r="E1257" s="14">
        <f>IFERROR(__xludf.DUMMYFUNCTION("GOOGLEFINANCE(B1257,""Volume"")"),15152.0)</f>
        <v>15152</v>
      </c>
      <c r="F1257" s="14">
        <f t="array" ref="F1257">F1256</f>
        <v>14</v>
      </c>
      <c r="G1257" s="15" t="str">
        <f>IFERROR(__xludf.DUMMYFUNCTION("IF(E1257&gt;AVERAGE(INDEX(GOOGLEFINANCE(B1257,""volume"",WORKDAY(TODAY(),-$F$1),TODAY()),,2)),""Breakout"","""")"),"")</f>
        <v/>
      </c>
      <c r="H1257" s="16">
        <f>IFERROR(__xludf.DUMMYFUNCTION("GOOGLEFINANCE(B1257,""price"")"),134.0)</f>
        <v>134</v>
      </c>
      <c r="I1257" s="17">
        <f>IFERROR(__xludf.DUMMYFUNCTION("AVERAGE(QUERY(SORT(GOOGLEFINANCE(B1257,""price"",TODAY()-365,TODAY()),1,0),""select Col2 limit 10""))"),140.651)</f>
        <v>140.651</v>
      </c>
      <c r="J1257" s="17">
        <f>IFERROR(__xludf.DUMMYFUNCTION("AVERAGE(QUERY(SORT(GOOGLEFINANCE(B1257,""price"",TODAY()-365,TODAY()),1,0),""select Col2 limit 30""))"),148.738)</f>
        <v>148.738</v>
      </c>
      <c r="K1257" s="18">
        <f>IFERROR(__xludf.DUMMYFUNCTION("AVERAGE(QUERY(SORT(GOOGLEFINANCE(B1257,""price"",TODAY()-365,TODAY()),1,0),""select Col2 limit 60""))"),154.90450000000007)</f>
        <v>154.9045</v>
      </c>
      <c r="L1257" s="17">
        <f>IFERROR(__xludf.DUMMYFUNCTION("AVERAGE(QUERY(SORT(GOOGLEFINANCE(B1257,""price"",TODAY()-365,TODAY()),1,0),""select Col2 limit 90""))"),146.50388888888895)</f>
        <v>146.5038889</v>
      </c>
      <c r="M1257" s="17">
        <f>IFERROR(__xludf.DUMMYFUNCTION("AVERAGE(QUERY(SORT(GOOGLEFINANCE(B1257,""price"",TODAY()-365,TODAY()),1,0),""select Col2 limit 120""))"),143.47883333333337)</f>
        <v>143.4788333</v>
      </c>
      <c r="N1257" s="19">
        <f>IFERROR(__xludf.DUMMYFUNCTION("AVERAGE(QUERY(SORT(GOOGLEFINANCE(B1257,""price"",TODAY()-365,TODAY()),1,0),""select Col2 limit 200""))"),158.45149999999992)</f>
        <v>158.4515</v>
      </c>
      <c r="O1257" s="20" t="str">
        <f t="shared" si="2"/>
        <v>Avoid</v>
      </c>
      <c r="P1257" s="21" t="str">
        <f t="shared" si="3"/>
        <v/>
      </c>
      <c r="Q1257" s="21" t="str">
        <f t="shared" si="4"/>
        <v/>
      </c>
      <c r="R1257" s="22">
        <f>IFERROR(__xludf.DUMMYFUNCTION("GOOGLEFINANCE(B1257, ""pe"")
"),40.73)</f>
        <v>40.73</v>
      </c>
    </row>
    <row r="1258">
      <c r="A1258" s="9" t="s">
        <v>1268</v>
      </c>
      <c r="B1258" s="11" t="str">
        <f t="shared" si="1"/>
        <v>NSE:VIMTALABS</v>
      </c>
      <c r="C1258" s="12">
        <f>IFERROR(__xludf.DUMMYFUNCTION("GOOGLEFINANCE(B1258,""marketcap"")/10000000"),2830.20993)</f>
        <v>2830.20993</v>
      </c>
      <c r="D1258" s="13">
        <f>IFERROR(__xludf.DUMMYFUNCTION("GOOGLEFINANCE(B1258,""price"")"),643.35)</f>
        <v>643.35</v>
      </c>
      <c r="E1258" s="14">
        <f>IFERROR(__xludf.DUMMYFUNCTION("GOOGLEFINANCE(B1258,""Volume"")"),1.8000827E7)</f>
        <v>18000827</v>
      </c>
      <c r="F1258" s="14">
        <f t="array" ref="F1258">F1257</f>
        <v>14</v>
      </c>
      <c r="G1258" s="15" t="str">
        <f>IFERROR(__xludf.DUMMYFUNCTION("IF(E1258&gt;AVERAGE(INDEX(GOOGLEFINANCE(B1258,""volume"",WORKDAY(TODAY(),-$F$1),TODAY()),,2)),""Breakout"","""")"),"Breakout")</f>
        <v>Breakout</v>
      </c>
      <c r="H1258" s="16">
        <f>IFERROR(__xludf.DUMMYFUNCTION("GOOGLEFINANCE(B1258,""price"")"),643.35)</f>
        <v>643.35</v>
      </c>
      <c r="I1258" s="17">
        <f>IFERROR(__xludf.DUMMYFUNCTION("AVERAGE(QUERY(SORT(GOOGLEFINANCE(B1258,""price"",TODAY()-365,TODAY()),1,0),""select Col2 limit 10""))"),502.625)</f>
        <v>502.625</v>
      </c>
      <c r="J1258" s="17">
        <f>IFERROR(__xludf.DUMMYFUNCTION("AVERAGE(QUERY(SORT(GOOGLEFINANCE(B1258,""price"",TODAY()-365,TODAY()),1,0),""select Col2 limit 30""))"),478.08000000000004)</f>
        <v>478.08</v>
      </c>
      <c r="K1258" s="18">
        <f>IFERROR(__xludf.DUMMYFUNCTION("AVERAGE(QUERY(SORT(GOOGLEFINANCE(B1258,""price"",TODAY()-365,TODAY()),1,0),""select Col2 limit 60""))"),486.35233333333343)</f>
        <v>486.3523333</v>
      </c>
      <c r="L1258" s="17">
        <f>IFERROR(__xludf.DUMMYFUNCTION("AVERAGE(QUERY(SORT(GOOGLEFINANCE(B1258,""price"",TODAY()-365,TODAY()),1,0),""select Col2 limit 90""))"),493.64155555555567)</f>
        <v>493.6415556</v>
      </c>
      <c r="M1258" s="17">
        <f>IFERROR(__xludf.DUMMYFUNCTION("AVERAGE(QUERY(SORT(GOOGLEFINANCE(B1258,""price"",TODAY()-365,TODAY()),1,0),""select Col2 limit 120""))"),490.1431666666668)</f>
        <v>490.1431667</v>
      </c>
      <c r="N1258" s="19">
        <f>IFERROR(__xludf.DUMMYFUNCTION("AVERAGE(QUERY(SORT(GOOGLEFINANCE(B1258,""price"",TODAY()-365,TODAY()),1,0),""select Col2 limit 200""))"),452.9909999999998)</f>
        <v>452.991</v>
      </c>
      <c r="O1258" s="20" t="str">
        <f t="shared" si="2"/>
        <v>Avoid</v>
      </c>
      <c r="P1258" s="21" t="str">
        <f t="shared" si="3"/>
        <v/>
      </c>
      <c r="Q1258" s="21" t="str">
        <f t="shared" si="4"/>
        <v/>
      </c>
      <c r="R1258" s="22">
        <f>IFERROR(__xludf.DUMMYFUNCTION("GOOGLEFINANCE(B1258, ""pe"")
"),39.17)</f>
        <v>39.17</v>
      </c>
    </row>
    <row r="1259">
      <c r="A1259" s="9" t="s">
        <v>1269</v>
      </c>
      <c r="B1259" s="11" t="str">
        <f t="shared" si="1"/>
        <v>NSE:ASALCBR</v>
      </c>
      <c r="C1259" s="12">
        <f>IFERROR(__xludf.DUMMYFUNCTION("GOOGLEFINANCE(B1259,""marketcap"")/10000000"),1953.0960642)</f>
        <v>1953.096064</v>
      </c>
      <c r="D1259" s="13">
        <f>IFERROR(__xludf.DUMMYFUNCTION("GOOGLEFINANCE(B1259,""price"")"),1080.1)</f>
        <v>1080.1</v>
      </c>
      <c r="E1259" s="14">
        <f>IFERROR(__xludf.DUMMYFUNCTION("GOOGLEFINANCE(B1259,""Volume"")"),15986.0)</f>
        <v>15986</v>
      </c>
      <c r="F1259" s="14">
        <f t="array" ref="F1259">F1258</f>
        <v>14</v>
      </c>
      <c r="G1259" s="15" t="str">
        <f>IFERROR(__xludf.DUMMYFUNCTION("IF(E1259&gt;AVERAGE(INDEX(GOOGLEFINANCE(B1259,""volume"",WORKDAY(TODAY(),-$F$1),TODAY()),,2)),""Breakout"","""")"),"")</f>
        <v/>
      </c>
      <c r="H1259" s="16">
        <f>IFERROR(__xludf.DUMMYFUNCTION("GOOGLEFINANCE(B1259,""price"")"),1080.1)</f>
        <v>1080.1</v>
      </c>
      <c r="I1259" s="17">
        <f>IFERROR(__xludf.DUMMYFUNCTION("AVERAGE(QUERY(SORT(GOOGLEFINANCE(B1259,""price"",TODAY()-365,TODAY()),1,0),""select Col2 limit 10""))"),1150.8700000000001)</f>
        <v>1150.87</v>
      </c>
      <c r="J1259" s="17">
        <f>IFERROR(__xludf.DUMMYFUNCTION("AVERAGE(QUERY(SORT(GOOGLEFINANCE(B1259,""price"",TODAY()-365,TODAY()),1,0),""select Col2 limit 30""))"),1128.51)</f>
        <v>1128.51</v>
      </c>
      <c r="K1259" s="18">
        <f>IFERROR(__xludf.DUMMYFUNCTION("AVERAGE(QUERY(SORT(GOOGLEFINANCE(B1259,""price"",TODAY()-365,TODAY()),1,0),""select Col2 limit 60""))"),1110.6916666666668)</f>
        <v>1110.691667</v>
      </c>
      <c r="L1259" s="17">
        <f>IFERROR(__xludf.DUMMYFUNCTION("AVERAGE(QUERY(SORT(GOOGLEFINANCE(B1259,""price"",TODAY()-365,TODAY()),1,0),""select Col2 limit 90""))"),1166.271111111111)</f>
        <v>1166.271111</v>
      </c>
      <c r="M1259" s="17">
        <f>IFERROR(__xludf.DUMMYFUNCTION("AVERAGE(QUERY(SORT(GOOGLEFINANCE(B1259,""price"",TODAY()-365,TODAY()),1,0),""select Col2 limit 120""))"),1182.8075000000001)</f>
        <v>1182.8075</v>
      </c>
      <c r="N1259" s="19">
        <f>IFERROR(__xludf.DUMMYFUNCTION("AVERAGE(QUERY(SORT(GOOGLEFINANCE(B1259,""price"",TODAY()-365,TODAY()),1,0),""select Col2 limit 200""))"),1116.861)</f>
        <v>1116.861</v>
      </c>
      <c r="O1259" s="20" t="str">
        <f t="shared" si="2"/>
        <v>Avoid</v>
      </c>
      <c r="P1259" s="21" t="str">
        <f t="shared" si="3"/>
        <v/>
      </c>
      <c r="Q1259" s="21" t="str">
        <f t="shared" si="4"/>
        <v/>
      </c>
      <c r="R1259" s="22">
        <f>IFERROR(__xludf.DUMMYFUNCTION("GOOGLEFINANCE(B1259, ""pe"")
"),25.05)</f>
        <v>25.05</v>
      </c>
    </row>
    <row r="1260">
      <c r="A1260" s="9" t="s">
        <v>1270</v>
      </c>
      <c r="B1260" s="11" t="str">
        <f t="shared" si="1"/>
        <v>NSE:GRMOVER</v>
      </c>
      <c r="C1260" s="12">
        <f>IFERROR(__xludf.DUMMYFUNCTION("GOOGLEFINANCE(B1260,""marketcap"")/10000000"),2290.5769574)</f>
        <v>2290.576957</v>
      </c>
      <c r="D1260" s="13">
        <f>IFERROR(__xludf.DUMMYFUNCTION("GOOGLEFINANCE(B1260,""price"")"),373.35)</f>
        <v>373.35</v>
      </c>
      <c r="E1260" s="14">
        <f>IFERROR(__xludf.DUMMYFUNCTION("GOOGLEFINANCE(B1260,""Volume"")"),244540.0)</f>
        <v>244540</v>
      </c>
      <c r="F1260" s="14">
        <f t="array" ref="F1260">F1259</f>
        <v>14</v>
      </c>
      <c r="G1260" s="15" t="str">
        <f>IFERROR(__xludf.DUMMYFUNCTION("IF(E1260&gt;AVERAGE(INDEX(GOOGLEFINANCE(B1260,""volume"",WORKDAY(TODAY(),-$F$1),TODAY()),,2)),""Breakout"","""")"),"")</f>
        <v/>
      </c>
      <c r="H1260" s="16">
        <f>IFERROR(__xludf.DUMMYFUNCTION("GOOGLEFINANCE(B1260,""price"")"),373.35)</f>
        <v>373.35</v>
      </c>
      <c r="I1260" s="17">
        <f>IFERROR(__xludf.DUMMYFUNCTION("AVERAGE(QUERY(SORT(GOOGLEFINANCE(B1260,""price"",TODAY()-365,TODAY()),1,0),""select Col2 limit 10""))"),380.93500000000006)</f>
        <v>380.935</v>
      </c>
      <c r="J1260" s="17">
        <f>IFERROR(__xludf.DUMMYFUNCTION("AVERAGE(QUERY(SORT(GOOGLEFINANCE(B1260,""price"",TODAY()-365,TODAY()),1,0),""select Col2 limit 30""))"),372.64000000000004)</f>
        <v>372.64</v>
      </c>
      <c r="K1260" s="18">
        <f>IFERROR(__xludf.DUMMYFUNCTION("AVERAGE(QUERY(SORT(GOOGLEFINANCE(B1260,""price"",TODAY()-365,TODAY()),1,0),""select Col2 limit 60""))"),338.68916666666667)</f>
        <v>338.6891667</v>
      </c>
      <c r="L1260" s="17">
        <f>IFERROR(__xludf.DUMMYFUNCTION("AVERAGE(QUERY(SORT(GOOGLEFINANCE(B1260,""price"",TODAY()-365,TODAY()),1,0),""select Col2 limit 90""))"),325.58144444444446)</f>
        <v>325.5814444</v>
      </c>
      <c r="M1260" s="17">
        <f>IFERROR(__xludf.DUMMYFUNCTION("AVERAGE(QUERY(SORT(GOOGLEFINANCE(B1260,""price"",TODAY()-365,TODAY()),1,0),""select Col2 limit 120""))"),302.6933333333333)</f>
        <v>302.6933333</v>
      </c>
      <c r="N1260" s="19">
        <f>IFERROR(__xludf.DUMMYFUNCTION("AVERAGE(QUERY(SORT(GOOGLEFINANCE(B1260,""price"",TODAY()-365,TODAY()),1,0),""select Col2 limit 200""))"),265.8710499999999)</f>
        <v>265.87105</v>
      </c>
      <c r="O1260" s="20" t="str">
        <f t="shared" si="2"/>
        <v>Avoid</v>
      </c>
      <c r="P1260" s="21" t="str">
        <f t="shared" si="3"/>
        <v/>
      </c>
      <c r="Q1260" s="21" t="str">
        <f t="shared" si="4"/>
        <v/>
      </c>
      <c r="R1260" s="22">
        <f>IFERROR(__xludf.DUMMYFUNCTION("GOOGLEFINANCE(B1260, ""pe"")
"),42.09)</f>
        <v>42.09</v>
      </c>
    </row>
    <row r="1261">
      <c r="A1261" s="9" t="s">
        <v>1271</v>
      </c>
      <c r="B1261" s="11" t="str">
        <f t="shared" si="1"/>
        <v>NSE:NDRAUTO</v>
      </c>
      <c r="C1261" s="12">
        <f>IFERROR(__xludf.DUMMYFUNCTION("GOOGLEFINANCE(B1261,""marketcap"")/10000000"),2357.3214941)</f>
        <v>2357.321494</v>
      </c>
      <c r="D1261" s="13">
        <f>IFERROR(__xludf.DUMMYFUNCTION("GOOGLEFINANCE(B1261,""price"")"),992.9)</f>
        <v>992.9</v>
      </c>
      <c r="E1261" s="14">
        <f>IFERROR(__xludf.DUMMYFUNCTION("GOOGLEFINANCE(B1261,""Volume"")"),52960.0)</f>
        <v>52960</v>
      </c>
      <c r="F1261" s="14">
        <f t="array" ref="F1261">F1260</f>
        <v>14</v>
      </c>
      <c r="G1261" s="15" t="str">
        <f>IFERROR(__xludf.DUMMYFUNCTION("IF(E1261&gt;AVERAGE(INDEX(GOOGLEFINANCE(B1261,""volume"",WORKDAY(TODAY(),-$F$1),TODAY()),,2)),""Breakout"","""")"),"#N/A")</f>
        <v>#N/A</v>
      </c>
      <c r="H1261" s="16">
        <f>IFERROR(__xludf.DUMMYFUNCTION("GOOGLEFINANCE(B1261,""price"")"),992.9)</f>
        <v>992.9</v>
      </c>
      <c r="I1261" s="17">
        <f>IFERROR(__xludf.DUMMYFUNCTION("AVERAGE(QUERY(SORT(GOOGLEFINANCE(B1261,""price"",TODAY()-365,TODAY()),1,0),""select Col2 limit 10""))"),1122.23)</f>
        <v>1122.23</v>
      </c>
      <c r="J1261" s="17">
        <f>IFERROR(__xludf.DUMMYFUNCTION("AVERAGE(QUERY(SORT(GOOGLEFINANCE(B1261,""price"",TODAY()-365,TODAY()),1,0),""select Col2 limit 30""))"),1069.935)</f>
        <v>1069.935</v>
      </c>
      <c r="K1261" s="18">
        <f>IFERROR(__xludf.DUMMYFUNCTION("AVERAGE(QUERY(SORT(GOOGLEFINANCE(B1261,""price"",TODAY()-365,TODAY()),1,0),""select Col2 limit 60""))"),980.8108333333331)</f>
        <v>980.8108333</v>
      </c>
      <c r="L1261" s="17">
        <f>IFERROR(__xludf.DUMMYFUNCTION("AVERAGE(QUERY(SORT(GOOGLEFINANCE(B1261,""price"",TODAY()-365,TODAY()),1,0),""select Col2 limit 90""))"),884.3066666666664)</f>
        <v>884.3066667</v>
      </c>
      <c r="M1261" s="17">
        <f>IFERROR(__xludf.DUMMYFUNCTION("AVERAGE(QUERY(SORT(GOOGLEFINANCE(B1261,""price"",TODAY()-365,TODAY()),1,0),""select Col2 limit 120""))"),834.2266666666666)</f>
        <v>834.2266667</v>
      </c>
      <c r="N1261" s="19">
        <f>IFERROR(__xludf.DUMMYFUNCTION("AVERAGE(QUERY(SORT(GOOGLEFINANCE(B1261,""price"",TODAY()-365,TODAY()),1,0),""select Col2 limit 200""))"),801.0107500000001)</f>
        <v>801.01075</v>
      </c>
      <c r="O1261" s="20" t="str">
        <f t="shared" si="2"/>
        <v>Avoid</v>
      </c>
      <c r="P1261" s="21" t="str">
        <f t="shared" si="3"/>
        <v/>
      </c>
      <c r="Q1261" s="21" t="str">
        <f t="shared" si="4"/>
        <v/>
      </c>
      <c r="R1261" s="22">
        <f>IFERROR(__xludf.DUMMYFUNCTION("GOOGLEFINANCE(B1261, ""pe"")
"),44.39)</f>
        <v>44.39</v>
      </c>
    </row>
    <row r="1262">
      <c r="A1262" s="9" t="s">
        <v>1272</v>
      </c>
      <c r="B1262" s="11" t="str">
        <f t="shared" si="1"/>
        <v>NSE:CREST</v>
      </c>
      <c r="C1262" s="12">
        <f>IFERROR(__xludf.DUMMYFUNCTION("GOOGLEFINANCE(B1262,""marketcap"")/10000000"),1052.8673745)</f>
        <v>1052.867375</v>
      </c>
      <c r="D1262" s="13">
        <f>IFERROR(__xludf.DUMMYFUNCTION("GOOGLEFINANCE(B1262,""price"")"),373.4)</f>
        <v>373.4</v>
      </c>
      <c r="E1262" s="14">
        <f>IFERROR(__xludf.DUMMYFUNCTION("GOOGLEFINANCE(B1262,""Volume"")"),4287.0)</f>
        <v>4287</v>
      </c>
      <c r="F1262" s="14">
        <f t="array" ref="F1262">F1261</f>
        <v>14</v>
      </c>
      <c r="G1262" s="15" t="str">
        <f>IFERROR(__xludf.DUMMYFUNCTION("IF(E1262&gt;AVERAGE(INDEX(GOOGLEFINANCE(B1262,""volume"",WORKDAY(TODAY(),-$F$1),TODAY()),,2)),""Breakout"","""")"),"")</f>
        <v/>
      </c>
      <c r="H1262" s="16">
        <f>IFERROR(__xludf.DUMMYFUNCTION("GOOGLEFINANCE(B1262,""price"")"),373.4)</f>
        <v>373.4</v>
      </c>
      <c r="I1262" s="17">
        <f>IFERROR(__xludf.DUMMYFUNCTION("AVERAGE(QUERY(SORT(GOOGLEFINANCE(B1262,""price"",TODAY()-365,TODAY()),1,0),""select Col2 limit 10""))"),389.1650000000001)</f>
        <v>389.165</v>
      </c>
      <c r="J1262" s="17">
        <f>IFERROR(__xludf.DUMMYFUNCTION("AVERAGE(QUERY(SORT(GOOGLEFINANCE(B1262,""price"",TODAY()-365,TODAY()),1,0),""select Col2 limit 30""))"),392.225)</f>
        <v>392.225</v>
      </c>
      <c r="K1262" s="18">
        <f>IFERROR(__xludf.DUMMYFUNCTION("AVERAGE(QUERY(SORT(GOOGLEFINANCE(B1262,""price"",TODAY()-365,TODAY()),1,0),""select Col2 limit 60""))"),396.72249999999997)</f>
        <v>396.7225</v>
      </c>
      <c r="L1262" s="17">
        <f>IFERROR(__xludf.DUMMYFUNCTION("AVERAGE(QUERY(SORT(GOOGLEFINANCE(B1262,""price"",TODAY()-365,TODAY()),1,0),""select Col2 limit 90""))"),391.69611111111107)</f>
        <v>391.6961111</v>
      </c>
      <c r="M1262" s="17">
        <f>IFERROR(__xludf.DUMMYFUNCTION("AVERAGE(QUERY(SORT(GOOGLEFINANCE(B1262,""price"",TODAY()-365,TODAY()),1,0),""select Col2 limit 120""))"),390.7104166666668)</f>
        <v>390.7104167</v>
      </c>
      <c r="N1262" s="19">
        <f>IFERROR(__xludf.DUMMYFUNCTION("AVERAGE(QUERY(SORT(GOOGLEFINANCE(B1262,""price"",TODAY()-365,TODAY()),1,0),""select Col2 limit 200""))"),419.1560000000002)</f>
        <v>419.156</v>
      </c>
      <c r="O1262" s="20" t="str">
        <f t="shared" si="2"/>
        <v>Avoid</v>
      </c>
      <c r="P1262" s="21" t="str">
        <f t="shared" si="3"/>
        <v/>
      </c>
      <c r="Q1262" s="21" t="str">
        <f t="shared" si="4"/>
        <v/>
      </c>
      <c r="R1262" s="22">
        <f>IFERROR(__xludf.DUMMYFUNCTION("GOOGLEFINANCE(B1262, ""pe"")
"),12.0)</f>
        <v>12</v>
      </c>
    </row>
    <row r="1263">
      <c r="A1263" s="9" t="s">
        <v>1273</v>
      </c>
      <c r="B1263" s="11" t="str">
        <f t="shared" si="1"/>
        <v>NSE:ORIENTPPR</v>
      </c>
      <c r="C1263" s="12">
        <f>IFERROR(__xludf.DUMMYFUNCTION("GOOGLEFINANCE(B1263,""marketcap"")/10000000"),606.2136813)</f>
        <v>606.2136813</v>
      </c>
      <c r="D1263" s="13">
        <f>IFERROR(__xludf.DUMMYFUNCTION("GOOGLEFINANCE(B1263,""price"")"),28.57)</f>
        <v>28.57</v>
      </c>
      <c r="E1263" s="14">
        <f>IFERROR(__xludf.DUMMYFUNCTION("GOOGLEFINANCE(B1263,""Volume"")"),112704.0)</f>
        <v>112704</v>
      </c>
      <c r="F1263" s="14">
        <f t="array" ref="F1263">F1262</f>
        <v>14</v>
      </c>
      <c r="G1263" s="15" t="str">
        <f>IFERROR(__xludf.DUMMYFUNCTION("IF(E1263&gt;AVERAGE(INDEX(GOOGLEFINANCE(B1263,""volume"",WORKDAY(TODAY(),-$F$1),TODAY()),,2)),""Breakout"","""")"),"")</f>
        <v/>
      </c>
      <c r="H1263" s="16">
        <f>IFERROR(__xludf.DUMMYFUNCTION("GOOGLEFINANCE(B1263,""price"")"),28.57)</f>
        <v>28.57</v>
      </c>
      <c r="I1263" s="17">
        <f>IFERROR(__xludf.DUMMYFUNCTION("AVERAGE(QUERY(SORT(GOOGLEFINANCE(B1263,""price"",TODAY()-365,TODAY()),1,0),""select Col2 limit 10""))"),29.238)</f>
        <v>29.238</v>
      </c>
      <c r="J1263" s="17">
        <f>IFERROR(__xludf.DUMMYFUNCTION("AVERAGE(QUERY(SORT(GOOGLEFINANCE(B1263,""price"",TODAY()-365,TODAY()),1,0),""select Col2 limit 30""))"),29.017999999999997)</f>
        <v>29.018</v>
      </c>
      <c r="K1263" s="18">
        <f>IFERROR(__xludf.DUMMYFUNCTION("AVERAGE(QUERY(SORT(GOOGLEFINANCE(B1263,""price"",TODAY()-365,TODAY()),1,0),""select Col2 limit 60""))"),28.517999999999994)</f>
        <v>28.518</v>
      </c>
      <c r="L1263" s="17">
        <f>IFERROR(__xludf.DUMMYFUNCTION("AVERAGE(QUERY(SORT(GOOGLEFINANCE(B1263,""price"",TODAY()-365,TODAY()),1,0),""select Col2 limit 90""))"),26.953111111111113)</f>
        <v>26.95311111</v>
      </c>
      <c r="M1263" s="17">
        <f>IFERROR(__xludf.DUMMYFUNCTION("AVERAGE(QUERY(SORT(GOOGLEFINANCE(B1263,""price"",TODAY()-365,TODAY()),1,0),""select Col2 limit 120""))"),26.73383333333334)</f>
        <v>26.73383333</v>
      </c>
      <c r="N1263" s="19">
        <f>IFERROR(__xludf.DUMMYFUNCTION("AVERAGE(QUERY(SORT(GOOGLEFINANCE(B1263,""price"",TODAY()-365,TODAY()),1,0),""select Col2 limit 200""))"),31.663850000000014)</f>
        <v>31.66385</v>
      </c>
      <c r="O1263" s="20" t="str">
        <f t="shared" si="2"/>
        <v>Avoid</v>
      </c>
      <c r="P1263" s="21" t="str">
        <f t="shared" si="3"/>
        <v/>
      </c>
      <c r="Q1263" s="21" t="str">
        <f t="shared" si="4"/>
        <v/>
      </c>
      <c r="R1263" s="22" t="str">
        <f>IFERROR(__xludf.DUMMYFUNCTION("GOOGLEFINANCE(B1263, ""pe"")
"),"#N/A")</f>
        <v>#N/A</v>
      </c>
    </row>
    <row r="1264">
      <c r="A1264" s="9" t="s">
        <v>1274</v>
      </c>
      <c r="B1264" s="11" t="str">
        <f t="shared" si="1"/>
        <v>NSE:TREL</v>
      </c>
      <c r="C1264" s="12">
        <f>IFERROR(__xludf.DUMMYFUNCTION("GOOGLEFINANCE(B1264,""marketcap"")/10000000"),814.234872)</f>
        <v>814.234872</v>
      </c>
      <c r="D1264" s="13">
        <f>IFERROR(__xludf.DUMMYFUNCTION("GOOGLEFINANCE(B1264,""price"")"),33.11)</f>
        <v>33.11</v>
      </c>
      <c r="E1264" s="14">
        <f>IFERROR(__xludf.DUMMYFUNCTION("GOOGLEFINANCE(B1264,""Volume"")"),51408.0)</f>
        <v>51408</v>
      </c>
      <c r="F1264" s="14">
        <f t="array" ref="F1264">F1263</f>
        <v>14</v>
      </c>
      <c r="G1264" s="15" t="str">
        <f>IFERROR(__xludf.DUMMYFUNCTION("IF(E1264&gt;AVERAGE(INDEX(GOOGLEFINANCE(B1264,""volume"",WORKDAY(TODAY(),-$F$1),TODAY()),,2)),""Breakout"","""")"),"")</f>
        <v/>
      </c>
      <c r="H1264" s="16">
        <f>IFERROR(__xludf.DUMMYFUNCTION("GOOGLEFINANCE(B1264,""price"")"),33.11)</f>
        <v>33.11</v>
      </c>
      <c r="I1264" s="17">
        <f>IFERROR(__xludf.DUMMYFUNCTION("AVERAGE(QUERY(SORT(GOOGLEFINANCE(B1264,""price"",TODAY()-365,TODAY()),1,0),""select Col2 limit 10""))"),34.649)</f>
        <v>34.649</v>
      </c>
      <c r="J1264" s="17">
        <f>IFERROR(__xludf.DUMMYFUNCTION("AVERAGE(QUERY(SORT(GOOGLEFINANCE(B1264,""price"",TODAY()-365,TODAY()),1,0),""select Col2 limit 30""))"),34.45000000000001)</f>
        <v>34.45</v>
      </c>
      <c r="K1264" s="18">
        <f>IFERROR(__xludf.DUMMYFUNCTION("AVERAGE(QUERY(SORT(GOOGLEFINANCE(B1264,""price"",TODAY()-365,TODAY()),1,0),""select Col2 limit 60""))"),34.201)</f>
        <v>34.201</v>
      </c>
      <c r="L1264" s="17">
        <f>IFERROR(__xludf.DUMMYFUNCTION("AVERAGE(QUERY(SORT(GOOGLEFINANCE(B1264,""price"",TODAY()-365,TODAY()),1,0),""select Col2 limit 90""))"),34.34566666666668)</f>
        <v>34.34566667</v>
      </c>
      <c r="M1264" s="17">
        <f>IFERROR(__xludf.DUMMYFUNCTION("AVERAGE(QUERY(SORT(GOOGLEFINANCE(B1264,""price"",TODAY()-365,TODAY()),1,0),""select Col2 limit 120""))"),33.49625000000001)</f>
        <v>33.49625</v>
      </c>
      <c r="N1264" s="19">
        <f>IFERROR(__xludf.DUMMYFUNCTION("AVERAGE(QUERY(SORT(GOOGLEFINANCE(B1264,""price"",TODAY()-365,TODAY()),1,0),""select Col2 limit 200""))"),35.7288)</f>
        <v>35.7288</v>
      </c>
      <c r="O1264" s="20" t="str">
        <f t="shared" si="2"/>
        <v>Avoid</v>
      </c>
      <c r="P1264" s="21" t="str">
        <f t="shared" si="3"/>
        <v/>
      </c>
      <c r="Q1264" s="21" t="str">
        <f t="shared" si="4"/>
        <v/>
      </c>
      <c r="R1264" s="22">
        <f>IFERROR(__xludf.DUMMYFUNCTION("GOOGLEFINANCE(B1264, ""pe"")
"),15.52)</f>
        <v>15.52</v>
      </c>
    </row>
    <row r="1265">
      <c r="A1265" s="9" t="s">
        <v>1275</v>
      </c>
      <c r="B1265" s="11" t="str">
        <f t="shared" si="1"/>
        <v>NSE:FILATFASH</v>
      </c>
      <c r="C1265" s="12">
        <f>IFERROR(__xludf.DUMMYFUNCTION("GOOGLEFINANCE(B1265,""marketcap"")/10000000"),541.7147251)</f>
        <v>541.7147251</v>
      </c>
      <c r="D1265" s="13">
        <f>IFERROR(__xludf.DUMMYFUNCTION("GOOGLEFINANCE(B1265,""price"")"),0.65)</f>
        <v>0.65</v>
      </c>
      <c r="E1265" s="14">
        <f>IFERROR(__xludf.DUMMYFUNCTION("GOOGLEFINANCE(B1265,""Volume"")"),1.1375529E7)</f>
        <v>11375529</v>
      </c>
      <c r="F1265" s="14">
        <f t="array" ref="F1265">F1264</f>
        <v>14</v>
      </c>
      <c r="G1265" s="15" t="str">
        <f>IFERROR(__xludf.DUMMYFUNCTION("IF(E1265&gt;AVERAGE(INDEX(GOOGLEFINANCE(B1265,""volume"",WORKDAY(TODAY(),-$F$1),TODAY()),,2)),""Breakout"","""")"),"")</f>
        <v/>
      </c>
      <c r="H1265" s="16">
        <f>IFERROR(__xludf.DUMMYFUNCTION("GOOGLEFINANCE(B1265,""price"")"),0.65)</f>
        <v>0.65</v>
      </c>
      <c r="I1265" s="17">
        <f>IFERROR(__xludf.DUMMYFUNCTION("AVERAGE(QUERY(SORT(GOOGLEFINANCE(B1265,""price"",TODAY()-365,TODAY()),1,0),""select Col2 limit 10""))"),0.6700000000000002)</f>
        <v>0.67</v>
      </c>
      <c r="J1265" s="17">
        <f>IFERROR(__xludf.DUMMYFUNCTION("AVERAGE(QUERY(SORT(GOOGLEFINANCE(B1265,""price"",TODAY()-365,TODAY()),1,0),""select Col2 limit 30""))"),0.616)</f>
        <v>0.616</v>
      </c>
      <c r="K1265" s="18">
        <f>IFERROR(__xludf.DUMMYFUNCTION("AVERAGE(QUERY(SORT(GOOGLEFINANCE(B1265,""price"",TODAY()-365,TODAY()),1,0),""select Col2 limit 60""))"),0.5506666666666666)</f>
        <v>0.5506666667</v>
      </c>
      <c r="L1265" s="17">
        <f>IFERROR(__xludf.DUMMYFUNCTION("AVERAGE(QUERY(SORT(GOOGLEFINANCE(B1265,""price"",TODAY()-365,TODAY()),1,0),""select Col2 limit 90""))"),0.540666666666667)</f>
        <v>0.5406666667</v>
      </c>
      <c r="M1265" s="17">
        <f>IFERROR(__xludf.DUMMYFUNCTION("AVERAGE(QUERY(SORT(GOOGLEFINANCE(B1265,""price"",TODAY()-365,TODAY()),1,0),""select Col2 limit 120""))"),0.5422500000000002)</f>
        <v>0.54225</v>
      </c>
      <c r="N1265" s="19">
        <f>IFERROR(__xludf.DUMMYFUNCTION("AVERAGE(QUERY(SORT(GOOGLEFINANCE(B1265,""price"",TODAY()-365,TODAY()),1,0),""select Col2 limit 200""))"),0.6638500000000005)</f>
        <v>0.66385</v>
      </c>
      <c r="O1265" s="20" t="str">
        <f t="shared" si="2"/>
        <v>Avoid</v>
      </c>
      <c r="P1265" s="21" t="str">
        <f t="shared" si="3"/>
        <v/>
      </c>
      <c r="Q1265" s="21" t="str">
        <f t="shared" si="4"/>
        <v/>
      </c>
      <c r="R1265" s="22">
        <f>IFERROR(__xludf.DUMMYFUNCTION("GOOGLEFINANCE(B1265, ""pe"")
"),59.09)</f>
        <v>59.09</v>
      </c>
    </row>
    <row r="1266">
      <c r="A1266" s="9" t="s">
        <v>1276</v>
      </c>
      <c r="B1266" s="11" t="str">
        <f t="shared" si="1"/>
        <v>NSE:JAYBARMARU</v>
      </c>
      <c r="C1266" s="12">
        <f>IFERROR(__xludf.DUMMYFUNCTION("GOOGLEFINANCE(B1266,""marketcap"")/10000000"),789.5755264)</f>
        <v>789.5755264</v>
      </c>
      <c r="D1266" s="13">
        <f>IFERROR(__xludf.DUMMYFUNCTION("GOOGLEFINANCE(B1266,""price"")"),72.94)</f>
        <v>72.94</v>
      </c>
      <c r="E1266" s="14">
        <f>IFERROR(__xludf.DUMMYFUNCTION("GOOGLEFINANCE(B1266,""Volume"")"),8362.0)</f>
        <v>8362</v>
      </c>
      <c r="F1266" s="14">
        <f t="array" ref="F1266">F1265</f>
        <v>14</v>
      </c>
      <c r="G1266" s="15" t="str">
        <f>IFERROR(__xludf.DUMMYFUNCTION("IF(E1266&gt;AVERAGE(INDEX(GOOGLEFINANCE(B1266,""volume"",WORKDAY(TODAY(),-$F$1),TODAY()),,2)),""Breakout"","""")"),"")</f>
        <v/>
      </c>
      <c r="H1266" s="16">
        <f>IFERROR(__xludf.DUMMYFUNCTION("GOOGLEFINANCE(B1266,""price"")"),72.94)</f>
        <v>72.94</v>
      </c>
      <c r="I1266" s="17">
        <f>IFERROR(__xludf.DUMMYFUNCTION("AVERAGE(QUERY(SORT(GOOGLEFINANCE(B1266,""price"",TODAY()-365,TODAY()),1,0),""select Col2 limit 10""))"),75.31200000000001)</f>
        <v>75.312</v>
      </c>
      <c r="J1266" s="17">
        <f>IFERROR(__xludf.DUMMYFUNCTION("AVERAGE(QUERY(SORT(GOOGLEFINANCE(B1266,""price"",TODAY()-365,TODAY()),1,0),""select Col2 limit 30""))"),76.66133333333332)</f>
        <v>76.66133333</v>
      </c>
      <c r="K1266" s="18">
        <f>IFERROR(__xludf.DUMMYFUNCTION("AVERAGE(QUERY(SORT(GOOGLEFINANCE(B1266,""price"",TODAY()-365,TODAY()),1,0),""select Col2 limit 60""))"),74.88733333333334)</f>
        <v>74.88733333</v>
      </c>
      <c r="L1266" s="17">
        <f>IFERROR(__xludf.DUMMYFUNCTION("AVERAGE(QUERY(SORT(GOOGLEFINANCE(B1266,""price"",TODAY()-365,TODAY()),1,0),""select Col2 limit 90""))"),70.60677777777778)</f>
        <v>70.60677778</v>
      </c>
      <c r="M1266" s="17">
        <f>IFERROR(__xludf.DUMMYFUNCTION("AVERAGE(QUERY(SORT(GOOGLEFINANCE(B1266,""price"",TODAY()-365,TODAY()),1,0),""select Col2 limit 120""))"),70.41683333333336)</f>
        <v>70.41683333</v>
      </c>
      <c r="N1266" s="19">
        <f>IFERROR(__xludf.DUMMYFUNCTION("AVERAGE(QUERY(SORT(GOOGLEFINANCE(B1266,""price"",TODAY()-365,TODAY()),1,0),""select Col2 limit 200""))"),78.44035000000002)</f>
        <v>78.44035</v>
      </c>
      <c r="O1266" s="20" t="str">
        <f t="shared" si="2"/>
        <v>Avoid</v>
      </c>
      <c r="P1266" s="21" t="str">
        <f t="shared" si="3"/>
        <v/>
      </c>
      <c r="Q1266" s="21" t="str">
        <f t="shared" si="4"/>
        <v/>
      </c>
      <c r="R1266" s="22">
        <f>IFERROR(__xludf.DUMMYFUNCTION("GOOGLEFINANCE(B1266, ""pe"")
"),23.99)</f>
        <v>23.99</v>
      </c>
    </row>
    <row r="1267">
      <c r="A1267" s="9" t="s">
        <v>1277</v>
      </c>
      <c r="B1267" s="11" t="str">
        <f t="shared" si="1"/>
        <v>NSE:BLISSGVS</v>
      </c>
      <c r="C1267" s="12">
        <f>IFERROR(__xludf.DUMMYFUNCTION("GOOGLEFINANCE(B1267,""marketcap"")/10000000"),1649.0298336)</f>
        <v>1649.029834</v>
      </c>
      <c r="D1267" s="13">
        <f>IFERROR(__xludf.DUMMYFUNCTION("GOOGLEFINANCE(B1267,""price"")"),156.56)</f>
        <v>156.56</v>
      </c>
      <c r="E1267" s="14">
        <f>IFERROR(__xludf.DUMMYFUNCTION("GOOGLEFINANCE(B1267,""Volume"")"),543804.0)</f>
        <v>543804</v>
      </c>
      <c r="F1267" s="14">
        <f t="array" ref="F1267">F1266</f>
        <v>14</v>
      </c>
      <c r="G1267" s="15" t="str">
        <f>IFERROR(__xludf.DUMMYFUNCTION("IF(E1267&gt;AVERAGE(INDEX(GOOGLEFINANCE(B1267,""volume"",WORKDAY(TODAY(),-$F$1),TODAY()),,2)),""Breakout"","""")"),"Breakout")</f>
        <v>Breakout</v>
      </c>
      <c r="H1267" s="16">
        <f>IFERROR(__xludf.DUMMYFUNCTION("GOOGLEFINANCE(B1267,""price"")"),156.56)</f>
        <v>156.56</v>
      </c>
      <c r="I1267" s="17">
        <f>IFERROR(__xludf.DUMMYFUNCTION("AVERAGE(QUERY(SORT(GOOGLEFINANCE(B1267,""price"",TODAY()-365,TODAY()),1,0),""select Col2 limit 10""))"),156.67700000000002)</f>
        <v>156.677</v>
      </c>
      <c r="J1267" s="17">
        <f>IFERROR(__xludf.DUMMYFUNCTION("AVERAGE(QUERY(SORT(GOOGLEFINANCE(B1267,""price"",TODAY()-365,TODAY()),1,0),""select Col2 limit 30""))"),153.02399999999997)</f>
        <v>153.024</v>
      </c>
      <c r="K1267" s="18">
        <f>IFERROR(__xludf.DUMMYFUNCTION("AVERAGE(QUERY(SORT(GOOGLEFINANCE(B1267,""price"",TODAY()-365,TODAY()),1,0),""select Col2 limit 60""))"),140.4955)</f>
        <v>140.4955</v>
      </c>
      <c r="L1267" s="17">
        <f>IFERROR(__xludf.DUMMYFUNCTION("AVERAGE(QUERY(SORT(GOOGLEFINANCE(B1267,""price"",TODAY()-365,TODAY()),1,0),""select Col2 limit 90""))"),134.04977777777782)</f>
        <v>134.0497778</v>
      </c>
      <c r="M1267" s="17">
        <f>IFERROR(__xludf.DUMMYFUNCTION("AVERAGE(QUERY(SORT(GOOGLEFINANCE(B1267,""price"",TODAY()-365,TODAY()),1,0),""select Col2 limit 120""))"),134.4364166666667)</f>
        <v>134.4364167</v>
      </c>
      <c r="N1267" s="19">
        <f>IFERROR(__xludf.DUMMYFUNCTION("AVERAGE(QUERY(SORT(GOOGLEFINANCE(B1267,""price"",TODAY()-365,TODAY()),1,0),""select Col2 limit 200""))"),139.32160000000005)</f>
        <v>139.3216</v>
      </c>
      <c r="O1267" s="20" t="str">
        <f t="shared" si="2"/>
        <v>Avoid</v>
      </c>
      <c r="P1267" s="21" t="str">
        <f t="shared" si="3"/>
        <v>10 DMA</v>
      </c>
      <c r="Q1267" s="21" t="str">
        <f t="shared" si="4"/>
        <v/>
      </c>
      <c r="R1267" s="22">
        <f>IFERROR(__xludf.DUMMYFUNCTION("GOOGLEFINANCE(B1267, ""pe"")
"),19.68)</f>
        <v>19.68</v>
      </c>
    </row>
    <row r="1268">
      <c r="A1268" s="9" t="s">
        <v>1278</v>
      </c>
      <c r="B1268" s="11" t="str">
        <f t="shared" si="1"/>
        <v>NSE:POCL</v>
      </c>
      <c r="C1268" s="12">
        <f>IFERROR(__xludf.DUMMYFUNCTION("GOOGLEFINANCE(B1268,""marketcap"")/10000000"),3413.2207025)</f>
        <v>3413.220703</v>
      </c>
      <c r="D1268" s="13">
        <f>IFERROR(__xludf.DUMMYFUNCTION("GOOGLEFINANCE(B1268,""price"")"),1131.25)</f>
        <v>1131.25</v>
      </c>
      <c r="E1268" s="14">
        <f>IFERROR(__xludf.DUMMYFUNCTION("GOOGLEFINANCE(B1268,""Volume"")"),1037029.0)</f>
        <v>1037029</v>
      </c>
      <c r="F1268" s="14">
        <f t="array" ref="F1268">F1267</f>
        <v>14</v>
      </c>
      <c r="G1268" s="15" t="str">
        <f>IFERROR(__xludf.DUMMYFUNCTION("IF(E1268&gt;AVERAGE(INDEX(GOOGLEFINANCE(B1268,""volume"",WORKDAY(TODAY(),-$F$1),TODAY()),,2)),""Breakout"","""")"),"Breakout")</f>
        <v>Breakout</v>
      </c>
      <c r="H1268" s="16">
        <f>IFERROR(__xludf.DUMMYFUNCTION("GOOGLEFINANCE(B1268,""price"")"),1131.25)</f>
        <v>1131.25</v>
      </c>
      <c r="I1268" s="17">
        <f>IFERROR(__xludf.DUMMYFUNCTION("AVERAGE(QUERY(SORT(GOOGLEFINANCE(B1268,""price"",TODAY()-365,TODAY()),1,0),""select Col2 limit 10""))"),993.6300000000001)</f>
        <v>993.63</v>
      </c>
      <c r="J1268" s="17">
        <f>IFERROR(__xludf.DUMMYFUNCTION("AVERAGE(QUERY(SORT(GOOGLEFINANCE(B1268,""price"",TODAY()-365,TODAY()),1,0),""select Col2 limit 30""))"),884.6316666666664)</f>
        <v>884.6316667</v>
      </c>
      <c r="K1268" s="18">
        <f>IFERROR(__xludf.DUMMYFUNCTION("AVERAGE(QUERY(SORT(GOOGLEFINANCE(B1268,""price"",TODAY()-365,TODAY()),1,0),""select Col2 limit 60""))"),830.2325)</f>
        <v>830.2325</v>
      </c>
      <c r="L1268" s="17">
        <f>IFERROR(__xludf.DUMMYFUNCTION("AVERAGE(QUERY(SORT(GOOGLEFINANCE(B1268,""price"",TODAY()-365,TODAY()),1,0),""select Col2 limit 90""))"),775.7872222222221)</f>
        <v>775.7872222</v>
      </c>
      <c r="M1268" s="17">
        <f>IFERROR(__xludf.DUMMYFUNCTION("AVERAGE(QUERY(SORT(GOOGLEFINANCE(B1268,""price"",TODAY()-365,TODAY()),1,0),""select Col2 limit 120""))"),743.7016666666665)</f>
        <v>743.7016667</v>
      </c>
      <c r="N1268" s="19">
        <f>IFERROR(__xludf.DUMMYFUNCTION("AVERAGE(QUERY(SORT(GOOGLEFINANCE(B1268,""price"",TODAY()-365,TODAY()),1,0),""select Col2 limit 200""))"),802.9614999999995)</f>
        <v>802.9615</v>
      </c>
      <c r="O1268" s="20" t="str">
        <f t="shared" si="2"/>
        <v>Avoid</v>
      </c>
      <c r="P1268" s="21" t="str">
        <f t="shared" si="3"/>
        <v/>
      </c>
      <c r="Q1268" s="21" t="str">
        <f t="shared" si="4"/>
        <v/>
      </c>
      <c r="R1268" s="22">
        <f>IFERROR(__xludf.DUMMYFUNCTION("GOOGLEFINANCE(B1268, ""pe"")
"),45.78)</f>
        <v>45.78</v>
      </c>
    </row>
    <row r="1269">
      <c r="A1269" s="9" t="s">
        <v>1279</v>
      </c>
      <c r="B1269" s="11" t="str">
        <f t="shared" si="1"/>
        <v>NSE:KOPRAN</v>
      </c>
      <c r="C1269" s="12">
        <f>IFERROR(__xludf.DUMMYFUNCTION("GOOGLEFINANCE(B1269,""marketcap"")/10000000"),859.4354209)</f>
        <v>859.4354209</v>
      </c>
      <c r="D1269" s="13">
        <f>IFERROR(__xludf.DUMMYFUNCTION("GOOGLEFINANCE(B1269,""price"")"),178.5)</f>
        <v>178.5</v>
      </c>
      <c r="E1269" s="14">
        <f>IFERROR(__xludf.DUMMYFUNCTION("GOOGLEFINANCE(B1269,""Volume"")"),180048.0)</f>
        <v>180048</v>
      </c>
      <c r="F1269" s="14">
        <f t="array" ref="F1269">F1268</f>
        <v>14</v>
      </c>
      <c r="G1269" s="15" t="str">
        <f>IFERROR(__xludf.DUMMYFUNCTION("IF(E1269&gt;AVERAGE(INDEX(GOOGLEFINANCE(B1269,""volume"",WORKDAY(TODAY(),-$F$1),TODAY()),,2)),""Breakout"","""")"),"Breakout")</f>
        <v>Breakout</v>
      </c>
      <c r="H1269" s="16">
        <f>IFERROR(__xludf.DUMMYFUNCTION("GOOGLEFINANCE(B1269,""price"")"),178.5)</f>
        <v>178.5</v>
      </c>
      <c r="I1269" s="17">
        <f>IFERROR(__xludf.DUMMYFUNCTION("AVERAGE(QUERY(SORT(GOOGLEFINANCE(B1269,""price"",TODAY()-365,TODAY()),1,0),""select Col2 limit 10""))"),178.14000000000004)</f>
        <v>178.14</v>
      </c>
      <c r="J1269" s="17">
        <f>IFERROR(__xludf.DUMMYFUNCTION("AVERAGE(QUERY(SORT(GOOGLEFINANCE(B1269,""price"",TODAY()-365,TODAY()),1,0),""select Col2 limit 30""))"),181.7276666666667)</f>
        <v>181.7276667</v>
      </c>
      <c r="K1269" s="18">
        <f>IFERROR(__xludf.DUMMYFUNCTION("AVERAGE(QUERY(SORT(GOOGLEFINANCE(B1269,""price"",TODAY()-365,TODAY()),1,0),""select Col2 limit 60""))"),185.13166666666666)</f>
        <v>185.1316667</v>
      </c>
      <c r="L1269" s="17">
        <f>IFERROR(__xludf.DUMMYFUNCTION("AVERAGE(QUERY(SORT(GOOGLEFINANCE(B1269,""price"",TODAY()-365,TODAY()),1,0),""select Col2 limit 90""))"),186.11444444444447)</f>
        <v>186.1144444</v>
      </c>
      <c r="M1269" s="17">
        <f>IFERROR(__xludf.DUMMYFUNCTION("AVERAGE(QUERY(SORT(GOOGLEFINANCE(B1269,""price"",TODAY()-365,TODAY()),1,0),""select Col2 limit 120""))"),183.26366666666667)</f>
        <v>183.2636667</v>
      </c>
      <c r="N1269" s="19">
        <f>IFERROR(__xludf.DUMMYFUNCTION("AVERAGE(QUERY(SORT(GOOGLEFINANCE(B1269,""price"",TODAY()-365,TODAY()),1,0),""select Col2 limit 200""))"),206.05855000000003)</f>
        <v>206.05855</v>
      </c>
      <c r="O1269" s="20" t="str">
        <f t="shared" si="2"/>
        <v>Avoid</v>
      </c>
      <c r="P1269" s="21" t="str">
        <f t="shared" si="3"/>
        <v/>
      </c>
      <c r="Q1269" s="21" t="str">
        <f t="shared" si="4"/>
        <v/>
      </c>
      <c r="R1269" s="22">
        <f>IFERROR(__xludf.DUMMYFUNCTION("GOOGLEFINANCE(B1269, ""pe"")
"),22.27)</f>
        <v>22.27</v>
      </c>
    </row>
    <row r="1270">
      <c r="A1270" s="9" t="s">
        <v>1280</v>
      </c>
      <c r="B1270" s="11" t="str">
        <f t="shared" si="1"/>
        <v>NSE:PDMJEPAPER</v>
      </c>
      <c r="C1270" s="12">
        <f>IFERROR(__xludf.DUMMYFUNCTION("GOOGLEFINANCE(B1270,""marketcap"")/10000000"),1146.5214915)</f>
        <v>1146.521492</v>
      </c>
      <c r="D1270" s="13">
        <f>IFERROR(__xludf.DUMMYFUNCTION("GOOGLEFINANCE(B1270,""price"")"),120.36)</f>
        <v>120.36</v>
      </c>
      <c r="E1270" s="14">
        <f>IFERROR(__xludf.DUMMYFUNCTION("GOOGLEFINANCE(B1270,""Volume"")"),45291.0)</f>
        <v>45291</v>
      </c>
      <c r="F1270" s="14">
        <f t="array" ref="F1270">F1269</f>
        <v>14</v>
      </c>
      <c r="G1270" s="15" t="str">
        <f>IFERROR(__xludf.DUMMYFUNCTION("IF(E1270&gt;AVERAGE(INDEX(GOOGLEFINANCE(B1270,""volume"",WORKDAY(TODAY(),-$F$1),TODAY()),,2)),""Breakout"","""")"),"")</f>
        <v/>
      </c>
      <c r="H1270" s="16">
        <f>IFERROR(__xludf.DUMMYFUNCTION("GOOGLEFINANCE(B1270,""price"")"),120.36)</f>
        <v>120.36</v>
      </c>
      <c r="I1270" s="17">
        <f>IFERROR(__xludf.DUMMYFUNCTION("AVERAGE(QUERY(SORT(GOOGLEFINANCE(B1270,""price"",TODAY()-365,TODAY()),1,0),""select Col2 limit 10""))"),122.86899999999999)</f>
        <v>122.869</v>
      </c>
      <c r="J1270" s="17">
        <f>IFERROR(__xludf.DUMMYFUNCTION("AVERAGE(QUERY(SORT(GOOGLEFINANCE(B1270,""price"",TODAY()-365,TODAY()),1,0),""select Col2 limit 30""))"),119.11033333333333)</f>
        <v>119.1103333</v>
      </c>
      <c r="K1270" s="18">
        <f>IFERROR(__xludf.DUMMYFUNCTION("AVERAGE(QUERY(SORT(GOOGLEFINANCE(B1270,""price"",TODAY()-365,TODAY()),1,0),""select Col2 limit 60""))"),112.789)</f>
        <v>112.789</v>
      </c>
      <c r="L1270" s="17">
        <f>IFERROR(__xludf.DUMMYFUNCTION("AVERAGE(QUERY(SORT(GOOGLEFINANCE(B1270,""price"",TODAY()-365,TODAY()),1,0),""select Col2 limit 90""))"),110.47666666666666)</f>
        <v>110.4766667</v>
      </c>
      <c r="M1270" s="17">
        <f>IFERROR(__xludf.DUMMYFUNCTION("AVERAGE(QUERY(SORT(GOOGLEFINANCE(B1270,""price"",TODAY()-365,TODAY()),1,0),""select Col2 limit 120""))"),111.50066666666667)</f>
        <v>111.5006667</v>
      </c>
      <c r="N1270" s="19">
        <f>IFERROR(__xludf.DUMMYFUNCTION("AVERAGE(QUERY(SORT(GOOGLEFINANCE(B1270,""price"",TODAY()-365,TODAY()),1,0),""select Col2 limit 200""))"),128.08925000000008)</f>
        <v>128.08925</v>
      </c>
      <c r="O1270" s="20" t="str">
        <f t="shared" si="2"/>
        <v>Avoid</v>
      </c>
      <c r="P1270" s="21" t="str">
        <f t="shared" si="3"/>
        <v/>
      </c>
      <c r="Q1270" s="21" t="str">
        <f t="shared" si="4"/>
        <v/>
      </c>
      <c r="R1270" s="22">
        <f>IFERROR(__xludf.DUMMYFUNCTION("GOOGLEFINANCE(B1270, ""pe"")
"),11.93)</f>
        <v>11.93</v>
      </c>
    </row>
    <row r="1271">
      <c r="A1271" s="9" t="s">
        <v>1281</v>
      </c>
      <c r="B1271" s="11" t="str">
        <f t="shared" si="1"/>
        <v>NSE:GANESHBE</v>
      </c>
      <c r="C1271" s="12">
        <f>IFERROR(__xludf.DUMMYFUNCTION("GOOGLEFINANCE(B1271,""marketcap"")/10000000"),684.691378)</f>
        <v>684.691378</v>
      </c>
      <c r="D1271" s="13">
        <f>IFERROR(__xludf.DUMMYFUNCTION("GOOGLEFINANCE(B1271,""price"")"),95.11)</f>
        <v>95.11</v>
      </c>
      <c r="E1271" s="14">
        <f>IFERROR(__xludf.DUMMYFUNCTION("GOOGLEFINANCE(B1271,""Volume"")"),56668.0)</f>
        <v>56668</v>
      </c>
      <c r="F1271" s="14">
        <f t="array" ref="F1271">F1270</f>
        <v>14</v>
      </c>
      <c r="G1271" s="15" t="str">
        <f>IFERROR(__xludf.DUMMYFUNCTION("IF(E1271&gt;AVERAGE(INDEX(GOOGLEFINANCE(B1271,""volume"",WORKDAY(TODAY(),-$F$1),TODAY()),,2)),""Breakout"","""")"),"")</f>
        <v/>
      </c>
      <c r="H1271" s="16">
        <f>IFERROR(__xludf.DUMMYFUNCTION("GOOGLEFINANCE(B1271,""price"")"),95.11)</f>
        <v>95.11</v>
      </c>
      <c r="I1271" s="17" t="str">
        <f>IFERROR(__xludf.DUMMYFUNCTION("AVERAGE(QUERY(SORT(GOOGLEFINANCE(B1271,""price"",TODAY()-365,TODAY()),1,0),""select Col2 limit 10""))"),"#N/A")</f>
        <v>#N/A</v>
      </c>
      <c r="J1271" s="17" t="str">
        <f>IFERROR(__xludf.DUMMYFUNCTION("AVERAGE(QUERY(SORT(GOOGLEFINANCE(B1271,""price"",TODAY()-365,TODAY()),1,0),""select Col2 limit 30""))"),"#N/A")</f>
        <v>#N/A</v>
      </c>
      <c r="K1271" s="18" t="str">
        <f>IFERROR(__xludf.DUMMYFUNCTION("AVERAGE(QUERY(SORT(GOOGLEFINANCE(B1271,""price"",TODAY()-365,TODAY()),1,0),""select Col2 limit 60""))"),"#N/A")</f>
        <v>#N/A</v>
      </c>
      <c r="L1271" s="17" t="str">
        <f>IFERROR(__xludf.DUMMYFUNCTION("AVERAGE(QUERY(SORT(GOOGLEFINANCE(B1271,""price"",TODAY()-365,TODAY()),1,0),""select Col2 limit 90""))"),"#N/A")</f>
        <v>#N/A</v>
      </c>
      <c r="M1271" s="17" t="str">
        <f>IFERROR(__xludf.DUMMYFUNCTION("AVERAGE(QUERY(SORT(GOOGLEFINANCE(B1271,""price"",TODAY()-365,TODAY()),1,0),""select Col2 limit 120""))"),"#N/A")</f>
        <v>#N/A</v>
      </c>
      <c r="N1271" s="19" t="str">
        <f>IFERROR(__xludf.DUMMYFUNCTION("AVERAGE(QUERY(SORT(GOOGLEFINANCE(B1271,""price"",TODAY()-365,TODAY()),1,0),""select Col2 limit 200""))"),"#N/A")</f>
        <v>#N/A</v>
      </c>
      <c r="O1271" s="20" t="str">
        <f t="shared" si="2"/>
        <v>#N/A</v>
      </c>
      <c r="P1271" s="21" t="str">
        <f t="shared" si="3"/>
        <v>#N/A</v>
      </c>
      <c r="Q1271" s="21" t="str">
        <f t="shared" si="4"/>
        <v>#N/A</v>
      </c>
      <c r="R1271" s="22">
        <f>IFERROR(__xludf.DUMMYFUNCTION("GOOGLEFINANCE(B1271, ""pe"")
"),18.05)</f>
        <v>18.05</v>
      </c>
    </row>
    <row r="1272">
      <c r="A1272" s="9" t="s">
        <v>1282</v>
      </c>
      <c r="B1272" s="11" t="str">
        <f t="shared" si="1"/>
        <v>NSE:RAJRILTD</v>
      </c>
      <c r="C1272" s="12">
        <f>IFERROR(__xludf.DUMMYFUNCTION("GOOGLEFINANCE(B1272,""marketcap"")/10000000"),1529.226875)</f>
        <v>1529.226875</v>
      </c>
      <c r="D1272" s="13">
        <f>IFERROR(__xludf.DUMMYFUNCTION("GOOGLEFINANCE(B1272,""price"")"),27.5)</f>
        <v>27.5</v>
      </c>
      <c r="E1272" s="14">
        <f>IFERROR(__xludf.DUMMYFUNCTION("GOOGLEFINANCE(B1272,""Volume"")"),5120.0)</f>
        <v>5120</v>
      </c>
      <c r="F1272" s="14">
        <f t="array" ref="F1272">F1271</f>
        <v>14</v>
      </c>
      <c r="G1272" s="15" t="str">
        <f>IFERROR(__xludf.DUMMYFUNCTION("IF(E1272&gt;AVERAGE(INDEX(GOOGLEFINANCE(B1272,""volume"",WORKDAY(TODAY(),-$F$1),TODAY()),,2)),""Breakout"","""")"),"")</f>
        <v/>
      </c>
      <c r="H1272" s="16">
        <f>IFERROR(__xludf.DUMMYFUNCTION("GOOGLEFINANCE(B1272,""price"")"),27.5)</f>
        <v>27.5</v>
      </c>
      <c r="I1272" s="17">
        <f>IFERROR(__xludf.DUMMYFUNCTION("AVERAGE(QUERY(SORT(GOOGLEFINANCE(B1272,""price"",TODAY()-365,TODAY()),1,0),""select Col2 limit 10""))"),27.017000000000003)</f>
        <v>27.017</v>
      </c>
      <c r="J1272" s="17">
        <f>IFERROR(__xludf.DUMMYFUNCTION("AVERAGE(QUERY(SORT(GOOGLEFINANCE(B1272,""price"",TODAY()-365,TODAY()),1,0),""select Col2 limit 30""))"),28.298666666666666)</f>
        <v>28.29866667</v>
      </c>
      <c r="K1272" s="18">
        <f>IFERROR(__xludf.DUMMYFUNCTION("AVERAGE(QUERY(SORT(GOOGLEFINANCE(B1272,""price"",TODAY()-365,TODAY()),1,0),""select Col2 limit 60""))"),26.293833333333332)</f>
        <v>26.29383333</v>
      </c>
      <c r="L1272" s="17">
        <f>IFERROR(__xludf.DUMMYFUNCTION("AVERAGE(QUERY(SORT(GOOGLEFINANCE(B1272,""price"",TODAY()-365,TODAY()),1,0),""select Col2 limit 90""))"),24.79955555555556)</f>
        <v>24.79955556</v>
      </c>
      <c r="M1272" s="17">
        <f>IFERROR(__xludf.DUMMYFUNCTION("AVERAGE(QUERY(SORT(GOOGLEFINANCE(B1272,""price"",TODAY()-365,TODAY()),1,0),""select Col2 limit 120""))"),24.013)</f>
        <v>24.013</v>
      </c>
      <c r="N1272" s="19">
        <f>IFERROR(__xludf.DUMMYFUNCTION("AVERAGE(QUERY(SORT(GOOGLEFINANCE(B1272,""price"",TODAY()-365,TODAY()),1,0),""select Col2 limit 200""))"),23.717650000000003)</f>
        <v>23.71765</v>
      </c>
      <c r="O1272" s="20" t="str">
        <f t="shared" si="2"/>
        <v>Avoid</v>
      </c>
      <c r="P1272" s="21" t="str">
        <f t="shared" si="3"/>
        <v/>
      </c>
      <c r="Q1272" s="21" t="str">
        <f t="shared" si="4"/>
        <v/>
      </c>
      <c r="R1272" s="22">
        <f>IFERROR(__xludf.DUMMYFUNCTION("GOOGLEFINANCE(B1272, ""pe"")
"),161.76)</f>
        <v>161.76</v>
      </c>
    </row>
    <row r="1273">
      <c r="A1273" s="9" t="s">
        <v>1283</v>
      </c>
      <c r="B1273" s="11" t="str">
        <f t="shared" si="1"/>
        <v>NSE:UNIENTER</v>
      </c>
      <c r="C1273" s="12">
        <f>IFERROR(__xludf.DUMMYFUNCTION("GOOGLEFINANCE(B1273,""marketcap"")/10000000"),1112.5251309)</f>
        <v>1112.525131</v>
      </c>
      <c r="D1273" s="13">
        <f>IFERROR(__xludf.DUMMYFUNCTION("GOOGLEFINANCE(B1273,""price"")"),159.97)</f>
        <v>159.97</v>
      </c>
      <c r="E1273" s="14">
        <f>IFERROR(__xludf.DUMMYFUNCTION("GOOGLEFINANCE(B1273,""Volume"")"),3966.0)</f>
        <v>3966</v>
      </c>
      <c r="F1273" s="14">
        <f t="array" ref="F1273">F1272</f>
        <v>14</v>
      </c>
      <c r="G1273" s="15" t="str">
        <f>IFERROR(__xludf.DUMMYFUNCTION("IF(E1273&gt;AVERAGE(INDEX(GOOGLEFINANCE(B1273,""volume"",WORKDAY(TODAY(),-$F$1),TODAY()),,2)),""Breakout"","""")"),"")</f>
        <v/>
      </c>
      <c r="H1273" s="16">
        <f>IFERROR(__xludf.DUMMYFUNCTION("GOOGLEFINANCE(B1273,""price"")"),159.97)</f>
        <v>159.97</v>
      </c>
      <c r="I1273" s="17">
        <f>IFERROR(__xludf.DUMMYFUNCTION("AVERAGE(QUERY(SORT(GOOGLEFINANCE(B1273,""price"",TODAY()-365,TODAY()),1,0),""select Col2 limit 10""))"),157.25300000000001)</f>
        <v>157.253</v>
      </c>
      <c r="J1273" s="17">
        <f>IFERROR(__xludf.DUMMYFUNCTION("AVERAGE(QUERY(SORT(GOOGLEFINANCE(B1273,""price"",TODAY()-365,TODAY()),1,0),""select Col2 limit 30""))"),154.19300000000004)</f>
        <v>154.193</v>
      </c>
      <c r="K1273" s="18">
        <f>IFERROR(__xludf.DUMMYFUNCTION("AVERAGE(QUERY(SORT(GOOGLEFINANCE(B1273,""price"",TODAY()-365,TODAY()),1,0),""select Col2 limit 60""))"),156.13883333333337)</f>
        <v>156.1388333</v>
      </c>
      <c r="L1273" s="17">
        <f>IFERROR(__xludf.DUMMYFUNCTION("AVERAGE(QUERY(SORT(GOOGLEFINANCE(B1273,""price"",TODAY()-365,TODAY()),1,0),""select Col2 limit 90""))"),155.30011111111116)</f>
        <v>155.3001111</v>
      </c>
      <c r="M1273" s="17">
        <f>IFERROR(__xludf.DUMMYFUNCTION("AVERAGE(QUERY(SORT(GOOGLEFINANCE(B1273,""price"",TODAY()-365,TODAY()),1,0),""select Col2 limit 120""))"),153.95750000000004)</f>
        <v>153.9575</v>
      </c>
      <c r="N1273" s="19">
        <f>IFERROR(__xludf.DUMMYFUNCTION("AVERAGE(QUERY(SORT(GOOGLEFINANCE(B1273,""price"",TODAY()-365,TODAY()),1,0),""select Col2 limit 200""))"),155.51625000000004)</f>
        <v>155.51625</v>
      </c>
      <c r="O1273" s="20" t="str">
        <f t="shared" si="2"/>
        <v>Avoid</v>
      </c>
      <c r="P1273" s="21" t="str">
        <f t="shared" si="3"/>
        <v/>
      </c>
      <c r="Q1273" s="21" t="str">
        <f t="shared" si="4"/>
        <v/>
      </c>
      <c r="R1273" s="22">
        <f>IFERROR(__xludf.DUMMYFUNCTION("GOOGLEFINANCE(B1273, ""pe"")
"),3977.75)</f>
        <v>3977.75</v>
      </c>
    </row>
    <row r="1274">
      <c r="A1274" s="9" t="s">
        <v>1284</v>
      </c>
      <c r="B1274" s="11" t="str">
        <f t="shared" si="1"/>
        <v>NSE:PPL</v>
      </c>
      <c r="C1274" s="12">
        <f>IFERROR(__xludf.DUMMYFUNCTION("GOOGLEFINANCE(B1274,""marketcap"")/10000000"),890.001818)</f>
        <v>890.001818</v>
      </c>
      <c r="D1274" s="13">
        <f>IFERROR(__xludf.DUMMYFUNCTION("GOOGLEFINANCE(B1274,""price"")"),371.55)</f>
        <v>371.55</v>
      </c>
      <c r="E1274" s="14">
        <f>IFERROR(__xludf.DUMMYFUNCTION("GOOGLEFINANCE(B1274,""Volume"")"),27025.0)</f>
        <v>27025</v>
      </c>
      <c r="F1274" s="14">
        <f t="array" ref="F1274">F1273</f>
        <v>14</v>
      </c>
      <c r="G1274" s="15" t="str">
        <f>IFERROR(__xludf.DUMMYFUNCTION("IF(E1274&gt;AVERAGE(INDEX(GOOGLEFINANCE(B1274,""volume"",WORKDAY(TODAY(),-$F$1),TODAY()),,2)),""Breakout"","""")"),"")</f>
        <v/>
      </c>
      <c r="H1274" s="16">
        <f>IFERROR(__xludf.DUMMYFUNCTION("GOOGLEFINANCE(B1274,""price"")"),371.55)</f>
        <v>371.55</v>
      </c>
      <c r="I1274" s="17">
        <f>IFERROR(__xludf.DUMMYFUNCTION("AVERAGE(QUERY(SORT(GOOGLEFINANCE(B1274,""price"",TODAY()-365,TODAY()),1,0),""select Col2 limit 10""))"),386.185)</f>
        <v>386.185</v>
      </c>
      <c r="J1274" s="17">
        <f>IFERROR(__xludf.DUMMYFUNCTION("AVERAGE(QUERY(SORT(GOOGLEFINANCE(B1274,""price"",TODAY()-365,TODAY()),1,0),""select Col2 limit 30""))"),392.47666666666663)</f>
        <v>392.4766667</v>
      </c>
      <c r="K1274" s="18">
        <f>IFERROR(__xludf.DUMMYFUNCTION("AVERAGE(QUERY(SORT(GOOGLEFINANCE(B1274,""price"",TODAY()-365,TODAY()),1,0),""select Col2 limit 60""))"),406.7133333333333)</f>
        <v>406.7133333</v>
      </c>
      <c r="L1274" s="17">
        <f>IFERROR(__xludf.DUMMYFUNCTION("AVERAGE(QUERY(SORT(GOOGLEFINANCE(B1274,""price"",TODAY()-365,TODAY()),1,0),""select Col2 limit 90""))"),409.9483333333333)</f>
        <v>409.9483333</v>
      </c>
      <c r="M1274" s="17">
        <f>IFERROR(__xludf.DUMMYFUNCTION("AVERAGE(QUERY(SORT(GOOGLEFINANCE(B1274,""price"",TODAY()-365,TODAY()),1,0),""select Col2 limit 120""))"),413.66875)</f>
        <v>413.66875</v>
      </c>
      <c r="N1274" s="19">
        <f>IFERROR(__xludf.DUMMYFUNCTION("AVERAGE(QUERY(SORT(GOOGLEFINANCE(B1274,""price"",TODAY()-365,TODAY()),1,0),""select Col2 limit 200""))"),452.6459999999999)</f>
        <v>452.646</v>
      </c>
      <c r="O1274" s="20" t="str">
        <f t="shared" si="2"/>
        <v>Avoid</v>
      </c>
      <c r="P1274" s="21" t="str">
        <f t="shared" si="3"/>
        <v/>
      </c>
      <c r="Q1274" s="21" t="str">
        <f t="shared" si="4"/>
        <v/>
      </c>
      <c r="R1274" s="22">
        <f>IFERROR(__xludf.DUMMYFUNCTION("GOOGLEFINANCE(B1274, ""pe"")
"),10.7)</f>
        <v>10.7</v>
      </c>
    </row>
    <row r="1275">
      <c r="A1275" s="9" t="s">
        <v>1285</v>
      </c>
      <c r="B1275" s="11" t="str">
        <f t="shared" si="1"/>
        <v>NSE:ZUARIIND</v>
      </c>
      <c r="C1275" s="12">
        <f>IFERROR(__xludf.DUMMYFUNCTION("GOOGLEFINANCE(B1275,""marketcap"")/10000000"),789.4992)</f>
        <v>789.4992</v>
      </c>
      <c r="D1275" s="13">
        <f>IFERROR(__xludf.DUMMYFUNCTION("GOOGLEFINANCE(B1275,""price"")"),268.85)</f>
        <v>268.85</v>
      </c>
      <c r="E1275" s="14">
        <f>IFERROR(__xludf.DUMMYFUNCTION("GOOGLEFINANCE(B1275,""Volume"")"),16050.0)</f>
        <v>16050</v>
      </c>
      <c r="F1275" s="14">
        <f t="array" ref="F1275">F1274</f>
        <v>14</v>
      </c>
      <c r="G1275" s="15" t="str">
        <f>IFERROR(__xludf.DUMMYFUNCTION("IF(E1275&gt;AVERAGE(INDEX(GOOGLEFINANCE(B1275,""volume"",WORKDAY(TODAY(),-$F$1),TODAY()),,2)),""Breakout"","""")"),"")</f>
        <v/>
      </c>
      <c r="H1275" s="16">
        <f>IFERROR(__xludf.DUMMYFUNCTION("GOOGLEFINANCE(B1275,""price"")"),268.85)</f>
        <v>268.85</v>
      </c>
      <c r="I1275" s="17">
        <f>IFERROR(__xludf.DUMMYFUNCTION("AVERAGE(QUERY(SORT(GOOGLEFINANCE(B1275,""price"",TODAY()-365,TODAY()),1,0),""select Col2 limit 10""))"),269.58500000000004)</f>
        <v>269.585</v>
      </c>
      <c r="J1275" s="17">
        <f>IFERROR(__xludf.DUMMYFUNCTION("AVERAGE(QUERY(SORT(GOOGLEFINANCE(B1275,""price"",TODAY()-365,TODAY()),1,0),""select Col2 limit 30""))"),275.18666666666667)</f>
        <v>275.1866667</v>
      </c>
      <c r="K1275" s="18">
        <f>IFERROR(__xludf.DUMMYFUNCTION("AVERAGE(QUERY(SORT(GOOGLEFINANCE(B1275,""price"",TODAY()-365,TODAY()),1,0),""select Col2 limit 60""))"),281.86)</f>
        <v>281.86</v>
      </c>
      <c r="L1275" s="17">
        <f>IFERROR(__xludf.DUMMYFUNCTION("AVERAGE(QUERY(SORT(GOOGLEFINANCE(B1275,""price"",TODAY()-365,TODAY()),1,0),""select Col2 limit 90""))"),275.28344444444446)</f>
        <v>275.2834444</v>
      </c>
      <c r="M1275" s="17">
        <f>IFERROR(__xludf.DUMMYFUNCTION("AVERAGE(QUERY(SORT(GOOGLEFINANCE(B1275,""price"",TODAY()-365,TODAY()),1,0),""select Col2 limit 120""))"),271.8055)</f>
        <v>271.8055</v>
      </c>
      <c r="N1275" s="19">
        <f>IFERROR(__xludf.DUMMYFUNCTION("AVERAGE(QUERY(SORT(GOOGLEFINANCE(B1275,""price"",TODAY()-365,TODAY()),1,0),""select Col2 limit 200""))"),294.7025500000001)</f>
        <v>294.70255</v>
      </c>
      <c r="O1275" s="20" t="str">
        <f t="shared" si="2"/>
        <v>Avoid</v>
      </c>
      <c r="P1275" s="21" t="str">
        <f t="shared" si="3"/>
        <v>10 DMA</v>
      </c>
      <c r="Q1275" s="21" t="str">
        <f t="shared" si="4"/>
        <v>10 DMA cross best</v>
      </c>
      <c r="R1275" s="22" t="str">
        <f>IFERROR(__xludf.DUMMYFUNCTION("GOOGLEFINANCE(B1275, ""pe"")
"),"#N/A")</f>
        <v>#N/A</v>
      </c>
    </row>
    <row r="1276">
      <c r="A1276" s="9" t="s">
        <v>1286</v>
      </c>
      <c r="B1276" s="11" t="str">
        <f t="shared" si="1"/>
        <v>NSE:INDORAMA</v>
      </c>
      <c r="C1276" s="12">
        <f>IFERROR(__xludf.DUMMYFUNCTION("GOOGLEFINANCE(B1276,""marketcap"")/10000000"),1344.73298)</f>
        <v>1344.73298</v>
      </c>
      <c r="D1276" s="13">
        <f>IFERROR(__xludf.DUMMYFUNCTION("GOOGLEFINANCE(B1276,""price"")"),51.5)</f>
        <v>51.5</v>
      </c>
      <c r="E1276" s="14">
        <f>IFERROR(__xludf.DUMMYFUNCTION("GOOGLEFINANCE(B1276,""Volume"")"),16938.0)</f>
        <v>16938</v>
      </c>
      <c r="F1276" s="14">
        <f t="array" ref="F1276">F1275</f>
        <v>14</v>
      </c>
      <c r="G1276" s="15" t="str">
        <f>IFERROR(__xludf.DUMMYFUNCTION("IF(E1276&gt;AVERAGE(INDEX(GOOGLEFINANCE(B1276,""volume"",WORKDAY(TODAY(),-$F$1),TODAY()),,2)),""Breakout"","""")"),"")</f>
        <v/>
      </c>
      <c r="H1276" s="16">
        <f>IFERROR(__xludf.DUMMYFUNCTION("GOOGLEFINANCE(B1276,""price"")"),51.5)</f>
        <v>51.5</v>
      </c>
      <c r="I1276" s="17">
        <f>IFERROR(__xludf.DUMMYFUNCTION("AVERAGE(QUERY(SORT(GOOGLEFINANCE(B1276,""price"",TODAY()-365,TODAY()),1,0),""select Col2 limit 10""))"),51.235)</f>
        <v>51.235</v>
      </c>
      <c r="J1276" s="17">
        <f>IFERROR(__xludf.DUMMYFUNCTION("AVERAGE(QUERY(SORT(GOOGLEFINANCE(B1276,""price"",TODAY()-365,TODAY()),1,0),""select Col2 limit 30""))"),49.278666666666666)</f>
        <v>49.27866667</v>
      </c>
      <c r="K1276" s="18">
        <f>IFERROR(__xludf.DUMMYFUNCTION("AVERAGE(QUERY(SORT(GOOGLEFINANCE(B1276,""price"",TODAY()-365,TODAY()),1,0),""select Col2 limit 60""))"),47.02083333333333)</f>
        <v>47.02083333</v>
      </c>
      <c r="L1276" s="17">
        <f>IFERROR(__xludf.DUMMYFUNCTION("AVERAGE(QUERY(SORT(GOOGLEFINANCE(B1276,""price"",TODAY()-365,TODAY()),1,0),""select Col2 limit 90""))"),43.152222222222214)</f>
        <v>43.15222222</v>
      </c>
      <c r="M1276" s="17">
        <f>IFERROR(__xludf.DUMMYFUNCTION("AVERAGE(QUERY(SORT(GOOGLEFINANCE(B1276,""price"",TODAY()-365,TODAY()),1,0),""select Col2 limit 120""))"),42.02283333333334)</f>
        <v>42.02283333</v>
      </c>
      <c r="N1276" s="19">
        <f>IFERROR(__xludf.DUMMYFUNCTION("AVERAGE(QUERY(SORT(GOOGLEFINANCE(B1276,""price"",TODAY()-365,TODAY()),1,0),""select Col2 limit 200""))"),42.155300000000004)</f>
        <v>42.1553</v>
      </c>
      <c r="O1276" s="20" t="str">
        <f t="shared" si="2"/>
        <v>Avoid</v>
      </c>
      <c r="P1276" s="21" t="str">
        <f t="shared" si="3"/>
        <v/>
      </c>
      <c r="Q1276" s="21" t="str">
        <f t="shared" si="4"/>
        <v/>
      </c>
      <c r="R1276" s="22">
        <f>IFERROR(__xludf.DUMMYFUNCTION("GOOGLEFINANCE(B1276, ""pe"")
"),960.46)</f>
        <v>960.46</v>
      </c>
    </row>
    <row r="1277">
      <c r="A1277" s="9" t="s">
        <v>1287</v>
      </c>
      <c r="B1277" s="11" t="str">
        <f t="shared" si="1"/>
        <v>NSE:HEUBACHIND</v>
      </c>
      <c r="C1277" s="12">
        <f>IFERROR(__xludf.DUMMYFUNCTION("GOOGLEFINANCE(B1277,""marketcap"")/10000000"),1365.288)</f>
        <v>1365.288</v>
      </c>
      <c r="D1277" s="13">
        <f>IFERROR(__xludf.DUMMYFUNCTION("GOOGLEFINANCE(B1277,""price"")"),596.3)</f>
        <v>596.3</v>
      </c>
      <c r="E1277" s="14">
        <f>IFERROR(__xludf.DUMMYFUNCTION("GOOGLEFINANCE(B1277,""Volume"")"),10002.0)</f>
        <v>10002</v>
      </c>
      <c r="F1277" s="14">
        <f t="array" ref="F1277">F1276</f>
        <v>14</v>
      </c>
      <c r="G1277" s="15" t="str">
        <f>IFERROR(__xludf.DUMMYFUNCTION("IF(E1277&gt;AVERAGE(INDEX(GOOGLEFINANCE(B1277,""volume"",WORKDAY(TODAY(),-$F$1),TODAY()),,2)),""Breakout"","""")"),"")</f>
        <v/>
      </c>
      <c r="H1277" s="16">
        <f>IFERROR(__xludf.DUMMYFUNCTION("GOOGLEFINANCE(B1277,""price"")"),596.3)</f>
        <v>596.3</v>
      </c>
      <c r="I1277" s="17">
        <f>IFERROR(__xludf.DUMMYFUNCTION("AVERAGE(QUERY(SORT(GOOGLEFINANCE(B1277,""price"",TODAY()-365,TODAY()),1,0),""select Col2 limit 10""))"),593.53)</f>
        <v>593.53</v>
      </c>
      <c r="J1277" s="17">
        <f>IFERROR(__xludf.DUMMYFUNCTION("AVERAGE(QUERY(SORT(GOOGLEFINANCE(B1277,""price"",TODAY()-365,TODAY()),1,0),""select Col2 limit 30""))"),588.9083333333333)</f>
        <v>588.9083333</v>
      </c>
      <c r="K1277" s="18">
        <f>IFERROR(__xludf.DUMMYFUNCTION("AVERAGE(QUERY(SORT(GOOGLEFINANCE(B1277,""price"",TODAY()-365,TODAY()),1,0),""select Col2 limit 60""))"),588.0691666666665)</f>
        <v>588.0691667</v>
      </c>
      <c r="L1277" s="17">
        <f>IFERROR(__xludf.DUMMYFUNCTION("AVERAGE(QUERY(SORT(GOOGLEFINANCE(B1277,""price"",TODAY()-365,TODAY()),1,0),""select Col2 limit 90""))"),587.647222222222)</f>
        <v>587.6472222</v>
      </c>
      <c r="M1277" s="17">
        <f>IFERROR(__xludf.DUMMYFUNCTION("AVERAGE(QUERY(SORT(GOOGLEFINANCE(B1277,""price"",TODAY()-365,TODAY()),1,0),""select Col2 limit 120""))"),581.9204166666666)</f>
        <v>581.9204167</v>
      </c>
      <c r="N1277" s="19">
        <f>IFERROR(__xludf.DUMMYFUNCTION("AVERAGE(QUERY(SORT(GOOGLEFINANCE(B1277,""price"",TODAY()-365,TODAY()),1,0),""select Col2 limit 200""))"),570.7245000000001)</f>
        <v>570.7245</v>
      </c>
      <c r="O1277" s="20" t="str">
        <f t="shared" si="2"/>
        <v>Avoid</v>
      </c>
      <c r="P1277" s="21" t="str">
        <f t="shared" si="3"/>
        <v/>
      </c>
      <c r="Q1277" s="21" t="str">
        <f t="shared" si="4"/>
        <v/>
      </c>
      <c r="R1277" s="22">
        <f>IFERROR(__xludf.DUMMYFUNCTION("GOOGLEFINANCE(B1277, ""pe"")
"),28.21)</f>
        <v>28.21</v>
      </c>
    </row>
    <row r="1278">
      <c r="A1278" s="9" t="s">
        <v>1288</v>
      </c>
      <c r="B1278" s="11" t="str">
        <f t="shared" si="1"/>
        <v>NSE:SELAN</v>
      </c>
      <c r="C1278" s="12">
        <f>IFERROR(__xludf.DUMMYFUNCTION("GOOGLEFINANCE(B1278,""marketcap"")/10000000"),925.731625)</f>
        <v>925.731625</v>
      </c>
      <c r="D1278" s="13">
        <f>IFERROR(__xludf.DUMMYFUNCTION("GOOGLEFINANCE(B1278,""price"")"),610.0)</f>
        <v>610</v>
      </c>
      <c r="E1278" s="14">
        <f>IFERROR(__xludf.DUMMYFUNCTION("GOOGLEFINANCE(B1278,""Volume"")"),20005.0)</f>
        <v>20005</v>
      </c>
      <c r="F1278" s="14">
        <f t="array" ref="F1278">F1277</f>
        <v>14</v>
      </c>
      <c r="G1278" s="15" t="str">
        <f>IFERROR(__xludf.DUMMYFUNCTION("IF(E1278&gt;AVERAGE(INDEX(GOOGLEFINANCE(B1278,""volume"",WORKDAY(TODAY(),-$F$1),TODAY()),,2)),""Breakout"","""")"),"")</f>
        <v/>
      </c>
      <c r="H1278" s="16">
        <f>IFERROR(__xludf.DUMMYFUNCTION("GOOGLEFINANCE(B1278,""price"")"),610.0)</f>
        <v>610</v>
      </c>
      <c r="I1278" s="17">
        <f>IFERROR(__xludf.DUMMYFUNCTION("AVERAGE(QUERY(SORT(GOOGLEFINANCE(B1278,""price"",TODAY()-365,TODAY()),1,0),""select Col2 limit 10""))"),645.3100000000001)</f>
        <v>645.31</v>
      </c>
      <c r="J1278" s="17">
        <f>IFERROR(__xludf.DUMMYFUNCTION("AVERAGE(QUERY(SORT(GOOGLEFINANCE(B1278,""price"",TODAY()-365,TODAY()),1,0),""select Col2 limit 30""))"),675.88)</f>
        <v>675.88</v>
      </c>
      <c r="K1278" s="18">
        <f>IFERROR(__xludf.DUMMYFUNCTION("AVERAGE(QUERY(SORT(GOOGLEFINANCE(B1278,""price"",TODAY()-365,TODAY()),1,0),""select Col2 limit 60""))"),624.3358333333333)</f>
        <v>624.3358333</v>
      </c>
      <c r="L1278" s="17">
        <f>IFERROR(__xludf.DUMMYFUNCTION("AVERAGE(QUERY(SORT(GOOGLEFINANCE(B1278,""price"",TODAY()-365,TODAY()),1,0),""select Col2 limit 90""))"),605.6572222222223)</f>
        <v>605.6572222</v>
      </c>
      <c r="M1278" s="17">
        <f>IFERROR(__xludf.DUMMYFUNCTION("AVERAGE(QUERY(SORT(GOOGLEFINANCE(B1278,""price"",TODAY()-365,TODAY()),1,0),""select Col2 limit 120""))"),602.70125)</f>
        <v>602.70125</v>
      </c>
      <c r="N1278" s="19">
        <f>IFERROR(__xludf.DUMMYFUNCTION("AVERAGE(QUERY(SORT(GOOGLEFINANCE(B1278,""price"",TODAY()-365,TODAY()),1,0),""select Col2 limit 200""))"),697.4245000000003)</f>
        <v>697.4245</v>
      </c>
      <c r="O1278" s="20" t="str">
        <f t="shared" si="2"/>
        <v>Avoid</v>
      </c>
      <c r="P1278" s="21" t="str">
        <f t="shared" si="3"/>
        <v/>
      </c>
      <c r="Q1278" s="21" t="str">
        <f t="shared" si="4"/>
        <v/>
      </c>
      <c r="R1278" s="22">
        <f>IFERROR(__xludf.DUMMYFUNCTION("GOOGLEFINANCE(B1278, ""pe"")
"),12.56)</f>
        <v>12.56</v>
      </c>
    </row>
    <row r="1279">
      <c r="A1279" s="9" t="s">
        <v>1289</v>
      </c>
      <c r="B1279" s="11" t="str">
        <f t="shared" si="1"/>
        <v>NSE:NAHARSPING</v>
      </c>
      <c r="C1279" s="12">
        <f>IFERROR(__xludf.DUMMYFUNCTION("GOOGLEFINANCE(B1279,""marketcap"")/10000000"),930.48474)</f>
        <v>930.48474</v>
      </c>
      <c r="D1279" s="13">
        <f>IFERROR(__xludf.DUMMYFUNCTION("GOOGLEFINANCE(B1279,""price"")"),258.0)</f>
        <v>258</v>
      </c>
      <c r="E1279" s="14">
        <f>IFERROR(__xludf.DUMMYFUNCTION("GOOGLEFINANCE(B1279,""Volume"")"),7004.0)</f>
        <v>7004</v>
      </c>
      <c r="F1279" s="14">
        <f t="array" ref="F1279">F1278</f>
        <v>14</v>
      </c>
      <c r="G1279" s="15" t="str">
        <f>IFERROR(__xludf.DUMMYFUNCTION("IF(E1279&gt;AVERAGE(INDEX(GOOGLEFINANCE(B1279,""volume"",WORKDAY(TODAY(),-$F$1),TODAY()),,2)),""Breakout"","""")"),"")</f>
        <v/>
      </c>
      <c r="H1279" s="16">
        <f>IFERROR(__xludf.DUMMYFUNCTION("GOOGLEFINANCE(B1279,""price"")"),258.0)</f>
        <v>258</v>
      </c>
      <c r="I1279" s="17">
        <f>IFERROR(__xludf.DUMMYFUNCTION("AVERAGE(QUERY(SORT(GOOGLEFINANCE(B1279,""price"",TODAY()-365,TODAY()),1,0),""select Col2 limit 10""))"),262.975)</f>
        <v>262.975</v>
      </c>
      <c r="J1279" s="17">
        <f>IFERROR(__xludf.DUMMYFUNCTION("AVERAGE(QUERY(SORT(GOOGLEFINANCE(B1279,""price"",TODAY()-365,TODAY()),1,0),""select Col2 limit 30""))"),270.7583333333333)</f>
        <v>270.7583333</v>
      </c>
      <c r="K1279" s="18">
        <f>IFERROR(__xludf.DUMMYFUNCTION("AVERAGE(QUERY(SORT(GOOGLEFINANCE(B1279,""price"",TODAY()-365,TODAY()),1,0),""select Col2 limit 60""))"),271.80233333333337)</f>
        <v>271.8023333</v>
      </c>
      <c r="L1279" s="17">
        <f>IFERROR(__xludf.DUMMYFUNCTION("AVERAGE(QUERY(SORT(GOOGLEFINANCE(B1279,""price"",TODAY()-365,TODAY()),1,0),""select Col2 limit 90""))"),254.67133333333328)</f>
        <v>254.6713333</v>
      </c>
      <c r="M1279" s="17">
        <f>IFERROR(__xludf.DUMMYFUNCTION("AVERAGE(QUERY(SORT(GOOGLEFINANCE(B1279,""price"",TODAY()-365,TODAY()),1,0),""select Col2 limit 120""))"),243.8017499999999)</f>
        <v>243.80175</v>
      </c>
      <c r="N1279" s="19">
        <f>IFERROR(__xludf.DUMMYFUNCTION("AVERAGE(QUERY(SORT(GOOGLEFINANCE(B1279,""price"",TODAY()-365,TODAY()),1,0),""select Col2 limit 200""))"),252.19329999999982)</f>
        <v>252.1933</v>
      </c>
      <c r="O1279" s="20" t="str">
        <f t="shared" si="2"/>
        <v>Avoid</v>
      </c>
      <c r="P1279" s="21" t="str">
        <f t="shared" si="3"/>
        <v/>
      </c>
      <c r="Q1279" s="21" t="str">
        <f t="shared" si="4"/>
        <v/>
      </c>
      <c r="R1279" s="22">
        <f>IFERROR(__xludf.DUMMYFUNCTION("GOOGLEFINANCE(B1279, ""pe"")
"),83.5)</f>
        <v>83.5</v>
      </c>
    </row>
    <row r="1280">
      <c r="A1280" s="9" t="s">
        <v>1290</v>
      </c>
      <c r="B1280" s="11" t="str">
        <f t="shared" si="1"/>
        <v>NSE:MAGADSUGAR</v>
      </c>
      <c r="C1280" s="12">
        <f>IFERROR(__xludf.DUMMYFUNCTION("GOOGLEFINANCE(B1280,""marketcap"")/10000000"),792.9354746)</f>
        <v>792.9354746</v>
      </c>
      <c r="D1280" s="13">
        <f>IFERROR(__xludf.DUMMYFUNCTION("GOOGLEFINANCE(B1280,""price"")"),563.8)</f>
        <v>563.8</v>
      </c>
      <c r="E1280" s="14">
        <f>IFERROR(__xludf.DUMMYFUNCTION("GOOGLEFINANCE(B1280,""Volume"")"),10430.0)</f>
        <v>10430</v>
      </c>
      <c r="F1280" s="14">
        <f t="array" ref="F1280">F1279</f>
        <v>14</v>
      </c>
      <c r="G1280" s="15" t="str">
        <f>IFERROR(__xludf.DUMMYFUNCTION("IF(E1280&gt;AVERAGE(INDEX(GOOGLEFINANCE(B1280,""volume"",WORKDAY(TODAY(),-$F$1),TODAY()),,2)),""Breakout"","""")"),"")</f>
        <v/>
      </c>
      <c r="H1280" s="16">
        <f>IFERROR(__xludf.DUMMYFUNCTION("GOOGLEFINANCE(B1280,""price"")"),563.8)</f>
        <v>563.8</v>
      </c>
      <c r="I1280" s="17">
        <f>IFERROR(__xludf.DUMMYFUNCTION("AVERAGE(QUERY(SORT(GOOGLEFINANCE(B1280,""price"",TODAY()-365,TODAY()),1,0),""select Col2 limit 10""))"),626.055)</f>
        <v>626.055</v>
      </c>
      <c r="J1280" s="17">
        <f>IFERROR(__xludf.DUMMYFUNCTION("AVERAGE(QUERY(SORT(GOOGLEFINANCE(B1280,""price"",TODAY()-365,TODAY()),1,0),""select Col2 limit 30""))"),647.2433333333333)</f>
        <v>647.2433333</v>
      </c>
      <c r="K1280" s="18">
        <f>IFERROR(__xludf.DUMMYFUNCTION("AVERAGE(QUERY(SORT(GOOGLEFINANCE(B1280,""price"",TODAY()-365,TODAY()),1,0),""select Col2 limit 60""))"),686.1216666666666)</f>
        <v>686.1216667</v>
      </c>
      <c r="L1280" s="17">
        <f>IFERROR(__xludf.DUMMYFUNCTION("AVERAGE(QUERY(SORT(GOOGLEFINANCE(B1280,""price"",TODAY()-365,TODAY()),1,0),""select Col2 limit 90""))"),672.9566666666664)</f>
        <v>672.9566667</v>
      </c>
      <c r="M1280" s="17">
        <f>IFERROR(__xludf.DUMMYFUNCTION("AVERAGE(QUERY(SORT(GOOGLEFINANCE(B1280,""price"",TODAY()-365,TODAY()),1,0),""select Col2 limit 120""))"),636.2666666666664)</f>
        <v>636.2666667</v>
      </c>
      <c r="N1280" s="19">
        <f>IFERROR(__xludf.DUMMYFUNCTION("AVERAGE(QUERY(SORT(GOOGLEFINANCE(B1280,""price"",TODAY()-365,TODAY()),1,0),""select Col2 limit 200""))"),659.8277499999998)</f>
        <v>659.82775</v>
      </c>
      <c r="O1280" s="20" t="str">
        <f t="shared" si="2"/>
        <v>Avoid</v>
      </c>
      <c r="P1280" s="21" t="str">
        <f t="shared" si="3"/>
        <v/>
      </c>
      <c r="Q1280" s="21" t="str">
        <f t="shared" si="4"/>
        <v/>
      </c>
      <c r="R1280" s="22">
        <f>IFERROR(__xludf.DUMMYFUNCTION("GOOGLEFINANCE(B1280, ""pe"")
"),7.24)</f>
        <v>7.24</v>
      </c>
    </row>
    <row r="1281">
      <c r="A1281" s="9" t="s">
        <v>1291</v>
      </c>
      <c r="B1281" s="11" t="str">
        <f t="shared" si="1"/>
        <v>NSE:CLSEL</v>
      </c>
      <c r="C1281" s="12">
        <f>IFERROR(__xludf.DUMMYFUNCTION("GOOGLEFINANCE(B1281,""marketcap"")/10000000"),1638.4595085)</f>
        <v>1638.459509</v>
      </c>
      <c r="D1281" s="13">
        <f>IFERROR(__xludf.DUMMYFUNCTION("GOOGLEFINANCE(B1281,""price"")"),328.95)</f>
        <v>328.95</v>
      </c>
      <c r="E1281" s="14">
        <f>IFERROR(__xludf.DUMMYFUNCTION("GOOGLEFINANCE(B1281,""Volume"")"),14496.0)</f>
        <v>14496</v>
      </c>
      <c r="F1281" s="14">
        <f t="array" ref="F1281">F1280</f>
        <v>14</v>
      </c>
      <c r="G1281" s="15" t="str">
        <f>IFERROR(__xludf.DUMMYFUNCTION("IF(E1281&gt;AVERAGE(INDEX(GOOGLEFINANCE(B1281,""volume"",WORKDAY(TODAY(),-$F$1),TODAY()),,2)),""Breakout"","""")"),"")</f>
        <v/>
      </c>
      <c r="H1281" s="16">
        <f>IFERROR(__xludf.DUMMYFUNCTION("GOOGLEFINANCE(B1281,""price"")"),328.95)</f>
        <v>328.95</v>
      </c>
      <c r="I1281" s="17">
        <f>IFERROR(__xludf.DUMMYFUNCTION("AVERAGE(QUERY(SORT(GOOGLEFINANCE(B1281,""price"",TODAY()-365,TODAY()),1,0),""select Col2 limit 10""))"),335.035)</f>
        <v>335.035</v>
      </c>
      <c r="J1281" s="17">
        <f>IFERROR(__xludf.DUMMYFUNCTION("AVERAGE(QUERY(SORT(GOOGLEFINANCE(B1281,""price"",TODAY()-365,TODAY()),1,0),""select Col2 limit 30""))"),344.74500000000006)</f>
        <v>344.745</v>
      </c>
      <c r="K1281" s="18">
        <f>IFERROR(__xludf.DUMMYFUNCTION("AVERAGE(QUERY(SORT(GOOGLEFINANCE(B1281,""price"",TODAY()-365,TODAY()),1,0),""select Col2 limit 60""))"),343.52083333333337)</f>
        <v>343.5208333</v>
      </c>
      <c r="L1281" s="17">
        <f>IFERROR(__xludf.DUMMYFUNCTION("AVERAGE(QUERY(SORT(GOOGLEFINANCE(B1281,""price"",TODAY()-365,TODAY()),1,0),""select Col2 limit 90""))"),334.4588888888889)</f>
        <v>334.4588889</v>
      </c>
      <c r="M1281" s="17">
        <f>IFERROR(__xludf.DUMMYFUNCTION("AVERAGE(QUERY(SORT(GOOGLEFINANCE(B1281,""price"",TODAY()-365,TODAY()),1,0),""select Col2 limit 120""))"),325.5295833333332)</f>
        <v>325.5295833</v>
      </c>
      <c r="N1281" s="19">
        <f>IFERROR(__xludf.DUMMYFUNCTION("AVERAGE(QUERY(SORT(GOOGLEFINANCE(B1281,""price"",TODAY()-365,TODAY()),1,0),""select Col2 limit 200""))"),336.53400000000016)</f>
        <v>336.534</v>
      </c>
      <c r="O1281" s="20" t="str">
        <f t="shared" si="2"/>
        <v>Avoid</v>
      </c>
      <c r="P1281" s="21" t="str">
        <f t="shared" si="3"/>
        <v/>
      </c>
      <c r="Q1281" s="21" t="str">
        <f t="shared" si="4"/>
        <v/>
      </c>
      <c r="R1281" s="22">
        <f>IFERROR(__xludf.DUMMYFUNCTION("GOOGLEFINANCE(B1281, ""pe"")
"),15.93)</f>
        <v>15.93</v>
      </c>
    </row>
    <row r="1282">
      <c r="A1282" s="9" t="s">
        <v>1292</v>
      </c>
      <c r="B1282" s="11" t="str">
        <f t="shared" si="1"/>
        <v>NSE:MVGJL</v>
      </c>
      <c r="C1282" s="12">
        <f>IFERROR(__xludf.DUMMYFUNCTION("GOOGLEFINANCE(B1282,""marketcap"")/10000000"),1050.9038211)</f>
        <v>1050.903821</v>
      </c>
      <c r="D1282" s="13">
        <f>IFERROR(__xludf.DUMMYFUNCTION("GOOGLEFINANCE(B1282,""price"")"),215.27)</f>
        <v>215.27</v>
      </c>
      <c r="E1282" s="14">
        <f>IFERROR(__xludf.DUMMYFUNCTION("GOOGLEFINANCE(B1282,""Volume"")"),51699.0)</f>
        <v>51699</v>
      </c>
      <c r="F1282" s="14">
        <f t="array" ref="F1282">F1281</f>
        <v>14</v>
      </c>
      <c r="G1282" s="15" t="str">
        <f>IFERROR(__xludf.DUMMYFUNCTION("IF(E1282&gt;AVERAGE(INDEX(GOOGLEFINANCE(B1282,""volume"",WORKDAY(TODAY(),-$F$1),TODAY()),,2)),""Breakout"","""")"),"")</f>
        <v/>
      </c>
      <c r="H1282" s="16">
        <f>IFERROR(__xludf.DUMMYFUNCTION("GOOGLEFINANCE(B1282,""price"")"),215.27)</f>
        <v>215.27</v>
      </c>
      <c r="I1282" s="17">
        <f>IFERROR(__xludf.DUMMYFUNCTION("AVERAGE(QUERY(SORT(GOOGLEFINANCE(B1282,""price"",TODAY()-365,TODAY()),1,0),""select Col2 limit 10""))"),222.587)</f>
        <v>222.587</v>
      </c>
      <c r="J1282" s="17">
        <f>IFERROR(__xludf.DUMMYFUNCTION("AVERAGE(QUERY(SORT(GOOGLEFINANCE(B1282,""price"",TODAY()-365,TODAY()),1,0),""select Col2 limit 30""))"),231.37533333333332)</f>
        <v>231.3753333</v>
      </c>
      <c r="K1282" s="18">
        <f>IFERROR(__xludf.DUMMYFUNCTION("AVERAGE(QUERY(SORT(GOOGLEFINANCE(B1282,""price"",TODAY()-365,TODAY()),1,0),""select Col2 limit 60""))"),231.52383333333336)</f>
        <v>231.5238333</v>
      </c>
      <c r="L1282" s="17">
        <f>IFERROR(__xludf.DUMMYFUNCTION("AVERAGE(QUERY(SORT(GOOGLEFINANCE(B1282,""price"",TODAY()-365,TODAY()),1,0),""select Col2 limit 90""))"),226.1006666666668)</f>
        <v>226.1006667</v>
      </c>
      <c r="M1282" s="17">
        <f>IFERROR(__xludf.DUMMYFUNCTION("AVERAGE(QUERY(SORT(GOOGLEFINANCE(B1282,""price"",TODAY()-365,TODAY()),1,0),""select Col2 limit 120""))"),226.20591666666672)</f>
        <v>226.2059167</v>
      </c>
      <c r="N1282" s="19">
        <f>IFERROR(__xludf.DUMMYFUNCTION("AVERAGE(QUERY(SORT(GOOGLEFINANCE(B1282,""price"",TODAY()-365,TODAY()),1,0),""select Col2 limit 200""))"),236.48420000000013)</f>
        <v>236.4842</v>
      </c>
      <c r="O1282" s="20" t="str">
        <f t="shared" si="2"/>
        <v>Avoid</v>
      </c>
      <c r="P1282" s="21" t="str">
        <f t="shared" si="3"/>
        <v/>
      </c>
      <c r="Q1282" s="21" t="str">
        <f t="shared" si="4"/>
        <v/>
      </c>
      <c r="R1282" s="22">
        <f>IFERROR(__xludf.DUMMYFUNCTION("GOOGLEFINANCE(B1282, ""pe"")
"),10.46)</f>
        <v>10.46</v>
      </c>
    </row>
    <row r="1283">
      <c r="A1283" s="9" t="s">
        <v>1293</v>
      </c>
      <c r="B1283" s="11" t="str">
        <f t="shared" si="1"/>
        <v>NSE:ONWARDTEC</v>
      </c>
      <c r="C1283" s="12">
        <f>IFERROR(__xludf.DUMMYFUNCTION("GOOGLEFINANCE(B1283,""marketcap"")/10000000"),750.6145095)</f>
        <v>750.6145095</v>
      </c>
      <c r="D1283" s="13">
        <f>IFERROR(__xludf.DUMMYFUNCTION("GOOGLEFINANCE(B1283,""price"")"),330.4)</f>
        <v>330.4</v>
      </c>
      <c r="E1283" s="14">
        <f>IFERROR(__xludf.DUMMYFUNCTION("GOOGLEFINANCE(B1283,""Volume"")"),6984.0)</f>
        <v>6984</v>
      </c>
      <c r="F1283" s="14">
        <f t="array" ref="F1283">F1282</f>
        <v>14</v>
      </c>
      <c r="G1283" s="15" t="str">
        <f>IFERROR(__xludf.DUMMYFUNCTION("IF(E1283&gt;AVERAGE(INDEX(GOOGLEFINANCE(B1283,""volume"",WORKDAY(TODAY(),-$F$1),TODAY()),,2)),""Breakout"","""")"),"#N/A")</f>
        <v>#N/A</v>
      </c>
      <c r="H1283" s="16">
        <f>IFERROR(__xludf.DUMMYFUNCTION("GOOGLEFINANCE(B1283,""price"")"),330.4)</f>
        <v>330.4</v>
      </c>
      <c r="I1283" s="17">
        <f>IFERROR(__xludf.DUMMYFUNCTION("AVERAGE(QUERY(SORT(GOOGLEFINANCE(B1283,""price"",TODAY()-365,TODAY()),1,0),""select Col2 limit 10""))"),355.645)</f>
        <v>355.645</v>
      </c>
      <c r="J1283" s="17">
        <f>IFERROR(__xludf.DUMMYFUNCTION("AVERAGE(QUERY(SORT(GOOGLEFINANCE(B1283,""price"",TODAY()-365,TODAY()),1,0),""select Col2 limit 30""))"),336.57000000000005)</f>
        <v>336.57</v>
      </c>
      <c r="K1283" s="18">
        <f>IFERROR(__xludf.DUMMYFUNCTION("AVERAGE(QUERY(SORT(GOOGLEFINANCE(B1283,""price"",TODAY()-365,TODAY()),1,0),""select Col2 limit 60""))"),311.4941666666667)</f>
        <v>311.4941667</v>
      </c>
      <c r="L1283" s="17">
        <f>IFERROR(__xludf.DUMMYFUNCTION("AVERAGE(QUERY(SORT(GOOGLEFINANCE(B1283,""price"",TODAY()-365,TODAY()),1,0),""select Col2 limit 90""))"),292.4077777777778)</f>
        <v>292.4077778</v>
      </c>
      <c r="M1283" s="17">
        <f>IFERROR(__xludf.DUMMYFUNCTION("AVERAGE(QUERY(SORT(GOOGLEFINANCE(B1283,""price"",TODAY()-365,TODAY()),1,0),""select Col2 limit 120""))"),289.1675000000001)</f>
        <v>289.1675</v>
      </c>
      <c r="N1283" s="19">
        <f>IFERROR(__xludf.DUMMYFUNCTION("AVERAGE(QUERY(SORT(GOOGLEFINANCE(B1283,""price"",TODAY()-365,TODAY()),1,0),""select Col2 limit 200""))"),308.3704999999999)</f>
        <v>308.3705</v>
      </c>
      <c r="O1283" s="20" t="str">
        <f t="shared" si="2"/>
        <v>Avoid</v>
      </c>
      <c r="P1283" s="21" t="str">
        <f t="shared" si="3"/>
        <v/>
      </c>
      <c r="Q1283" s="21" t="str">
        <f t="shared" si="4"/>
        <v/>
      </c>
      <c r="R1283" s="22">
        <f>IFERROR(__xludf.DUMMYFUNCTION("GOOGLEFINANCE(B1283, ""pe"")
"),23.1)</f>
        <v>23.1</v>
      </c>
    </row>
    <row r="1284">
      <c r="A1284" s="9" t="s">
        <v>1294</v>
      </c>
      <c r="B1284" s="11" t="str">
        <f t="shared" si="1"/>
        <v>NSE:SUTLEJTEX</v>
      </c>
      <c r="C1284" s="12">
        <f>IFERROR(__xludf.DUMMYFUNCTION("GOOGLEFINANCE(B1284,""marketcap"")/10000000"),696.9528763)</f>
        <v>696.9528763</v>
      </c>
      <c r="D1284" s="13">
        <f>IFERROR(__xludf.DUMMYFUNCTION("GOOGLEFINANCE(B1284,""price"")"),42.58)</f>
        <v>42.58</v>
      </c>
      <c r="E1284" s="14">
        <f>IFERROR(__xludf.DUMMYFUNCTION("GOOGLEFINANCE(B1284,""Volume"")"),28839.0)</f>
        <v>28839</v>
      </c>
      <c r="F1284" s="14">
        <f t="array" ref="F1284">F1283</f>
        <v>14</v>
      </c>
      <c r="G1284" s="15" t="str">
        <f>IFERROR(__xludf.DUMMYFUNCTION("IF(E1284&gt;AVERAGE(INDEX(GOOGLEFINANCE(B1284,""volume"",WORKDAY(TODAY(),-$F$1),TODAY()),,2)),""Breakout"","""")"),"")</f>
        <v/>
      </c>
      <c r="H1284" s="16">
        <f>IFERROR(__xludf.DUMMYFUNCTION("GOOGLEFINANCE(B1284,""price"")"),42.58)</f>
        <v>42.58</v>
      </c>
      <c r="I1284" s="17">
        <f>IFERROR(__xludf.DUMMYFUNCTION("AVERAGE(QUERY(SORT(GOOGLEFINANCE(B1284,""price"",TODAY()-365,TODAY()),1,0),""select Col2 limit 10""))"),45.677)</f>
        <v>45.677</v>
      </c>
      <c r="J1284" s="17">
        <f>IFERROR(__xludf.DUMMYFUNCTION("AVERAGE(QUERY(SORT(GOOGLEFINANCE(B1284,""price"",TODAY()-365,TODAY()),1,0),""select Col2 limit 30""))"),43.142333333333326)</f>
        <v>43.14233333</v>
      </c>
      <c r="K1284" s="18">
        <f>IFERROR(__xludf.DUMMYFUNCTION("AVERAGE(QUERY(SORT(GOOGLEFINANCE(B1284,""price"",TODAY()-365,TODAY()),1,0),""select Col2 limit 60""))"),41.925166666666655)</f>
        <v>41.92516667</v>
      </c>
      <c r="L1284" s="17">
        <f>IFERROR(__xludf.DUMMYFUNCTION("AVERAGE(QUERY(SORT(GOOGLEFINANCE(B1284,""price"",TODAY()-365,TODAY()),1,0),""select Col2 limit 90""))"),40.493555555555545)</f>
        <v>40.49355556</v>
      </c>
      <c r="M1284" s="17">
        <f>IFERROR(__xludf.DUMMYFUNCTION("AVERAGE(QUERY(SORT(GOOGLEFINANCE(B1284,""price"",TODAY()-365,TODAY()),1,0),""select Col2 limit 120""))"),41.467833333333324)</f>
        <v>41.46783333</v>
      </c>
      <c r="N1284" s="19">
        <f>IFERROR(__xludf.DUMMYFUNCTION("AVERAGE(QUERY(SORT(GOOGLEFINANCE(B1284,""price"",TODAY()-365,TODAY()),1,0),""select Col2 limit 200""))"),49.82474999999999)</f>
        <v>49.82475</v>
      </c>
      <c r="O1284" s="20" t="str">
        <f t="shared" si="2"/>
        <v>Avoid</v>
      </c>
      <c r="P1284" s="21" t="str">
        <f t="shared" si="3"/>
        <v/>
      </c>
      <c r="Q1284" s="21" t="str">
        <f t="shared" si="4"/>
        <v/>
      </c>
      <c r="R1284" s="22" t="str">
        <f>IFERROR(__xludf.DUMMYFUNCTION("GOOGLEFINANCE(B1284, ""pe"")
"),"#N/A")</f>
        <v>#N/A</v>
      </c>
    </row>
    <row r="1285">
      <c r="A1285" s="9" t="s">
        <v>1295</v>
      </c>
      <c r="B1285" s="11" t="str">
        <f t="shared" si="1"/>
        <v>NSE:COFFEEDAY</v>
      </c>
      <c r="C1285" s="12">
        <f>IFERROR(__xludf.DUMMYFUNCTION("GOOGLEFINANCE(B1285,""marketcap"")/10000000"),738.3247076)</f>
        <v>738.3247076</v>
      </c>
      <c r="D1285" s="13">
        <f>IFERROR(__xludf.DUMMYFUNCTION("GOOGLEFINANCE(B1285,""price"")"),35.1)</f>
        <v>35.1</v>
      </c>
      <c r="E1285" s="14">
        <f>IFERROR(__xludf.DUMMYFUNCTION("GOOGLEFINANCE(B1285,""Volume"")"),992356.0)</f>
        <v>992356</v>
      </c>
      <c r="F1285" s="14">
        <f t="array" ref="F1285">F1284</f>
        <v>14</v>
      </c>
      <c r="G1285" s="15" t="str">
        <f>IFERROR(__xludf.DUMMYFUNCTION("IF(E1285&gt;AVERAGE(INDEX(GOOGLEFINANCE(B1285,""volume"",WORKDAY(TODAY(),-$F$1),TODAY()),,2)),""Breakout"","""")"),"")</f>
        <v/>
      </c>
      <c r="H1285" s="16">
        <f>IFERROR(__xludf.DUMMYFUNCTION("GOOGLEFINANCE(B1285,""price"")"),35.1)</f>
        <v>35.1</v>
      </c>
      <c r="I1285" s="17">
        <f>IFERROR(__xludf.DUMMYFUNCTION("AVERAGE(QUERY(SORT(GOOGLEFINANCE(B1285,""price"",TODAY()-365,TODAY()),1,0),""select Col2 limit 10""))"),37.612)</f>
        <v>37.612</v>
      </c>
      <c r="J1285" s="17">
        <f>IFERROR(__xludf.DUMMYFUNCTION("AVERAGE(QUERY(SORT(GOOGLEFINANCE(B1285,""price"",TODAY()-365,TODAY()),1,0),""select Col2 limit 30""))"),36.071333333333335)</f>
        <v>36.07133333</v>
      </c>
      <c r="K1285" s="18">
        <f>IFERROR(__xludf.DUMMYFUNCTION("AVERAGE(QUERY(SORT(GOOGLEFINANCE(B1285,""price"",TODAY()-365,TODAY()),1,0),""select Col2 limit 60""))"),34.026833333333315)</f>
        <v>34.02683333</v>
      </c>
      <c r="L1285" s="17">
        <f>IFERROR(__xludf.DUMMYFUNCTION("AVERAGE(QUERY(SORT(GOOGLEFINANCE(B1285,""price"",TODAY()-365,TODAY()),1,0),""select Col2 limit 90""))"),32.20677777777775)</f>
        <v>32.20677778</v>
      </c>
      <c r="M1285" s="17">
        <f>IFERROR(__xludf.DUMMYFUNCTION("AVERAGE(QUERY(SORT(GOOGLEFINANCE(B1285,""price"",TODAY()-365,TODAY()),1,0),""select Col2 limit 120""))"),30.911749999999984)</f>
        <v>30.91175</v>
      </c>
      <c r="N1285" s="19">
        <f>IFERROR(__xludf.DUMMYFUNCTION("AVERAGE(QUERY(SORT(GOOGLEFINANCE(B1285,""price"",TODAY()-365,TODAY()),1,0),""select Col2 limit 200""))"),33.54824468085104)</f>
        <v>33.54824468</v>
      </c>
      <c r="O1285" s="20" t="str">
        <f t="shared" si="2"/>
        <v>Avoid</v>
      </c>
      <c r="P1285" s="21" t="str">
        <f t="shared" si="3"/>
        <v/>
      </c>
      <c r="Q1285" s="21" t="str">
        <f t="shared" si="4"/>
        <v/>
      </c>
      <c r="R1285" s="22" t="str">
        <f>IFERROR(__xludf.DUMMYFUNCTION("GOOGLEFINANCE(B1285, ""pe"")
"),"#N/A")</f>
        <v>#N/A</v>
      </c>
    </row>
    <row r="1286">
      <c r="A1286" s="9" t="s">
        <v>1296</v>
      </c>
      <c r="B1286" s="11" t="str">
        <f t="shared" si="1"/>
        <v>NSE:INFOBEAN</v>
      </c>
      <c r="C1286" s="12">
        <f>IFERROR(__xludf.DUMMYFUNCTION("GOOGLEFINANCE(B1286,""marketcap"")/10000000"),1362.771339)</f>
        <v>1362.771339</v>
      </c>
      <c r="D1286" s="13">
        <f>IFERROR(__xludf.DUMMYFUNCTION("GOOGLEFINANCE(B1286,""price"")"),563.05)</f>
        <v>563.05</v>
      </c>
      <c r="E1286" s="14">
        <f>IFERROR(__xludf.DUMMYFUNCTION("GOOGLEFINANCE(B1286,""Volume"")"),80895.0)</f>
        <v>80895</v>
      </c>
      <c r="F1286" s="14">
        <f t="array" ref="F1286">F1285</f>
        <v>14</v>
      </c>
      <c r="G1286" s="15" t="str">
        <f>IFERROR(__xludf.DUMMYFUNCTION("IF(E1286&gt;AVERAGE(INDEX(GOOGLEFINANCE(B1286,""volume"",WORKDAY(TODAY(),-$F$1),TODAY()),,2)),""Breakout"","""")"),"")</f>
        <v/>
      </c>
      <c r="H1286" s="16">
        <f>IFERROR(__xludf.DUMMYFUNCTION("GOOGLEFINANCE(B1286,""price"")"),563.05)</f>
        <v>563.05</v>
      </c>
      <c r="I1286" s="17">
        <f>IFERROR(__xludf.DUMMYFUNCTION("AVERAGE(QUERY(SORT(GOOGLEFINANCE(B1286,""price"",TODAY()-365,TODAY()),1,0),""select Col2 limit 10""))"),452.695)</f>
        <v>452.695</v>
      </c>
      <c r="J1286" s="17">
        <f>IFERROR(__xludf.DUMMYFUNCTION("AVERAGE(QUERY(SORT(GOOGLEFINANCE(B1286,""price"",TODAY()-365,TODAY()),1,0),""select Col2 limit 30""))"),406.3950000000001)</f>
        <v>406.395</v>
      </c>
      <c r="K1286" s="18">
        <f>IFERROR(__xludf.DUMMYFUNCTION("AVERAGE(QUERY(SORT(GOOGLEFINANCE(B1286,""price"",TODAY()-365,TODAY()),1,0),""select Col2 limit 60""))"),375.41083333333336)</f>
        <v>375.4108333</v>
      </c>
      <c r="L1286" s="17">
        <f>IFERROR(__xludf.DUMMYFUNCTION("AVERAGE(QUERY(SORT(GOOGLEFINANCE(B1286,""price"",TODAY()-365,TODAY()),1,0),""select Col2 limit 90""))"),351.55000000000007)</f>
        <v>351.55</v>
      </c>
      <c r="M1286" s="17">
        <f>IFERROR(__xludf.DUMMYFUNCTION("AVERAGE(QUERY(SORT(GOOGLEFINANCE(B1286,""price"",TODAY()-365,TODAY()),1,0),""select Col2 limit 120""))"),349.5541666666668)</f>
        <v>349.5541667</v>
      </c>
      <c r="N1286" s="19">
        <f>IFERROR(__xludf.DUMMYFUNCTION("AVERAGE(QUERY(SORT(GOOGLEFINANCE(B1286,""price"",TODAY()-365,TODAY()),1,0),""select Col2 limit 200""))"),379.1632499999999)</f>
        <v>379.16325</v>
      </c>
      <c r="O1286" s="20" t="str">
        <f t="shared" si="2"/>
        <v>Avoid</v>
      </c>
      <c r="P1286" s="21" t="str">
        <f t="shared" si="3"/>
        <v/>
      </c>
      <c r="Q1286" s="21" t="str">
        <f t="shared" si="4"/>
        <v/>
      </c>
      <c r="R1286" s="22">
        <f>IFERROR(__xludf.DUMMYFUNCTION("GOOGLEFINANCE(B1286, ""pe"")
"),26.01)</f>
        <v>26.01</v>
      </c>
    </row>
    <row r="1287">
      <c r="A1287" s="9" t="s">
        <v>1297</v>
      </c>
      <c r="B1287" s="11" t="str">
        <f t="shared" si="1"/>
        <v>NSE:FOODSIN</v>
      </c>
      <c r="C1287" s="12">
        <f>IFERROR(__xludf.DUMMYFUNCTION("GOOGLEFINANCE(B1287,""marketcap"")/10000000"),770.853405)</f>
        <v>770.853405</v>
      </c>
      <c r="D1287" s="13">
        <f>IFERROR(__xludf.DUMMYFUNCTION("GOOGLEFINANCE(B1287,""price"")"),104.22)</f>
        <v>104.22</v>
      </c>
      <c r="E1287" s="14">
        <f>IFERROR(__xludf.DUMMYFUNCTION("GOOGLEFINANCE(B1287,""Volume"")"),26643.0)</f>
        <v>26643</v>
      </c>
      <c r="F1287" s="14">
        <f t="array" ref="F1287">F1286</f>
        <v>14</v>
      </c>
      <c r="G1287" s="15" t="str">
        <f>IFERROR(__xludf.DUMMYFUNCTION("IF(E1287&gt;AVERAGE(INDEX(GOOGLEFINANCE(B1287,""volume"",WORKDAY(TODAY(),-$F$1),TODAY()),,2)),""Breakout"","""")"),"")</f>
        <v/>
      </c>
      <c r="H1287" s="16">
        <f>IFERROR(__xludf.DUMMYFUNCTION("GOOGLEFINANCE(B1287,""price"")"),104.22)</f>
        <v>104.22</v>
      </c>
      <c r="I1287" s="17">
        <f>IFERROR(__xludf.DUMMYFUNCTION("AVERAGE(QUERY(SORT(GOOGLEFINANCE(B1287,""price"",TODAY()-365,TODAY()),1,0),""select Col2 limit 10""))"),111.76499999999999)</f>
        <v>111.765</v>
      </c>
      <c r="J1287" s="17">
        <f>IFERROR(__xludf.DUMMYFUNCTION("AVERAGE(QUERY(SORT(GOOGLEFINANCE(B1287,""price"",TODAY()-365,TODAY()),1,0),""select Col2 limit 30""))"),110.92533333333334)</f>
        <v>110.9253333</v>
      </c>
      <c r="K1287" s="18">
        <f>IFERROR(__xludf.DUMMYFUNCTION("AVERAGE(QUERY(SORT(GOOGLEFINANCE(B1287,""price"",TODAY()-365,TODAY()),1,0),""select Col2 limit 60""))"),103.35366666666668)</f>
        <v>103.3536667</v>
      </c>
      <c r="L1287" s="17">
        <f>IFERROR(__xludf.DUMMYFUNCTION("AVERAGE(QUERY(SORT(GOOGLEFINANCE(B1287,""price"",TODAY()-365,TODAY()),1,0),""select Col2 limit 90""))"),97.2467777777778)</f>
        <v>97.24677778</v>
      </c>
      <c r="M1287" s="17">
        <f>IFERROR(__xludf.DUMMYFUNCTION("AVERAGE(QUERY(SORT(GOOGLEFINANCE(B1287,""price"",TODAY()-365,TODAY()),1,0),""select Col2 limit 120""))"),97.30158333333331)</f>
        <v>97.30158333</v>
      </c>
      <c r="N1287" s="19">
        <f>IFERROR(__xludf.DUMMYFUNCTION("AVERAGE(QUERY(SORT(GOOGLEFINANCE(B1287,""price"",TODAY()-365,TODAY()),1,0),""select Col2 limit 200""))"),106.07764999999996)</f>
        <v>106.07765</v>
      </c>
      <c r="O1287" s="20" t="str">
        <f t="shared" si="2"/>
        <v>Avoid</v>
      </c>
      <c r="P1287" s="21" t="str">
        <f t="shared" si="3"/>
        <v/>
      </c>
      <c r="Q1287" s="21" t="str">
        <f t="shared" si="4"/>
        <v/>
      </c>
      <c r="R1287" s="22">
        <f>IFERROR(__xludf.DUMMYFUNCTION("GOOGLEFINANCE(B1287, ""pe"")
"),17.77)</f>
        <v>17.77</v>
      </c>
    </row>
    <row r="1288">
      <c r="A1288" s="9" t="s">
        <v>1298</v>
      </c>
      <c r="B1288" s="11" t="str">
        <f t="shared" si="1"/>
        <v>NSE:VLSFINANCE</v>
      </c>
      <c r="C1288" s="12">
        <f>IFERROR(__xludf.DUMMYFUNCTION("GOOGLEFINANCE(B1288,""marketcap"")/10000000"),806.042451)</f>
        <v>806.042451</v>
      </c>
      <c r="D1288" s="13">
        <f>IFERROR(__xludf.DUMMYFUNCTION("GOOGLEFINANCE(B1288,""price"")"),237.4)</f>
        <v>237.4</v>
      </c>
      <c r="E1288" s="14">
        <f>IFERROR(__xludf.DUMMYFUNCTION("GOOGLEFINANCE(B1288,""Volume"")"),3410.0)</f>
        <v>3410</v>
      </c>
      <c r="F1288" s="14">
        <f t="array" ref="F1288">F1287</f>
        <v>14</v>
      </c>
      <c r="G1288" s="15" t="str">
        <f>IFERROR(__xludf.DUMMYFUNCTION("IF(E1288&gt;AVERAGE(INDEX(GOOGLEFINANCE(B1288,""volume"",WORKDAY(TODAY(),-$F$1),TODAY()),,2)),""Breakout"","""")"),"")</f>
        <v/>
      </c>
      <c r="H1288" s="16">
        <f>IFERROR(__xludf.DUMMYFUNCTION("GOOGLEFINANCE(B1288,""price"")"),237.4)</f>
        <v>237.4</v>
      </c>
      <c r="I1288" s="17">
        <f>IFERROR(__xludf.DUMMYFUNCTION("AVERAGE(QUERY(SORT(GOOGLEFINANCE(B1288,""price"",TODAY()-365,TODAY()),1,0),""select Col2 limit 10""))"),243.99600000000004)</f>
        <v>243.996</v>
      </c>
      <c r="J1288" s="17">
        <f>IFERROR(__xludf.DUMMYFUNCTION("AVERAGE(QUERY(SORT(GOOGLEFINANCE(B1288,""price"",TODAY()-365,TODAY()),1,0),""select Col2 limit 30""))"),245.89966666666672)</f>
        <v>245.8996667</v>
      </c>
      <c r="K1288" s="18">
        <f>IFERROR(__xludf.DUMMYFUNCTION("AVERAGE(QUERY(SORT(GOOGLEFINANCE(B1288,""price"",TODAY()-365,TODAY()),1,0),""select Col2 limit 60""))"),246.65083333333334)</f>
        <v>246.6508333</v>
      </c>
      <c r="L1288" s="17">
        <f>IFERROR(__xludf.DUMMYFUNCTION("AVERAGE(QUERY(SORT(GOOGLEFINANCE(B1288,""price"",TODAY()-365,TODAY()),1,0),""select Col2 limit 90""))"),239.53022222222216)</f>
        <v>239.5302222</v>
      </c>
      <c r="M1288" s="17">
        <f>IFERROR(__xludf.DUMMYFUNCTION("AVERAGE(QUERY(SORT(GOOGLEFINANCE(B1288,""price"",TODAY()-365,TODAY()),1,0),""select Col2 limit 120""))"),239.13191666666663)</f>
        <v>239.1319167</v>
      </c>
      <c r="N1288" s="19">
        <f>IFERROR(__xludf.DUMMYFUNCTION("AVERAGE(QUERY(SORT(GOOGLEFINANCE(B1288,""price"",TODAY()-365,TODAY()),1,0),""select Col2 limit 200""))"),289.0708999999998)</f>
        <v>289.0709</v>
      </c>
      <c r="O1288" s="20" t="str">
        <f t="shared" si="2"/>
        <v>Avoid</v>
      </c>
      <c r="P1288" s="21" t="str">
        <f t="shared" si="3"/>
        <v>90 DMA</v>
      </c>
      <c r="Q1288" s="21" t="str">
        <f t="shared" si="4"/>
        <v/>
      </c>
      <c r="R1288" s="22">
        <f>IFERROR(__xludf.DUMMYFUNCTION("GOOGLEFINANCE(B1288, ""pe"")
"),17.63)</f>
        <v>17.63</v>
      </c>
    </row>
    <row r="1289">
      <c r="A1289" s="9" t="s">
        <v>1299</v>
      </c>
      <c r="B1289" s="11" t="str">
        <f t="shared" si="1"/>
        <v>NSE:HARDWYN</v>
      </c>
      <c r="C1289" s="12">
        <f>IFERROR(__xludf.DUMMYFUNCTION("GOOGLEFINANCE(B1289,""marketcap"")/10000000"),682.342311)</f>
        <v>682.342311</v>
      </c>
      <c r="D1289" s="13">
        <f>IFERROR(__xludf.DUMMYFUNCTION("GOOGLEFINANCE(B1289,""price"")"),13.96)</f>
        <v>13.96</v>
      </c>
      <c r="E1289" s="14">
        <f>IFERROR(__xludf.DUMMYFUNCTION("GOOGLEFINANCE(B1289,""Volume"")"),642483.0)</f>
        <v>642483</v>
      </c>
      <c r="F1289" s="14">
        <f t="array" ref="F1289">F1288</f>
        <v>14</v>
      </c>
      <c r="G1289" s="15" t="str">
        <f>IFERROR(__xludf.DUMMYFUNCTION("IF(E1289&gt;AVERAGE(INDEX(GOOGLEFINANCE(B1289,""volume"",WORKDAY(TODAY(),-$F$1),TODAY()),,2)),""Breakout"","""")"),"#N/A")</f>
        <v>#N/A</v>
      </c>
      <c r="H1289" s="16">
        <f>IFERROR(__xludf.DUMMYFUNCTION("GOOGLEFINANCE(B1289,""price"")"),13.96)</f>
        <v>13.96</v>
      </c>
      <c r="I1289" s="17">
        <f>IFERROR(__xludf.DUMMYFUNCTION("AVERAGE(QUERY(SORT(GOOGLEFINANCE(B1289,""price"",TODAY()-365,TODAY()),1,0),""select Col2 limit 10""))"),14.131)</f>
        <v>14.131</v>
      </c>
      <c r="J1289" s="17">
        <f>IFERROR(__xludf.DUMMYFUNCTION("AVERAGE(QUERY(SORT(GOOGLEFINANCE(B1289,""price"",TODAY()-365,TODAY()),1,0),""select Col2 limit 30""))"),14.073333333333334)</f>
        <v>14.07333333</v>
      </c>
      <c r="K1289" s="18">
        <f>IFERROR(__xludf.DUMMYFUNCTION("AVERAGE(QUERY(SORT(GOOGLEFINANCE(B1289,""price"",TODAY()-365,TODAY()),1,0),""select Col2 limit 60""))"),13.9965)</f>
        <v>13.9965</v>
      </c>
      <c r="L1289" s="17">
        <f>IFERROR(__xludf.DUMMYFUNCTION("AVERAGE(QUERY(SORT(GOOGLEFINANCE(B1289,""price"",TODAY()-365,TODAY()),1,0),""select Col2 limit 90""))"),13.394555555555556)</f>
        <v>13.39455556</v>
      </c>
      <c r="M1289" s="17">
        <f>IFERROR(__xludf.DUMMYFUNCTION("AVERAGE(QUERY(SORT(GOOGLEFINANCE(B1289,""price"",TODAY()-365,TODAY()),1,0),""select Col2 limit 120""))"),13.61466666666667)</f>
        <v>13.61466667</v>
      </c>
      <c r="N1289" s="19">
        <f>IFERROR(__xludf.DUMMYFUNCTION("AVERAGE(QUERY(SORT(GOOGLEFINANCE(B1289,""price"",TODAY()-365,TODAY()),1,0),""select Col2 limit 200""))"),17.2399)</f>
        <v>17.2399</v>
      </c>
      <c r="O1289" s="20" t="str">
        <f t="shared" si="2"/>
        <v>Avoid</v>
      </c>
      <c r="P1289" s="21" t="str">
        <f t="shared" si="3"/>
        <v>30 DMA</v>
      </c>
      <c r="Q1289" s="21" t="str">
        <f t="shared" si="4"/>
        <v/>
      </c>
      <c r="R1289" s="22">
        <f>IFERROR(__xludf.DUMMYFUNCTION("GOOGLEFINANCE(B1289, ""pe"")
"),60.74)</f>
        <v>60.74</v>
      </c>
    </row>
    <row r="1290">
      <c r="A1290" s="9" t="s">
        <v>1300</v>
      </c>
      <c r="B1290" s="11" t="str">
        <f t="shared" si="1"/>
        <v>NSE:SPMLINFRA</v>
      </c>
      <c r="C1290" s="12">
        <f>IFERROR(__xludf.DUMMYFUNCTION("GOOGLEFINANCE(B1290,""marketcap"")/10000000"),2021.2841302)</f>
        <v>2021.28413</v>
      </c>
      <c r="D1290" s="13">
        <f>IFERROR(__xludf.DUMMYFUNCTION("GOOGLEFINANCE(B1290,""price"")"),281.3)</f>
        <v>281.3</v>
      </c>
      <c r="E1290" s="14">
        <f>IFERROR(__xludf.DUMMYFUNCTION("GOOGLEFINANCE(B1290,""Volume"")"),568408.0)</f>
        <v>568408</v>
      </c>
      <c r="F1290" s="14">
        <f t="array" ref="F1290">F1289</f>
        <v>14</v>
      </c>
      <c r="G1290" s="15" t="str">
        <f>IFERROR(__xludf.DUMMYFUNCTION("IF(E1290&gt;AVERAGE(INDEX(GOOGLEFINANCE(B1290,""volume"",WORKDAY(TODAY(),-$F$1),TODAY()),,2)),""Breakout"","""")"),"")</f>
        <v/>
      </c>
      <c r="H1290" s="16">
        <f>IFERROR(__xludf.DUMMYFUNCTION("GOOGLEFINANCE(B1290,""price"")"),281.3)</f>
        <v>281.3</v>
      </c>
      <c r="I1290" s="17">
        <f>IFERROR(__xludf.DUMMYFUNCTION("AVERAGE(QUERY(SORT(GOOGLEFINANCE(B1290,""price"",TODAY()-365,TODAY()),1,0),""select Col2 limit 10""))"),277.58500000000004)</f>
        <v>277.585</v>
      </c>
      <c r="J1290" s="17">
        <f>IFERROR(__xludf.DUMMYFUNCTION("AVERAGE(QUERY(SORT(GOOGLEFINANCE(B1290,""price"",TODAY()-365,TODAY()),1,0),""select Col2 limit 30""))"),255.16066666666663)</f>
        <v>255.1606667</v>
      </c>
      <c r="K1290" s="18">
        <f>IFERROR(__xludf.DUMMYFUNCTION("AVERAGE(QUERY(SORT(GOOGLEFINANCE(B1290,""price"",TODAY()-365,TODAY()),1,0),""select Col2 limit 60""))"),221.85466666666665)</f>
        <v>221.8546667</v>
      </c>
      <c r="L1290" s="17">
        <f>IFERROR(__xludf.DUMMYFUNCTION("AVERAGE(QUERY(SORT(GOOGLEFINANCE(B1290,""price"",TODAY()-365,TODAY()),1,0),""select Col2 limit 90""))"),208.4603333333333)</f>
        <v>208.4603333</v>
      </c>
      <c r="M1290" s="17">
        <f>IFERROR(__xludf.DUMMYFUNCTION("AVERAGE(QUERY(SORT(GOOGLEFINANCE(B1290,""price"",TODAY()-365,TODAY()),1,0),""select Col2 limit 120""))"),198.34249999999986)</f>
        <v>198.3425</v>
      </c>
      <c r="N1290" s="19">
        <f>IFERROR(__xludf.DUMMYFUNCTION("AVERAGE(QUERY(SORT(GOOGLEFINANCE(B1290,""price"",TODAY()-365,TODAY()),1,0),""select Col2 limit 200""))"),210.61314999999985)</f>
        <v>210.61315</v>
      </c>
      <c r="O1290" s="20" t="str">
        <f t="shared" si="2"/>
        <v>Avoid</v>
      </c>
      <c r="P1290" s="21" t="str">
        <f t="shared" si="3"/>
        <v/>
      </c>
      <c r="Q1290" s="21" t="str">
        <f t="shared" si="4"/>
        <v/>
      </c>
      <c r="R1290" s="22">
        <f>IFERROR(__xludf.DUMMYFUNCTION("GOOGLEFINANCE(B1290, ""pe"")
"),44.33)</f>
        <v>44.33</v>
      </c>
    </row>
    <row r="1291">
      <c r="A1291" s="9" t="s">
        <v>1301</v>
      </c>
      <c r="B1291" s="11" t="str">
        <f t="shared" si="1"/>
        <v>NSE:MUFTI</v>
      </c>
      <c r="C1291" s="12">
        <f>IFERROR(__xludf.DUMMYFUNCTION("GOOGLEFINANCE(B1291,""marketcap"")/10000000"),1065.4671328)</f>
        <v>1065.467133</v>
      </c>
      <c r="D1291" s="13">
        <f>IFERROR(__xludf.DUMMYFUNCTION("GOOGLEFINANCE(B1291,""price"")"),162.0)</f>
        <v>162</v>
      </c>
      <c r="E1291" s="14">
        <f>IFERROR(__xludf.DUMMYFUNCTION("GOOGLEFINANCE(B1291,""Volume"")"),40606.0)</f>
        <v>40606</v>
      </c>
      <c r="F1291" s="14">
        <f t="array" ref="F1291">F1290</f>
        <v>14</v>
      </c>
      <c r="G1291" s="15" t="str">
        <f>IFERROR(__xludf.DUMMYFUNCTION("IF(E1291&gt;AVERAGE(INDEX(GOOGLEFINANCE(B1291,""volume"",WORKDAY(TODAY(),-$F$1),TODAY()),,2)),""Breakout"","""")"),"#N/A")</f>
        <v>#N/A</v>
      </c>
      <c r="H1291" s="16">
        <f>IFERROR(__xludf.DUMMYFUNCTION("GOOGLEFINANCE(B1291,""price"")"),162.0)</f>
        <v>162</v>
      </c>
      <c r="I1291" s="17">
        <f>IFERROR(__xludf.DUMMYFUNCTION("AVERAGE(QUERY(SORT(GOOGLEFINANCE(B1291,""price"",TODAY()-365,TODAY()),1,0),""select Col2 limit 10""))"),167.53799999999998)</f>
        <v>167.538</v>
      </c>
      <c r="J1291" s="17">
        <f>IFERROR(__xludf.DUMMYFUNCTION("AVERAGE(QUERY(SORT(GOOGLEFINANCE(B1291,""price"",TODAY()-365,TODAY()),1,0),""select Col2 limit 30""))"),167.27433333333332)</f>
        <v>167.2743333</v>
      </c>
      <c r="K1291" s="18">
        <f>IFERROR(__xludf.DUMMYFUNCTION("AVERAGE(QUERY(SORT(GOOGLEFINANCE(B1291,""price"",TODAY()-365,TODAY()),1,0),""select Col2 limit 60""))"),161.85199999999998)</f>
        <v>161.852</v>
      </c>
      <c r="L1291" s="17">
        <f>IFERROR(__xludf.DUMMYFUNCTION("AVERAGE(QUERY(SORT(GOOGLEFINANCE(B1291,""price"",TODAY()-365,TODAY()),1,0),""select Col2 limit 90""))"),151.19977777777774)</f>
        <v>151.1997778</v>
      </c>
      <c r="M1291" s="17">
        <f>IFERROR(__xludf.DUMMYFUNCTION("AVERAGE(QUERY(SORT(GOOGLEFINANCE(B1291,""price"",TODAY()-365,TODAY()),1,0),""select Col2 limit 120""))"),146.31683333333328)</f>
        <v>146.3168333</v>
      </c>
      <c r="N1291" s="19">
        <f>IFERROR(__xludf.DUMMYFUNCTION("AVERAGE(QUERY(SORT(GOOGLEFINANCE(B1291,""price"",TODAY()-365,TODAY()),1,0),""select Col2 limit 200""))"),159.19575000000003)</f>
        <v>159.19575</v>
      </c>
      <c r="O1291" s="20" t="str">
        <f t="shared" si="2"/>
        <v>Avoid</v>
      </c>
      <c r="P1291" s="21" t="str">
        <f t="shared" si="3"/>
        <v/>
      </c>
      <c r="Q1291" s="21" t="str">
        <f t="shared" si="4"/>
        <v/>
      </c>
      <c r="R1291" s="22">
        <f>IFERROR(__xludf.DUMMYFUNCTION("GOOGLEFINANCE(B1291, ""pe"")
"),15.47)</f>
        <v>15.47</v>
      </c>
    </row>
    <row r="1292">
      <c r="A1292" s="9" t="s">
        <v>1302</v>
      </c>
      <c r="B1292" s="11" t="str">
        <f t="shared" si="1"/>
        <v>NSE:SASTASUNDR</v>
      </c>
      <c r="C1292" s="12">
        <f>IFERROR(__xludf.DUMMYFUNCTION("GOOGLEFINANCE(B1292,""marketcap"")/10000000"),957.49605)</f>
        <v>957.49605</v>
      </c>
      <c r="D1292" s="13">
        <f>IFERROR(__xludf.DUMMYFUNCTION("GOOGLEFINANCE(B1292,""price"")"),301.0)</f>
        <v>301</v>
      </c>
      <c r="E1292" s="14">
        <f>IFERROR(__xludf.DUMMYFUNCTION("GOOGLEFINANCE(B1292,""Volume"")"),5436.0)</f>
        <v>5436</v>
      </c>
      <c r="F1292" s="14">
        <f t="array" ref="F1292">F1291</f>
        <v>14</v>
      </c>
      <c r="G1292" s="15" t="str">
        <f>IFERROR(__xludf.DUMMYFUNCTION("IF(E1292&gt;AVERAGE(INDEX(GOOGLEFINANCE(B1292,""volume"",WORKDAY(TODAY(),-$F$1),TODAY()),,2)),""Breakout"","""")"),"")</f>
        <v/>
      </c>
      <c r="H1292" s="16">
        <f>IFERROR(__xludf.DUMMYFUNCTION("GOOGLEFINANCE(B1292,""price"")"),301.0)</f>
        <v>301</v>
      </c>
      <c r="I1292" s="17">
        <f>IFERROR(__xludf.DUMMYFUNCTION("AVERAGE(QUERY(SORT(GOOGLEFINANCE(B1292,""price"",TODAY()-365,TODAY()),1,0),""select Col2 limit 10""))"),291.01000000000005)</f>
        <v>291.01</v>
      </c>
      <c r="J1292" s="17">
        <f>IFERROR(__xludf.DUMMYFUNCTION("AVERAGE(QUERY(SORT(GOOGLEFINANCE(B1292,""price"",TODAY()-365,TODAY()),1,0),""select Col2 limit 30""))"),291.3516666666667)</f>
        <v>291.3516667</v>
      </c>
      <c r="K1292" s="18">
        <f>IFERROR(__xludf.DUMMYFUNCTION("AVERAGE(QUERY(SORT(GOOGLEFINANCE(B1292,""price"",TODAY()-365,TODAY()),1,0),""select Col2 limit 60""))"),276.6683333333333)</f>
        <v>276.6683333</v>
      </c>
      <c r="L1292" s="17">
        <f>IFERROR(__xludf.DUMMYFUNCTION("AVERAGE(QUERY(SORT(GOOGLEFINANCE(B1292,""price"",TODAY()-365,TODAY()),1,0),""select Col2 limit 90""))"),267.36155555555547)</f>
        <v>267.3615556</v>
      </c>
      <c r="M1292" s="17">
        <f>IFERROR(__xludf.DUMMYFUNCTION("AVERAGE(QUERY(SORT(GOOGLEFINANCE(B1292,""price"",TODAY()-365,TODAY()),1,0),""select Col2 limit 120""))"),265.0906666666666)</f>
        <v>265.0906667</v>
      </c>
      <c r="N1292" s="19">
        <f>IFERROR(__xludf.DUMMYFUNCTION("AVERAGE(QUERY(SORT(GOOGLEFINANCE(B1292,""price"",TODAY()-365,TODAY()),1,0),""select Col2 limit 200""))"),284.4941500000001)</f>
        <v>284.49415</v>
      </c>
      <c r="O1292" s="20" t="str">
        <f t="shared" si="2"/>
        <v>Avoid</v>
      </c>
      <c r="P1292" s="21" t="str">
        <f t="shared" si="3"/>
        <v/>
      </c>
      <c r="Q1292" s="21" t="str">
        <f t="shared" si="4"/>
        <v/>
      </c>
      <c r="R1292" s="22" t="str">
        <f>IFERROR(__xludf.DUMMYFUNCTION("GOOGLEFINANCE(B1292, ""pe"")
"),"#N/A")</f>
        <v>#N/A</v>
      </c>
    </row>
    <row r="1293">
      <c r="A1293" s="9" t="s">
        <v>1303</v>
      </c>
      <c r="B1293" s="11" t="str">
        <f t="shared" si="1"/>
        <v>NSE:VALIANTORG</v>
      </c>
      <c r="C1293" s="12">
        <f>IFERROR(__xludf.DUMMYFUNCTION("GOOGLEFINANCE(B1293,""marketcap"")/10000000"),1045.4116838)</f>
        <v>1045.411684</v>
      </c>
      <c r="D1293" s="13">
        <f>IFERROR(__xludf.DUMMYFUNCTION("GOOGLEFINANCE(B1293,""price"")"),381.5)</f>
        <v>381.5</v>
      </c>
      <c r="E1293" s="14">
        <f>IFERROR(__xludf.DUMMYFUNCTION("GOOGLEFINANCE(B1293,""Volume"")"),7817.0)</f>
        <v>7817</v>
      </c>
      <c r="F1293" s="14">
        <f t="array" ref="F1293">F1292</f>
        <v>14</v>
      </c>
      <c r="G1293" s="15" t="str">
        <f>IFERROR(__xludf.DUMMYFUNCTION("IF(E1293&gt;AVERAGE(INDEX(GOOGLEFINANCE(B1293,""volume"",WORKDAY(TODAY(),-$F$1),TODAY()),,2)),""Breakout"","""")"),"")</f>
        <v/>
      </c>
      <c r="H1293" s="16">
        <f>IFERROR(__xludf.DUMMYFUNCTION("GOOGLEFINANCE(B1293,""price"")"),381.5)</f>
        <v>381.5</v>
      </c>
      <c r="I1293" s="17">
        <f>IFERROR(__xludf.DUMMYFUNCTION("AVERAGE(QUERY(SORT(GOOGLEFINANCE(B1293,""price"",TODAY()-365,TODAY()),1,0),""select Col2 limit 10""))"),407.7)</f>
        <v>407.7</v>
      </c>
      <c r="J1293" s="17">
        <f>IFERROR(__xludf.DUMMYFUNCTION("AVERAGE(QUERY(SORT(GOOGLEFINANCE(B1293,""price"",TODAY()-365,TODAY()),1,0),""select Col2 limit 30""))"),428.28333333333325)</f>
        <v>428.2833333</v>
      </c>
      <c r="K1293" s="18">
        <f>IFERROR(__xludf.DUMMYFUNCTION("AVERAGE(QUERY(SORT(GOOGLEFINANCE(B1293,""price"",TODAY()-365,TODAY()),1,0),""select Col2 limit 60""))"),396.5591666666666)</f>
        <v>396.5591667</v>
      </c>
      <c r="L1293" s="17">
        <f>IFERROR(__xludf.DUMMYFUNCTION("AVERAGE(QUERY(SORT(GOOGLEFINANCE(B1293,""price"",TODAY()-365,TODAY()),1,0),""select Col2 limit 90""))"),362.3644444444445)</f>
        <v>362.3644444</v>
      </c>
      <c r="M1293" s="17">
        <f>IFERROR(__xludf.DUMMYFUNCTION("AVERAGE(QUERY(SORT(GOOGLEFINANCE(B1293,""price"",TODAY()-365,TODAY()),1,0),""select Col2 limit 120""))"),342.72999999999996)</f>
        <v>342.73</v>
      </c>
      <c r="N1293" s="19">
        <f>IFERROR(__xludf.DUMMYFUNCTION("AVERAGE(QUERY(SORT(GOOGLEFINANCE(B1293,""price"",TODAY()-365,TODAY()),1,0),""select Col2 limit 200""))"),350.44000000000017)</f>
        <v>350.44</v>
      </c>
      <c r="O1293" s="20" t="str">
        <f t="shared" si="2"/>
        <v>Avoid</v>
      </c>
      <c r="P1293" s="21" t="str">
        <f t="shared" si="3"/>
        <v/>
      </c>
      <c r="Q1293" s="21" t="str">
        <f t="shared" si="4"/>
        <v/>
      </c>
      <c r="R1293" s="22" t="str">
        <f>IFERROR(__xludf.DUMMYFUNCTION("GOOGLEFINANCE(B1293, ""pe"")
"),"#N/A")</f>
        <v>#N/A</v>
      </c>
    </row>
    <row r="1294">
      <c r="A1294" s="9" t="s">
        <v>1304</v>
      </c>
      <c r="B1294" s="11" t="str">
        <f t="shared" si="1"/>
        <v>NSE:DHARMAJ</v>
      </c>
      <c r="C1294" s="12">
        <f>IFERROR(__xludf.DUMMYFUNCTION("GOOGLEFINANCE(B1294,""marketcap"")/10000000"),1064.1382498)</f>
        <v>1064.13825</v>
      </c>
      <c r="D1294" s="13">
        <f>IFERROR(__xludf.DUMMYFUNCTION("GOOGLEFINANCE(B1294,""price"")"),314.85)</f>
        <v>314.85</v>
      </c>
      <c r="E1294" s="14">
        <f>IFERROR(__xludf.DUMMYFUNCTION("GOOGLEFINANCE(B1294,""Volume"")"),15165.0)</f>
        <v>15165</v>
      </c>
      <c r="F1294" s="14">
        <f t="array" ref="F1294">F1293</f>
        <v>14</v>
      </c>
      <c r="G1294" s="15" t="str">
        <f>IFERROR(__xludf.DUMMYFUNCTION("IF(E1294&gt;AVERAGE(INDEX(GOOGLEFINANCE(B1294,""volume"",WORKDAY(TODAY(),-$F$1),TODAY()),,2)),""Breakout"","""")"),"")</f>
        <v/>
      </c>
      <c r="H1294" s="16">
        <f>IFERROR(__xludf.DUMMYFUNCTION("GOOGLEFINANCE(B1294,""price"")"),314.85)</f>
        <v>314.85</v>
      </c>
      <c r="I1294" s="17">
        <f>IFERROR(__xludf.DUMMYFUNCTION("AVERAGE(QUERY(SORT(GOOGLEFINANCE(B1294,""price"",TODAY()-365,TODAY()),1,0),""select Col2 limit 10""))"),330.33000000000004)</f>
        <v>330.33</v>
      </c>
      <c r="J1294" s="17">
        <f>IFERROR(__xludf.DUMMYFUNCTION("AVERAGE(QUERY(SORT(GOOGLEFINANCE(B1294,""price"",TODAY()-365,TODAY()),1,0),""select Col2 limit 30""))"),320.7426666666667)</f>
        <v>320.7426667</v>
      </c>
      <c r="K1294" s="18">
        <f>IFERROR(__xludf.DUMMYFUNCTION("AVERAGE(QUERY(SORT(GOOGLEFINANCE(B1294,""price"",TODAY()-365,TODAY()),1,0),""select Col2 limit 60""))"),283.0623333333333)</f>
        <v>283.0623333</v>
      </c>
      <c r="L1294" s="17">
        <f>IFERROR(__xludf.DUMMYFUNCTION("AVERAGE(QUERY(SORT(GOOGLEFINANCE(B1294,""price"",TODAY()-365,TODAY()),1,0),""select Col2 limit 90""))"),255.77788888888887)</f>
        <v>255.7778889</v>
      </c>
      <c r="M1294" s="17">
        <f>IFERROR(__xludf.DUMMYFUNCTION("AVERAGE(QUERY(SORT(GOOGLEFINANCE(B1294,""price"",TODAY()-365,TODAY()),1,0),""select Col2 limit 120""))"),242.84566666666666)</f>
        <v>242.8456667</v>
      </c>
      <c r="N1294" s="19">
        <f>IFERROR(__xludf.DUMMYFUNCTION("AVERAGE(QUERY(SORT(GOOGLEFINANCE(B1294,""price"",TODAY()-365,TODAY()),1,0),""select Col2 limit 200""))"),262.59214999999995)</f>
        <v>262.59215</v>
      </c>
      <c r="O1294" s="20" t="str">
        <f t="shared" si="2"/>
        <v>Avoid</v>
      </c>
      <c r="P1294" s="21" t="str">
        <f t="shared" si="3"/>
        <v/>
      </c>
      <c r="Q1294" s="21" t="str">
        <f t="shared" si="4"/>
        <v/>
      </c>
      <c r="R1294" s="22">
        <f>IFERROR(__xludf.DUMMYFUNCTION("GOOGLEFINANCE(B1294, ""pe"")
"),30.57)</f>
        <v>30.57</v>
      </c>
    </row>
    <row r="1295">
      <c r="A1295" s="9" t="s">
        <v>1305</v>
      </c>
      <c r="B1295" s="11" t="str">
        <f t="shared" si="1"/>
        <v>NSE:MSPL</v>
      </c>
      <c r="C1295" s="12">
        <f>IFERROR(__xludf.DUMMYFUNCTION("GOOGLEFINANCE(B1295,""marketcap"")/10000000"),1804.6807014)</f>
        <v>1804.680701</v>
      </c>
      <c r="D1295" s="13">
        <f>IFERROR(__xludf.DUMMYFUNCTION("GOOGLEFINANCE(B1295,""price"")"),31.84)</f>
        <v>31.84</v>
      </c>
      <c r="E1295" s="14">
        <f>IFERROR(__xludf.DUMMYFUNCTION("GOOGLEFINANCE(B1295,""Volume"")"),204141.0)</f>
        <v>204141</v>
      </c>
      <c r="F1295" s="14">
        <f t="array" ref="F1295">F1294</f>
        <v>14</v>
      </c>
      <c r="G1295" s="15" t="str">
        <f>IFERROR(__xludf.DUMMYFUNCTION("IF(E1295&gt;AVERAGE(INDEX(GOOGLEFINANCE(B1295,""volume"",WORKDAY(TODAY(),-$F$1),TODAY()),,2)),""Breakout"","""")"),"")</f>
        <v/>
      </c>
      <c r="H1295" s="16">
        <f>IFERROR(__xludf.DUMMYFUNCTION("GOOGLEFINANCE(B1295,""price"")"),31.84)</f>
        <v>31.84</v>
      </c>
      <c r="I1295" s="17">
        <f>IFERROR(__xludf.DUMMYFUNCTION("AVERAGE(QUERY(SORT(GOOGLEFINANCE(B1295,""price"",TODAY()-365,TODAY()),1,0),""select Col2 limit 10""))"),32.852999999999994)</f>
        <v>32.853</v>
      </c>
      <c r="J1295" s="17">
        <f>IFERROR(__xludf.DUMMYFUNCTION("AVERAGE(QUERY(SORT(GOOGLEFINANCE(B1295,""price"",TODAY()-365,TODAY()),1,0),""select Col2 limit 30""))"),29.770000000000003)</f>
        <v>29.77</v>
      </c>
      <c r="K1295" s="18">
        <f>IFERROR(__xludf.DUMMYFUNCTION("AVERAGE(QUERY(SORT(GOOGLEFINANCE(B1295,""price"",TODAY()-365,TODAY()),1,0),""select Col2 limit 60""))"),28.418333333333337)</f>
        <v>28.41833333</v>
      </c>
      <c r="L1295" s="17">
        <f>IFERROR(__xludf.DUMMYFUNCTION("AVERAGE(QUERY(SORT(GOOGLEFINANCE(B1295,""price"",TODAY()-365,TODAY()),1,0),""select Col2 limit 90""))"),28.132555555555555)</f>
        <v>28.13255556</v>
      </c>
      <c r="M1295" s="17">
        <f>IFERROR(__xludf.DUMMYFUNCTION("AVERAGE(QUERY(SORT(GOOGLEFINANCE(B1295,""price"",TODAY()-365,TODAY()),1,0),""select Col2 limit 120""))"),28.306833333333337)</f>
        <v>28.30683333</v>
      </c>
      <c r="N1295" s="19">
        <f>IFERROR(__xludf.DUMMYFUNCTION("AVERAGE(QUERY(SORT(GOOGLEFINANCE(B1295,""price"",TODAY()-365,TODAY()),1,0),""select Col2 limit 200""))"),34.56845)</f>
        <v>34.56845</v>
      </c>
      <c r="O1295" s="20" t="str">
        <f t="shared" si="2"/>
        <v>Avoid</v>
      </c>
      <c r="P1295" s="21" t="str">
        <f t="shared" si="3"/>
        <v/>
      </c>
      <c r="Q1295" s="21" t="str">
        <f t="shared" si="4"/>
        <v/>
      </c>
      <c r="R1295" s="22" t="str">
        <f>IFERROR(__xludf.DUMMYFUNCTION("GOOGLEFINANCE(B1295, ""pe"")
"),"#N/A")</f>
        <v>#N/A</v>
      </c>
    </row>
    <row r="1296">
      <c r="A1296" s="9" t="s">
        <v>1306</v>
      </c>
      <c r="B1296" s="11" t="str">
        <f t="shared" si="1"/>
        <v>NSE:ESTER</v>
      </c>
      <c r="C1296" s="12">
        <f>IFERROR(__xludf.DUMMYFUNCTION("GOOGLEFINANCE(B1296,""marketcap"")/10000000"),1170.058313)</f>
        <v>1170.058313</v>
      </c>
      <c r="D1296" s="13">
        <f>IFERROR(__xludf.DUMMYFUNCTION("GOOGLEFINANCE(B1296,""price"")"),119.53)</f>
        <v>119.53</v>
      </c>
      <c r="E1296" s="14">
        <f>IFERROR(__xludf.DUMMYFUNCTION("GOOGLEFINANCE(B1296,""Volume"")"),54417.0)</f>
        <v>54417</v>
      </c>
      <c r="F1296" s="14">
        <f t="array" ref="F1296">F1295</f>
        <v>14</v>
      </c>
      <c r="G1296" s="15" t="str">
        <f>IFERROR(__xludf.DUMMYFUNCTION("IF(E1296&gt;AVERAGE(INDEX(GOOGLEFINANCE(B1296,""volume"",WORKDAY(TODAY(),-$F$1),TODAY()),,2)),""Breakout"","""")"),"")</f>
        <v/>
      </c>
      <c r="H1296" s="16">
        <f>IFERROR(__xludf.DUMMYFUNCTION("GOOGLEFINANCE(B1296,""price"")"),119.53)</f>
        <v>119.53</v>
      </c>
      <c r="I1296" s="17">
        <f>IFERROR(__xludf.DUMMYFUNCTION("AVERAGE(QUERY(SORT(GOOGLEFINANCE(B1296,""price"",TODAY()-365,TODAY()),1,0),""select Col2 limit 10""))"),123.01100000000001)</f>
        <v>123.011</v>
      </c>
      <c r="J1296" s="17">
        <f>IFERROR(__xludf.DUMMYFUNCTION("AVERAGE(QUERY(SORT(GOOGLEFINANCE(B1296,""price"",TODAY()-365,TODAY()),1,0),""select Col2 limit 30""))"),126.99100000000001)</f>
        <v>126.991</v>
      </c>
      <c r="K1296" s="18">
        <f>IFERROR(__xludf.DUMMYFUNCTION("AVERAGE(QUERY(SORT(GOOGLEFINANCE(B1296,""price"",TODAY()-365,TODAY()),1,0),""select Col2 limit 60""))"),127.35750000000004)</f>
        <v>127.3575</v>
      </c>
      <c r="L1296" s="17">
        <f>IFERROR(__xludf.DUMMYFUNCTION("AVERAGE(QUERY(SORT(GOOGLEFINANCE(B1296,""price"",TODAY()-365,TODAY()),1,0),""select Col2 limit 90""))"),125.99222222222228)</f>
        <v>125.9922222</v>
      </c>
      <c r="M1296" s="17">
        <f>IFERROR(__xludf.DUMMYFUNCTION("AVERAGE(QUERY(SORT(GOOGLEFINANCE(B1296,""price"",TODAY()-365,TODAY()),1,0),""select Col2 limit 120""))"),130.29208333333335)</f>
        <v>130.2920833</v>
      </c>
      <c r="N1296" s="19">
        <f>IFERROR(__xludf.DUMMYFUNCTION("AVERAGE(QUERY(SORT(GOOGLEFINANCE(B1296,""price"",TODAY()-365,TODAY()),1,0),""select Col2 limit 200""))"),138.82705)</f>
        <v>138.82705</v>
      </c>
      <c r="O1296" s="20" t="str">
        <f t="shared" si="2"/>
        <v>Avoid</v>
      </c>
      <c r="P1296" s="21" t="str">
        <f t="shared" si="3"/>
        <v/>
      </c>
      <c r="Q1296" s="21" t="str">
        <f t="shared" si="4"/>
        <v/>
      </c>
      <c r="R1296" s="22">
        <f>IFERROR(__xludf.DUMMYFUNCTION("GOOGLEFINANCE(B1296, ""pe"")
"),81.87)</f>
        <v>81.87</v>
      </c>
    </row>
    <row r="1297">
      <c r="A1297" s="9" t="s">
        <v>1307</v>
      </c>
      <c r="B1297" s="11" t="str">
        <f t="shared" si="1"/>
        <v>NSE:WINDMACHIN</v>
      </c>
      <c r="C1297" s="12">
        <f>IFERROR(__xludf.DUMMYFUNCTION("GOOGLEFINANCE(B1297,""marketcap"")/10000000"),2819.4635962)</f>
        <v>2819.463596</v>
      </c>
      <c r="D1297" s="13">
        <f>IFERROR(__xludf.DUMMYFUNCTION("GOOGLEFINANCE(B1297,""price"")"),332.0)</f>
        <v>332</v>
      </c>
      <c r="E1297" s="14">
        <f>IFERROR(__xludf.DUMMYFUNCTION("GOOGLEFINANCE(B1297,""Volume"")"),47716.0)</f>
        <v>47716</v>
      </c>
      <c r="F1297" s="14">
        <f t="array" ref="F1297">F1296</f>
        <v>14</v>
      </c>
      <c r="G1297" s="15" t="str">
        <f>IFERROR(__xludf.DUMMYFUNCTION("IF(E1297&gt;AVERAGE(INDEX(GOOGLEFINANCE(B1297,""volume"",WORKDAY(TODAY(),-$F$1),TODAY()),,2)),""Breakout"","""")"),"")</f>
        <v/>
      </c>
      <c r="H1297" s="16">
        <f>IFERROR(__xludf.DUMMYFUNCTION("GOOGLEFINANCE(B1297,""price"")"),332.0)</f>
        <v>332</v>
      </c>
      <c r="I1297" s="17">
        <f>IFERROR(__xludf.DUMMYFUNCTION("AVERAGE(QUERY(SORT(GOOGLEFINANCE(B1297,""price"",TODAY()-365,TODAY()),1,0),""select Col2 limit 10""))"),355.23999999999995)</f>
        <v>355.24</v>
      </c>
      <c r="J1297" s="17">
        <f>IFERROR(__xludf.DUMMYFUNCTION("AVERAGE(QUERY(SORT(GOOGLEFINANCE(B1297,""price"",TODAY()-365,TODAY()),1,0),""select Col2 limit 30""))"),366.98333333333335)</f>
        <v>366.9833333</v>
      </c>
      <c r="K1297" s="18">
        <f>IFERROR(__xludf.DUMMYFUNCTION("AVERAGE(QUERY(SORT(GOOGLEFINANCE(B1297,""price"",TODAY()-365,TODAY()),1,0),""select Col2 limit 60""))"),362.58)</f>
        <v>362.58</v>
      </c>
      <c r="L1297" s="17">
        <f>IFERROR(__xludf.DUMMYFUNCTION("AVERAGE(QUERY(SORT(GOOGLEFINANCE(B1297,""price"",TODAY()-365,TODAY()),1,0),""select Col2 limit 90""))"),345.35866666666664)</f>
        <v>345.3586667</v>
      </c>
      <c r="M1297" s="17">
        <f>IFERROR(__xludf.DUMMYFUNCTION("AVERAGE(QUERY(SORT(GOOGLEFINANCE(B1297,""price"",TODAY()-365,TODAY()),1,0),""select Col2 limit 120""))"),329.40499999999986)</f>
        <v>329.405</v>
      </c>
      <c r="N1297" s="19">
        <f>IFERROR(__xludf.DUMMYFUNCTION("AVERAGE(QUERY(SORT(GOOGLEFINANCE(B1297,""price"",TODAY()-365,TODAY()),1,0),""select Col2 limit 200""))"),316.92379999999986)</f>
        <v>316.9238</v>
      </c>
      <c r="O1297" s="20" t="str">
        <f t="shared" si="2"/>
        <v>Avoid</v>
      </c>
      <c r="P1297" s="21" t="str">
        <f t="shared" si="3"/>
        <v/>
      </c>
      <c r="Q1297" s="21" t="str">
        <f t="shared" si="4"/>
        <v/>
      </c>
      <c r="R1297" s="22">
        <f>IFERROR(__xludf.DUMMYFUNCTION("GOOGLEFINANCE(B1297, ""pe"")
"),378.04)</f>
        <v>378.04</v>
      </c>
    </row>
    <row r="1298">
      <c r="A1298" s="9" t="s">
        <v>1308</v>
      </c>
      <c r="B1298" s="11" t="str">
        <f t="shared" si="1"/>
        <v>NSE:KRYSTAL</v>
      </c>
      <c r="C1298" s="12">
        <f>IFERROR(__xludf.DUMMYFUNCTION("GOOGLEFINANCE(B1298,""marketcap"")/10000000"),892.807605)</f>
        <v>892.807605</v>
      </c>
      <c r="D1298" s="13">
        <f>IFERROR(__xludf.DUMMYFUNCTION("GOOGLEFINANCE(B1298,""price"")"),639.0)</f>
        <v>639</v>
      </c>
      <c r="E1298" s="14">
        <f>IFERROR(__xludf.DUMMYFUNCTION("GOOGLEFINANCE(B1298,""Volume"")"),2339.0)</f>
        <v>2339</v>
      </c>
      <c r="F1298" s="14">
        <f t="array" ref="F1298">F1297</f>
        <v>14</v>
      </c>
      <c r="G1298" s="15" t="str">
        <f>IFERROR(__xludf.DUMMYFUNCTION("IF(E1298&gt;AVERAGE(INDEX(GOOGLEFINANCE(B1298,""volume"",WORKDAY(TODAY(),-$F$1),TODAY()),,2)),""Breakout"","""")"),"")</f>
        <v/>
      </c>
      <c r="H1298" s="16">
        <f>IFERROR(__xludf.DUMMYFUNCTION("GOOGLEFINANCE(B1298,""price"")"),639.0)</f>
        <v>639</v>
      </c>
      <c r="I1298" s="17">
        <f>IFERROR(__xludf.DUMMYFUNCTION("AVERAGE(QUERY(SORT(GOOGLEFINANCE(B1298,""price"",TODAY()-365,TODAY()),1,0),""select Col2 limit 10""))"),661.6200000000001)</f>
        <v>661.62</v>
      </c>
      <c r="J1298" s="17">
        <f>IFERROR(__xludf.DUMMYFUNCTION("AVERAGE(QUERY(SORT(GOOGLEFINANCE(B1298,""price"",TODAY()-365,TODAY()),1,0),""select Col2 limit 30""))"),628.5666666666667)</f>
        <v>628.5666667</v>
      </c>
      <c r="K1298" s="18">
        <f>IFERROR(__xludf.DUMMYFUNCTION("AVERAGE(QUERY(SORT(GOOGLEFINANCE(B1298,""price"",TODAY()-365,TODAY()),1,0),""select Col2 limit 60""))"),632.4150000000002)</f>
        <v>632.415</v>
      </c>
      <c r="L1298" s="17">
        <f>IFERROR(__xludf.DUMMYFUNCTION("AVERAGE(QUERY(SORT(GOOGLEFINANCE(B1298,""price"",TODAY()-365,TODAY()),1,0),""select Col2 limit 90""))"),584.1288888888889)</f>
        <v>584.1288889</v>
      </c>
      <c r="M1298" s="17">
        <f>IFERROR(__xludf.DUMMYFUNCTION("AVERAGE(QUERY(SORT(GOOGLEFINANCE(B1298,""price"",TODAY()-365,TODAY()),1,0),""select Col2 limit 120""))"),557.9250000000001)</f>
        <v>557.925</v>
      </c>
      <c r="N1298" s="19">
        <f>IFERROR(__xludf.DUMMYFUNCTION("AVERAGE(QUERY(SORT(GOOGLEFINANCE(B1298,""price"",TODAY()-365,TODAY()),1,0),""select Col2 limit 200""))"),617.3980000000001)</f>
        <v>617.398</v>
      </c>
      <c r="O1298" s="20" t="str">
        <f t="shared" si="2"/>
        <v>Avoid</v>
      </c>
      <c r="P1298" s="21" t="str">
        <f t="shared" si="3"/>
        <v/>
      </c>
      <c r="Q1298" s="21" t="str">
        <f t="shared" si="4"/>
        <v/>
      </c>
      <c r="R1298" s="22">
        <f>IFERROR(__xludf.DUMMYFUNCTION("GOOGLEFINANCE(B1298, ""pe"")
"),14.32)</f>
        <v>14.32</v>
      </c>
    </row>
    <row r="1299">
      <c r="A1299" s="9" t="s">
        <v>1309</v>
      </c>
      <c r="B1299" s="11" t="str">
        <f t="shared" si="1"/>
        <v>NSE:STCINDIA</v>
      </c>
      <c r="C1299" s="12">
        <f>IFERROR(__xludf.DUMMYFUNCTION("GOOGLEFINANCE(B1299,""marketcap"")/10000000"),775.8000183)</f>
        <v>775.8000183</v>
      </c>
      <c r="D1299" s="13">
        <f>IFERROR(__xludf.DUMMYFUNCTION("GOOGLEFINANCE(B1299,""price"")"),127.01)</f>
        <v>127.01</v>
      </c>
      <c r="E1299" s="14">
        <f>IFERROR(__xludf.DUMMYFUNCTION("GOOGLEFINANCE(B1299,""Volume"")"),4603.0)</f>
        <v>4603</v>
      </c>
      <c r="F1299" s="14">
        <f t="array" ref="F1299">F1298</f>
        <v>14</v>
      </c>
      <c r="G1299" s="15" t="str">
        <f>IFERROR(__xludf.DUMMYFUNCTION("IF(E1299&gt;AVERAGE(INDEX(GOOGLEFINANCE(B1299,""volume"",WORKDAY(TODAY(),-$F$1),TODAY()),,2)),""Breakout"","""")"),"")</f>
        <v/>
      </c>
      <c r="H1299" s="16">
        <f>IFERROR(__xludf.DUMMYFUNCTION("GOOGLEFINANCE(B1299,""price"")"),127.01)</f>
        <v>127.01</v>
      </c>
      <c r="I1299" s="17">
        <f>IFERROR(__xludf.DUMMYFUNCTION("AVERAGE(QUERY(SORT(GOOGLEFINANCE(B1299,""price"",TODAY()-365,TODAY()),1,0),""select Col2 limit 10""))"),135.859)</f>
        <v>135.859</v>
      </c>
      <c r="J1299" s="17">
        <f>IFERROR(__xludf.DUMMYFUNCTION("AVERAGE(QUERY(SORT(GOOGLEFINANCE(B1299,""price"",TODAY()-365,TODAY()),1,0),""select Col2 limit 30""))"),142.67700000000002)</f>
        <v>142.677</v>
      </c>
      <c r="K1299" s="18">
        <f>IFERROR(__xludf.DUMMYFUNCTION("AVERAGE(QUERY(SORT(GOOGLEFINANCE(B1299,""price"",TODAY()-365,TODAY()),1,0),""select Col2 limit 60""))"),141.473)</f>
        <v>141.473</v>
      </c>
      <c r="L1299" s="17">
        <f>IFERROR(__xludf.DUMMYFUNCTION("AVERAGE(QUERY(SORT(GOOGLEFINANCE(B1299,""price"",TODAY()-365,TODAY()),1,0),""select Col2 limit 90""))"),134.3843333333334)</f>
        <v>134.3843333</v>
      </c>
      <c r="M1299" s="17">
        <f>IFERROR(__xludf.DUMMYFUNCTION("AVERAGE(QUERY(SORT(GOOGLEFINANCE(B1299,""price"",TODAY()-365,TODAY()),1,0),""select Col2 limit 120""))"),131.60741666666667)</f>
        <v>131.6074167</v>
      </c>
      <c r="N1299" s="19">
        <f>IFERROR(__xludf.DUMMYFUNCTION("AVERAGE(QUERY(SORT(GOOGLEFINANCE(B1299,""price"",TODAY()-365,TODAY()),1,0),""select Col2 limit 200""))"),140.90720000000002)</f>
        <v>140.9072</v>
      </c>
      <c r="O1299" s="20" t="str">
        <f t="shared" si="2"/>
        <v>Avoid</v>
      </c>
      <c r="P1299" s="21" t="str">
        <f t="shared" si="3"/>
        <v/>
      </c>
      <c r="Q1299" s="21" t="str">
        <f t="shared" si="4"/>
        <v/>
      </c>
      <c r="R1299" s="22">
        <f>IFERROR(__xludf.DUMMYFUNCTION("GOOGLEFINANCE(B1299, ""pe"")
"),21.69)</f>
        <v>21.69</v>
      </c>
    </row>
    <row r="1300">
      <c r="A1300" s="9" t="s">
        <v>1310</v>
      </c>
      <c r="B1300" s="11" t="str">
        <f t="shared" si="1"/>
        <v>NSE:CSLFINANCE</v>
      </c>
      <c r="C1300" s="12">
        <f>IFERROR(__xludf.DUMMYFUNCTION("GOOGLEFINANCE(B1300,""marketcap"")/10000000"),694.863132)</f>
        <v>694.863132</v>
      </c>
      <c r="D1300" s="13">
        <f>IFERROR(__xludf.DUMMYFUNCTION("GOOGLEFINANCE(B1300,""price"")"),309.0)</f>
        <v>309</v>
      </c>
      <c r="E1300" s="14">
        <f>IFERROR(__xludf.DUMMYFUNCTION("GOOGLEFINANCE(B1300,""Volume"")"),8815.0)</f>
        <v>8815</v>
      </c>
      <c r="F1300" s="14">
        <f t="array" ref="F1300">F1299</f>
        <v>14</v>
      </c>
      <c r="G1300" s="15" t="str">
        <f>IFERROR(__xludf.DUMMYFUNCTION("IF(E1300&gt;AVERAGE(INDEX(GOOGLEFINANCE(B1300,""volume"",WORKDAY(TODAY(),-$F$1),TODAY()),,2)),""Breakout"","""")"),"")</f>
        <v/>
      </c>
      <c r="H1300" s="16">
        <f>IFERROR(__xludf.DUMMYFUNCTION("GOOGLEFINANCE(B1300,""price"")"),309.0)</f>
        <v>309</v>
      </c>
      <c r="I1300" s="17">
        <f>IFERROR(__xludf.DUMMYFUNCTION("AVERAGE(QUERY(SORT(GOOGLEFINANCE(B1300,""price"",TODAY()-365,TODAY()),1,0),""select Col2 limit 10""))"),320.455)</f>
        <v>320.455</v>
      </c>
      <c r="J1300" s="17">
        <f>IFERROR(__xludf.DUMMYFUNCTION("AVERAGE(QUERY(SORT(GOOGLEFINANCE(B1300,""price"",TODAY()-365,TODAY()),1,0),""select Col2 limit 30""))"),328.0516666666667)</f>
        <v>328.0516667</v>
      </c>
      <c r="K1300" s="18">
        <f>IFERROR(__xludf.DUMMYFUNCTION("AVERAGE(QUERY(SORT(GOOGLEFINANCE(B1300,""price"",TODAY()-365,TODAY()),1,0),""select Col2 limit 60""))"),324.85999999999996)</f>
        <v>324.86</v>
      </c>
      <c r="L1300" s="17">
        <f>IFERROR(__xludf.DUMMYFUNCTION("AVERAGE(QUERY(SORT(GOOGLEFINANCE(B1300,""price"",TODAY()-365,TODAY()),1,0),""select Col2 limit 90""))"),309.77166666666676)</f>
        <v>309.7716667</v>
      </c>
      <c r="M1300" s="17">
        <f>IFERROR(__xludf.DUMMYFUNCTION("AVERAGE(QUERY(SORT(GOOGLEFINANCE(B1300,""price"",TODAY()-365,TODAY()),1,0),""select Col2 limit 120""))"),298.67333333333323)</f>
        <v>298.6733333</v>
      </c>
      <c r="N1300" s="19">
        <f>IFERROR(__xludf.DUMMYFUNCTION("AVERAGE(QUERY(SORT(GOOGLEFINANCE(B1300,""price"",TODAY()-365,TODAY()),1,0),""select Col2 limit 200""))"),312.23799999999994)</f>
        <v>312.238</v>
      </c>
      <c r="O1300" s="20" t="str">
        <f t="shared" si="2"/>
        <v>Avoid</v>
      </c>
      <c r="P1300" s="21" t="str">
        <f t="shared" si="3"/>
        <v>90 DMA</v>
      </c>
      <c r="Q1300" s="21" t="str">
        <f t="shared" si="4"/>
        <v/>
      </c>
      <c r="R1300" s="22">
        <f>IFERROR(__xludf.DUMMYFUNCTION("GOOGLEFINANCE(B1300, ""pe"")
"),9.88)</f>
        <v>9.88</v>
      </c>
    </row>
    <row r="1301">
      <c r="A1301" s="9" t="s">
        <v>1311</v>
      </c>
      <c r="B1301" s="11" t="str">
        <f t="shared" si="1"/>
        <v>NSE:HEXATRADEX</v>
      </c>
      <c r="C1301" s="12">
        <f>IFERROR(__xludf.DUMMYFUNCTION("GOOGLEFINANCE(B1301,""marketcap"")/10000000"),1016.6126249)</f>
        <v>1016.612625</v>
      </c>
      <c r="D1301" s="13">
        <f>IFERROR(__xludf.DUMMYFUNCTION("GOOGLEFINANCE(B1301,""price"")"),184.02)</f>
        <v>184.02</v>
      </c>
      <c r="E1301" s="14">
        <f>IFERROR(__xludf.DUMMYFUNCTION("GOOGLEFINANCE(B1301,""Volume"")"),1027.0)</f>
        <v>1027</v>
      </c>
      <c r="F1301" s="14">
        <f t="array" ref="F1301">F1300</f>
        <v>14</v>
      </c>
      <c r="G1301" s="15" t="str">
        <f>IFERROR(__xludf.DUMMYFUNCTION("IF(E1301&gt;AVERAGE(INDEX(GOOGLEFINANCE(B1301,""volume"",WORKDAY(TODAY(),-$F$1),TODAY()),,2)),""Breakout"","""")"),"")</f>
        <v/>
      </c>
      <c r="H1301" s="16">
        <f>IFERROR(__xludf.DUMMYFUNCTION("GOOGLEFINANCE(B1301,""price"")"),184.02)</f>
        <v>184.02</v>
      </c>
      <c r="I1301" s="17">
        <f>IFERROR(__xludf.DUMMYFUNCTION("AVERAGE(QUERY(SORT(GOOGLEFINANCE(B1301,""price"",TODAY()-365,TODAY()),1,0),""select Col2 limit 10""))"),184.25899999999996)</f>
        <v>184.259</v>
      </c>
      <c r="J1301" s="17">
        <f>IFERROR(__xludf.DUMMYFUNCTION("AVERAGE(QUERY(SORT(GOOGLEFINANCE(B1301,""price"",TODAY()-365,TODAY()),1,0),""select Col2 limit 30""))"),184.05533333333332)</f>
        <v>184.0553333</v>
      </c>
      <c r="K1301" s="18">
        <f>IFERROR(__xludf.DUMMYFUNCTION("AVERAGE(QUERY(SORT(GOOGLEFINANCE(B1301,""price"",TODAY()-365,TODAY()),1,0),""select Col2 limit 60""))"),184.8645)</f>
        <v>184.8645</v>
      </c>
      <c r="L1301" s="17">
        <f>IFERROR(__xludf.DUMMYFUNCTION("AVERAGE(QUERY(SORT(GOOGLEFINANCE(B1301,""price"",TODAY()-365,TODAY()),1,0),""select Col2 limit 90""))"),188.46522222222222)</f>
        <v>188.4652222</v>
      </c>
      <c r="M1301" s="17">
        <f>IFERROR(__xludf.DUMMYFUNCTION("AVERAGE(QUERY(SORT(GOOGLEFINANCE(B1301,""price"",TODAY()-365,TODAY()),1,0),""select Col2 limit 120""))"),192.5934999999999)</f>
        <v>192.5935</v>
      </c>
      <c r="N1301" s="19">
        <f>IFERROR(__xludf.DUMMYFUNCTION("AVERAGE(QUERY(SORT(GOOGLEFINANCE(B1301,""price"",TODAY()-365,TODAY()),1,0),""select Col2 limit 200""))"),225.2675999999998)</f>
        <v>225.2676</v>
      </c>
      <c r="O1301" s="20" t="str">
        <f t="shared" si="2"/>
        <v>Avoid</v>
      </c>
      <c r="P1301" s="21" t="str">
        <f t="shared" si="3"/>
        <v>10 DMA</v>
      </c>
      <c r="Q1301" s="21" t="str">
        <f t="shared" si="4"/>
        <v>10 DMA cross best</v>
      </c>
      <c r="R1301" s="22" t="str">
        <f>IFERROR(__xludf.DUMMYFUNCTION("GOOGLEFINANCE(B1301, ""pe"")
"),"#N/A")</f>
        <v>#N/A</v>
      </c>
    </row>
    <row r="1302">
      <c r="A1302" s="9" t="s">
        <v>1312</v>
      </c>
      <c r="B1302" s="11" t="str">
        <f t="shared" si="1"/>
        <v>NSE:ZODIAC</v>
      </c>
      <c r="C1302" s="12">
        <f>IFERROR(__xludf.DUMMYFUNCTION("GOOGLEFINANCE(B1302,""marketcap"")/10000000"),673.00376)</f>
        <v>673.00376</v>
      </c>
      <c r="D1302" s="13">
        <f>IFERROR(__xludf.DUMMYFUNCTION("GOOGLEFINANCE(B1302,""price"")"),449.45)</f>
        <v>449.45</v>
      </c>
      <c r="E1302" s="14">
        <f>IFERROR(__xludf.DUMMYFUNCTION("GOOGLEFINANCE(B1302,""Volume"")"),5305.0)</f>
        <v>5305</v>
      </c>
      <c r="F1302" s="14">
        <f t="array" ref="F1302">F1301</f>
        <v>14</v>
      </c>
      <c r="G1302" s="15" t="str">
        <f>IFERROR(__xludf.DUMMYFUNCTION("IF(E1302&gt;AVERAGE(INDEX(GOOGLEFINANCE(B1302,""volume"",WORKDAY(TODAY(),-$F$1),TODAY()),,2)),""Breakout"","""")"),"")</f>
        <v/>
      </c>
      <c r="H1302" s="16">
        <f>IFERROR(__xludf.DUMMYFUNCTION("GOOGLEFINANCE(B1302,""price"")"),449.45)</f>
        <v>449.45</v>
      </c>
      <c r="I1302" s="17">
        <f>IFERROR(__xludf.DUMMYFUNCTION("AVERAGE(QUERY(SORT(GOOGLEFINANCE(B1302,""price"",TODAY()-365,TODAY()),1,0),""select Col2 limit 10""))"),467.83500000000004)</f>
        <v>467.835</v>
      </c>
      <c r="J1302" s="17">
        <f>IFERROR(__xludf.DUMMYFUNCTION("AVERAGE(QUERY(SORT(GOOGLEFINANCE(B1302,""price"",TODAY()-365,TODAY()),1,0),""select Col2 limit 30""))"),472.43833333333333)</f>
        <v>472.4383333</v>
      </c>
      <c r="K1302" s="18">
        <f>IFERROR(__xludf.DUMMYFUNCTION("AVERAGE(QUERY(SORT(GOOGLEFINANCE(B1302,""price"",TODAY()-365,TODAY()),1,0),""select Col2 limit 60""))"),464.09749999999997)</f>
        <v>464.0975</v>
      </c>
      <c r="L1302" s="17">
        <f>IFERROR(__xludf.DUMMYFUNCTION("AVERAGE(QUERY(SORT(GOOGLEFINANCE(B1302,""price"",TODAY()-365,TODAY()),1,0),""select Col2 limit 90""))"),442.38111111111107)</f>
        <v>442.3811111</v>
      </c>
      <c r="M1302" s="17">
        <f>IFERROR(__xludf.DUMMYFUNCTION("AVERAGE(QUERY(SORT(GOOGLEFINANCE(B1302,""price"",TODAY()-365,TODAY()),1,0),""select Col2 limit 120""))"),439.03833333333336)</f>
        <v>439.0383333</v>
      </c>
      <c r="N1302" s="19">
        <f>IFERROR(__xludf.DUMMYFUNCTION("AVERAGE(QUERY(SORT(GOOGLEFINANCE(B1302,""price"",TODAY()-365,TODAY()),1,0),""select Col2 limit 200""))"),472.21524999999997)</f>
        <v>472.21525</v>
      </c>
      <c r="O1302" s="20" t="str">
        <f t="shared" si="2"/>
        <v>Avoid</v>
      </c>
      <c r="P1302" s="21" t="str">
        <f t="shared" si="3"/>
        <v/>
      </c>
      <c r="Q1302" s="21" t="str">
        <f t="shared" si="4"/>
        <v/>
      </c>
      <c r="R1302" s="22">
        <f>IFERROR(__xludf.DUMMYFUNCTION("GOOGLEFINANCE(B1302, ""pe"")
"),33.53)</f>
        <v>33.53</v>
      </c>
    </row>
    <row r="1303">
      <c r="A1303" s="9" t="s">
        <v>1313</v>
      </c>
      <c r="B1303" s="11" t="str">
        <f t="shared" si="1"/>
        <v>NSE:SATINDLTD</v>
      </c>
      <c r="C1303" s="12" t="str">
        <f>IFERROR(__xludf.DUMMYFUNCTION("GOOGLEFINANCE(B1303,""marketcap"")/10000000"),"#N/A")</f>
        <v>#N/A</v>
      </c>
      <c r="D1303" s="13" t="str">
        <f>IFERROR(__xludf.DUMMYFUNCTION("GOOGLEFINANCE(B1303,""price"")"),"#N/A")</f>
        <v>#N/A</v>
      </c>
      <c r="E1303" s="14" t="str">
        <f>IFERROR(__xludf.DUMMYFUNCTION("GOOGLEFINANCE(B1303,""Volume"")"),"#N/A")</f>
        <v>#N/A</v>
      </c>
      <c r="F1303" s="14">
        <f t="array" ref="F1303">F1302</f>
        <v>14</v>
      </c>
      <c r="G1303" s="15" t="str">
        <f>IFERROR(__xludf.DUMMYFUNCTION("IF(E1303&gt;AVERAGE(INDEX(GOOGLEFINANCE(B1303,""volume"",WORKDAY(TODAY(),-$F$1),TODAY()),,2)),""Breakout"","""")"),"#N/A")</f>
        <v>#N/A</v>
      </c>
      <c r="H1303" s="16" t="str">
        <f>IFERROR(__xludf.DUMMYFUNCTION("GOOGLEFINANCE(B1303,""price"")"),"#N/A")</f>
        <v>#N/A</v>
      </c>
      <c r="I1303" s="17" t="str">
        <f>IFERROR(__xludf.DUMMYFUNCTION("AVERAGE(QUERY(SORT(GOOGLEFINANCE(B1303,""price"",TODAY()-365,TODAY()),1,0),""select Col2 limit 10""))"),"#N/A")</f>
        <v>#N/A</v>
      </c>
      <c r="J1303" s="17" t="str">
        <f>IFERROR(__xludf.DUMMYFUNCTION("AVERAGE(QUERY(SORT(GOOGLEFINANCE(B1303,""price"",TODAY()-365,TODAY()),1,0),""select Col2 limit 30""))"),"#N/A")</f>
        <v>#N/A</v>
      </c>
      <c r="K1303" s="18" t="str">
        <f>IFERROR(__xludf.DUMMYFUNCTION("AVERAGE(QUERY(SORT(GOOGLEFINANCE(B1303,""price"",TODAY()-365,TODAY()),1,0),""select Col2 limit 60""))"),"#N/A")</f>
        <v>#N/A</v>
      </c>
      <c r="L1303" s="17" t="str">
        <f>IFERROR(__xludf.DUMMYFUNCTION("AVERAGE(QUERY(SORT(GOOGLEFINANCE(B1303,""price"",TODAY()-365,TODAY()),1,0),""select Col2 limit 90""))"),"#N/A")</f>
        <v>#N/A</v>
      </c>
      <c r="M1303" s="17" t="str">
        <f>IFERROR(__xludf.DUMMYFUNCTION("AVERAGE(QUERY(SORT(GOOGLEFINANCE(B1303,""price"",TODAY()-365,TODAY()),1,0),""select Col2 limit 120""))"),"#N/A")</f>
        <v>#N/A</v>
      </c>
      <c r="N1303" s="19" t="str">
        <f>IFERROR(__xludf.DUMMYFUNCTION("AVERAGE(QUERY(SORT(GOOGLEFINANCE(B1303,""price"",TODAY()-365,TODAY()),1,0),""select Col2 limit 200""))"),"#N/A")</f>
        <v>#N/A</v>
      </c>
      <c r="O1303" s="20" t="str">
        <f t="shared" si="2"/>
        <v>#N/A</v>
      </c>
      <c r="P1303" s="21" t="str">
        <f t="shared" si="3"/>
        <v>#N/A</v>
      </c>
      <c r="Q1303" s="21" t="str">
        <f t="shared" si="4"/>
        <v>#N/A</v>
      </c>
      <c r="R1303" s="22" t="str">
        <f>IFERROR(__xludf.DUMMYFUNCTION("GOOGLEFINANCE(B1303, ""pe"")
"),"#N/A")</f>
        <v>#N/A</v>
      </c>
    </row>
    <row r="1304">
      <c r="A1304" s="9" t="s">
        <v>1314</v>
      </c>
      <c r="B1304" s="11" t="str">
        <f t="shared" si="1"/>
        <v>NSE:INDOAMIN</v>
      </c>
      <c r="C1304" s="12">
        <f>IFERROR(__xludf.DUMMYFUNCTION("GOOGLEFINANCE(B1304,""marketcap"")/10000000"),1064.9324349)</f>
        <v>1064.932435</v>
      </c>
      <c r="D1304" s="13">
        <f>IFERROR(__xludf.DUMMYFUNCTION("GOOGLEFINANCE(B1304,""price"")"),147.0)</f>
        <v>147</v>
      </c>
      <c r="E1304" s="14">
        <f>IFERROR(__xludf.DUMMYFUNCTION("GOOGLEFINANCE(B1304,""Volume"")"),73877.0)</f>
        <v>73877</v>
      </c>
      <c r="F1304" s="14">
        <f t="array" ref="F1304">F1303</f>
        <v>14</v>
      </c>
      <c r="G1304" s="15" t="str">
        <f>IFERROR(__xludf.DUMMYFUNCTION("IF(E1304&gt;AVERAGE(INDEX(GOOGLEFINANCE(B1304,""volume"",WORKDAY(TODAY(),-$F$1),TODAY()),,2)),""Breakout"","""")"),"")</f>
        <v/>
      </c>
      <c r="H1304" s="16">
        <f>IFERROR(__xludf.DUMMYFUNCTION("GOOGLEFINANCE(B1304,""price"")"),147.0)</f>
        <v>147</v>
      </c>
      <c r="I1304" s="17">
        <f>IFERROR(__xludf.DUMMYFUNCTION("AVERAGE(QUERY(SORT(GOOGLEFINANCE(B1304,""price"",TODAY()-365,TODAY()),1,0),""select Col2 limit 10""))"),158.657)</f>
        <v>158.657</v>
      </c>
      <c r="J1304" s="17">
        <f>IFERROR(__xludf.DUMMYFUNCTION("AVERAGE(QUERY(SORT(GOOGLEFINANCE(B1304,""price"",TODAY()-365,TODAY()),1,0),""select Col2 limit 30""))"),159.33900000000006)</f>
        <v>159.339</v>
      </c>
      <c r="K1304" s="18">
        <f>IFERROR(__xludf.DUMMYFUNCTION("AVERAGE(QUERY(SORT(GOOGLEFINANCE(B1304,""price"",TODAY()-365,TODAY()),1,0),""select Col2 limit 60""))"),150.9443333333334)</f>
        <v>150.9443333</v>
      </c>
      <c r="L1304" s="17">
        <f>IFERROR(__xludf.DUMMYFUNCTION("AVERAGE(QUERY(SORT(GOOGLEFINANCE(B1304,""price"",TODAY()-365,TODAY()),1,0),""select Col2 limit 90""))"),142.2731111111112)</f>
        <v>142.2731111</v>
      </c>
      <c r="M1304" s="17">
        <f>IFERROR(__xludf.DUMMYFUNCTION("AVERAGE(QUERY(SORT(GOOGLEFINANCE(B1304,""price"",TODAY()-365,TODAY()),1,0),""select Col2 limit 120""))"),139.19341666666676)</f>
        <v>139.1934167</v>
      </c>
      <c r="N1304" s="19">
        <f>IFERROR(__xludf.DUMMYFUNCTION("AVERAGE(QUERY(SORT(GOOGLEFINANCE(B1304,""price"",TODAY()-365,TODAY()),1,0),""select Col2 limit 200""))"),154.06380000000001)</f>
        <v>154.0638</v>
      </c>
      <c r="O1304" s="20" t="str">
        <f t="shared" si="2"/>
        <v>Avoid</v>
      </c>
      <c r="P1304" s="21" t="str">
        <f t="shared" si="3"/>
        <v/>
      </c>
      <c r="Q1304" s="21" t="str">
        <f t="shared" si="4"/>
        <v/>
      </c>
      <c r="R1304" s="22">
        <f>IFERROR(__xludf.DUMMYFUNCTION("GOOGLEFINANCE(B1304, ""pe"")
"),19.1)</f>
        <v>19.1</v>
      </c>
    </row>
    <row r="1305">
      <c r="A1305" s="9" t="s">
        <v>1315</v>
      </c>
      <c r="B1305" s="11" t="str">
        <f t="shared" si="1"/>
        <v>NSE:SRHHYPOLTD</v>
      </c>
      <c r="C1305" s="12">
        <f>IFERROR(__xludf.DUMMYFUNCTION("GOOGLEFINANCE(B1305,""marketcap"")/10000000"),1074.6893382)</f>
        <v>1074.689338</v>
      </c>
      <c r="D1305" s="13">
        <f>IFERROR(__xludf.DUMMYFUNCTION("GOOGLEFINANCE(B1305,""price"")"),626.1)</f>
        <v>626.1</v>
      </c>
      <c r="E1305" s="14">
        <f>IFERROR(__xludf.DUMMYFUNCTION("GOOGLEFINANCE(B1305,""Volume"")"),15812.0)</f>
        <v>15812</v>
      </c>
      <c r="F1305" s="14">
        <f t="array" ref="F1305">F1304</f>
        <v>14</v>
      </c>
      <c r="G1305" s="15" t="str">
        <f>IFERROR(__xludf.DUMMYFUNCTION("IF(E1305&gt;AVERAGE(INDEX(GOOGLEFINANCE(B1305,""volume"",WORKDAY(TODAY(),-$F$1),TODAY()),,2)),""Breakout"","""")"),"")</f>
        <v/>
      </c>
      <c r="H1305" s="16">
        <f>IFERROR(__xludf.DUMMYFUNCTION("GOOGLEFINANCE(B1305,""price"")"),626.1)</f>
        <v>626.1</v>
      </c>
      <c r="I1305" s="17">
        <f>IFERROR(__xludf.DUMMYFUNCTION("AVERAGE(QUERY(SORT(GOOGLEFINANCE(B1305,""price"",TODAY()-365,TODAY()),1,0),""select Col2 limit 10""))"),674.6899999999999)</f>
        <v>674.69</v>
      </c>
      <c r="J1305" s="17">
        <f>IFERROR(__xludf.DUMMYFUNCTION("AVERAGE(QUERY(SORT(GOOGLEFINANCE(B1305,""price"",TODAY()-365,TODAY()),1,0),""select Col2 limit 30""))"),652.2233333333334)</f>
        <v>652.2233333</v>
      </c>
      <c r="K1305" s="18">
        <f>IFERROR(__xludf.DUMMYFUNCTION("AVERAGE(QUERY(SORT(GOOGLEFINANCE(B1305,""price"",TODAY()-365,TODAY()),1,0),""select Col2 limit 60""))"),607.6408333333333)</f>
        <v>607.6408333</v>
      </c>
      <c r="L1305" s="17">
        <f>IFERROR(__xludf.DUMMYFUNCTION("AVERAGE(QUERY(SORT(GOOGLEFINANCE(B1305,""price"",TODAY()-365,TODAY()),1,0),""select Col2 limit 90""))"),576.7555555555555)</f>
        <v>576.7555556</v>
      </c>
      <c r="M1305" s="17">
        <f>IFERROR(__xludf.DUMMYFUNCTION("AVERAGE(QUERY(SORT(GOOGLEFINANCE(B1305,""price"",TODAY()-365,TODAY()),1,0),""select Col2 limit 120""))"),578.1062499999997)</f>
        <v>578.10625</v>
      </c>
      <c r="N1305" s="19">
        <f>IFERROR(__xludf.DUMMYFUNCTION("AVERAGE(QUERY(SORT(GOOGLEFINANCE(B1305,""price"",TODAY()-365,TODAY()),1,0),""select Col2 limit 200""))"),644.1905)</f>
        <v>644.1905</v>
      </c>
      <c r="O1305" s="20" t="str">
        <f t="shared" si="2"/>
        <v>Avoid</v>
      </c>
      <c r="P1305" s="21" t="str">
        <f t="shared" si="3"/>
        <v/>
      </c>
      <c r="Q1305" s="21" t="str">
        <f t="shared" si="4"/>
        <v/>
      </c>
      <c r="R1305" s="22">
        <f>IFERROR(__xludf.DUMMYFUNCTION("GOOGLEFINANCE(B1305, ""pe"")
"),12.29)</f>
        <v>12.29</v>
      </c>
    </row>
    <row r="1306">
      <c r="A1306" s="9" t="s">
        <v>1316</v>
      </c>
      <c r="B1306" s="11" t="str">
        <f t="shared" si="1"/>
        <v>NSE:CHEMFAB</v>
      </c>
      <c r="C1306" s="12">
        <f>IFERROR(__xludf.DUMMYFUNCTION("GOOGLEFINANCE(B1306,""marketcap"")/10000000"),1089.1985951)</f>
        <v>1089.198595</v>
      </c>
      <c r="D1306" s="13">
        <f>IFERROR(__xludf.DUMMYFUNCTION("GOOGLEFINANCE(B1306,""price"")"),758.3)</f>
        <v>758.3</v>
      </c>
      <c r="E1306" s="14">
        <f>IFERROR(__xludf.DUMMYFUNCTION("GOOGLEFINANCE(B1306,""Volume"")"),1441.0)</f>
        <v>1441</v>
      </c>
      <c r="F1306" s="14">
        <f t="array" ref="F1306">F1305</f>
        <v>14</v>
      </c>
      <c r="G1306" s="15" t="str">
        <f>IFERROR(__xludf.DUMMYFUNCTION("IF(E1306&gt;AVERAGE(INDEX(GOOGLEFINANCE(B1306,""volume"",WORKDAY(TODAY(),-$F$1),TODAY()),,2)),""Breakout"","""")"),"")</f>
        <v/>
      </c>
      <c r="H1306" s="16">
        <f>IFERROR(__xludf.DUMMYFUNCTION("GOOGLEFINANCE(B1306,""price"")"),758.3)</f>
        <v>758.3</v>
      </c>
      <c r="I1306" s="17">
        <f>IFERROR(__xludf.DUMMYFUNCTION("AVERAGE(QUERY(SORT(GOOGLEFINANCE(B1306,""price"",TODAY()-365,TODAY()),1,0),""select Col2 limit 10""))"),756.7399999999999)</f>
        <v>756.74</v>
      </c>
      <c r="J1306" s="17">
        <f>IFERROR(__xludf.DUMMYFUNCTION("AVERAGE(QUERY(SORT(GOOGLEFINANCE(B1306,""price"",TODAY()-365,TODAY()),1,0),""select Col2 limit 30""))"),763.7099999999998)</f>
        <v>763.71</v>
      </c>
      <c r="K1306" s="18">
        <f>IFERROR(__xludf.DUMMYFUNCTION("AVERAGE(QUERY(SORT(GOOGLEFINANCE(B1306,""price"",TODAY()-365,TODAY()),1,0),""select Col2 limit 60""))"),784.7616666666667)</f>
        <v>784.7616667</v>
      </c>
      <c r="L1306" s="17">
        <f>IFERROR(__xludf.DUMMYFUNCTION("AVERAGE(QUERY(SORT(GOOGLEFINANCE(B1306,""price"",TODAY()-365,TODAY()),1,0),""select Col2 limit 90""))"),784.2105555555554)</f>
        <v>784.2105556</v>
      </c>
      <c r="M1306" s="17">
        <f>IFERROR(__xludf.DUMMYFUNCTION("AVERAGE(QUERY(SORT(GOOGLEFINANCE(B1306,""price"",TODAY()-365,TODAY()),1,0),""select Col2 limit 120""))"),803.6600000000001)</f>
        <v>803.66</v>
      </c>
      <c r="N1306" s="19">
        <f>IFERROR(__xludf.DUMMYFUNCTION("AVERAGE(QUERY(SORT(GOOGLEFINANCE(B1306,""price"",TODAY()-365,TODAY()),1,0),""select Col2 limit 200""))"),893.5304999999996)</f>
        <v>893.5305</v>
      </c>
      <c r="O1306" s="20" t="str">
        <f t="shared" si="2"/>
        <v>Avoid</v>
      </c>
      <c r="P1306" s="21" t="str">
        <f t="shared" si="3"/>
        <v>30 DMA</v>
      </c>
      <c r="Q1306" s="21" t="str">
        <f t="shared" si="4"/>
        <v>30 DMA cross best</v>
      </c>
      <c r="R1306" s="22" t="str">
        <f>IFERROR(__xludf.DUMMYFUNCTION("GOOGLEFINANCE(B1306, ""pe"")
"),"#N/A")</f>
        <v>#N/A</v>
      </c>
    </row>
    <row r="1307">
      <c r="A1307" s="9" t="s">
        <v>1317</v>
      </c>
      <c r="B1307" s="11" t="str">
        <f t="shared" si="1"/>
        <v>NSE:NCLIND</v>
      </c>
      <c r="C1307" s="12">
        <f>IFERROR(__xludf.DUMMYFUNCTION("GOOGLEFINANCE(B1307,""marketcap"")/10000000"),1003.2182408)</f>
        <v>1003.218241</v>
      </c>
      <c r="D1307" s="13">
        <f>IFERROR(__xludf.DUMMYFUNCTION("GOOGLEFINANCE(B1307,""price"")"),221.67)</f>
        <v>221.67</v>
      </c>
      <c r="E1307" s="14">
        <f>IFERROR(__xludf.DUMMYFUNCTION("GOOGLEFINANCE(B1307,""Volume"")"),35991.0)</f>
        <v>35991</v>
      </c>
      <c r="F1307" s="14">
        <f t="array" ref="F1307">F1306</f>
        <v>14</v>
      </c>
      <c r="G1307" s="15" t="str">
        <f>IFERROR(__xludf.DUMMYFUNCTION("IF(E1307&gt;AVERAGE(INDEX(GOOGLEFINANCE(B1307,""volume"",WORKDAY(TODAY(),-$F$1),TODAY()),,2)),""Breakout"","""")"),"")</f>
        <v/>
      </c>
      <c r="H1307" s="16">
        <f>IFERROR(__xludf.DUMMYFUNCTION("GOOGLEFINANCE(B1307,""price"")"),221.67)</f>
        <v>221.67</v>
      </c>
      <c r="I1307" s="17">
        <f>IFERROR(__xludf.DUMMYFUNCTION("AVERAGE(QUERY(SORT(GOOGLEFINANCE(B1307,""price"",TODAY()-365,TODAY()),1,0),""select Col2 limit 10""))"),227.17299999999994)</f>
        <v>227.173</v>
      </c>
      <c r="J1307" s="17">
        <f>IFERROR(__xludf.DUMMYFUNCTION("AVERAGE(QUERY(SORT(GOOGLEFINANCE(B1307,""price"",TODAY()-365,TODAY()),1,0),""select Col2 limit 30""))"),224.90766666666664)</f>
        <v>224.9076667</v>
      </c>
      <c r="K1307" s="18">
        <f>IFERROR(__xludf.DUMMYFUNCTION("AVERAGE(QUERY(SORT(GOOGLEFINANCE(B1307,""price"",TODAY()-365,TODAY()),1,0),""select Col2 limit 60""))"),220.80166666666668)</f>
        <v>220.8016667</v>
      </c>
      <c r="L1307" s="17">
        <f>IFERROR(__xludf.DUMMYFUNCTION("AVERAGE(QUERY(SORT(GOOGLEFINANCE(B1307,""price"",TODAY()-365,TODAY()),1,0),""select Col2 limit 90""))"),213.05688888888895)</f>
        <v>213.0568889</v>
      </c>
      <c r="M1307" s="17">
        <f>IFERROR(__xludf.DUMMYFUNCTION("AVERAGE(QUERY(SORT(GOOGLEFINANCE(B1307,""price"",TODAY()-365,TODAY()),1,0),""select Col2 limit 120""))"),209.18558333333343)</f>
        <v>209.1855833</v>
      </c>
      <c r="N1307" s="19">
        <f>IFERROR(__xludf.DUMMYFUNCTION("AVERAGE(QUERY(SORT(GOOGLEFINANCE(B1307,""price"",TODAY()-365,TODAY()),1,0),""select Col2 limit 200""))"),209.73489999999998)</f>
        <v>209.7349</v>
      </c>
      <c r="O1307" s="20" t="str">
        <f t="shared" si="2"/>
        <v>Avoid</v>
      </c>
      <c r="P1307" s="21" t="str">
        <f t="shared" si="3"/>
        <v/>
      </c>
      <c r="Q1307" s="21" t="str">
        <f t="shared" si="4"/>
        <v/>
      </c>
      <c r="R1307" s="22">
        <f>IFERROR(__xludf.DUMMYFUNCTION("GOOGLEFINANCE(B1307, ""pe"")
"),40.18)</f>
        <v>40.18</v>
      </c>
    </row>
    <row r="1308">
      <c r="A1308" s="9" t="s">
        <v>1318</v>
      </c>
      <c r="B1308" s="11" t="str">
        <f t="shared" si="1"/>
        <v>NSE:WSI</v>
      </c>
      <c r="C1308" s="12">
        <f>IFERROR(__xludf.DUMMYFUNCTION("GOOGLEFINANCE(B1308,""marketcap"")/10000000"),562.0225469)</f>
        <v>562.0225469</v>
      </c>
      <c r="D1308" s="13">
        <f>IFERROR(__xludf.DUMMYFUNCTION("GOOGLEFINANCE(B1308,""price"")"),88.67)</f>
        <v>88.67</v>
      </c>
      <c r="E1308" s="14">
        <f>IFERROR(__xludf.DUMMYFUNCTION("GOOGLEFINANCE(B1308,""Volume"")"),19127.0)</f>
        <v>19127</v>
      </c>
      <c r="F1308" s="14">
        <f t="array" ref="F1308">F1307</f>
        <v>14</v>
      </c>
      <c r="G1308" s="15" t="str">
        <f>IFERROR(__xludf.DUMMYFUNCTION("IF(E1308&gt;AVERAGE(INDEX(GOOGLEFINANCE(B1308,""volume"",WORKDAY(TODAY(),-$F$1),TODAY()),,2)),""Breakout"","""")"),"")</f>
        <v/>
      </c>
      <c r="H1308" s="16">
        <f>IFERROR(__xludf.DUMMYFUNCTION("GOOGLEFINANCE(B1308,""price"")"),88.67)</f>
        <v>88.67</v>
      </c>
      <c r="I1308" s="17">
        <f>IFERROR(__xludf.DUMMYFUNCTION("AVERAGE(QUERY(SORT(GOOGLEFINANCE(B1308,""price"",TODAY()-365,TODAY()),1,0),""select Col2 limit 10""))"),90.965)</f>
        <v>90.965</v>
      </c>
      <c r="J1308" s="17">
        <f>IFERROR(__xludf.DUMMYFUNCTION("AVERAGE(QUERY(SORT(GOOGLEFINANCE(B1308,""price"",TODAY()-365,TODAY()),1,0),""select Col2 limit 30""))"),90.35333333333337)</f>
        <v>90.35333333</v>
      </c>
      <c r="K1308" s="18">
        <f>IFERROR(__xludf.DUMMYFUNCTION("AVERAGE(QUERY(SORT(GOOGLEFINANCE(B1308,""price"",TODAY()-365,TODAY()),1,0),""select Col2 limit 60""))"),81.43883333333338)</f>
        <v>81.43883333</v>
      </c>
      <c r="L1308" s="17">
        <f>IFERROR(__xludf.DUMMYFUNCTION("AVERAGE(QUERY(SORT(GOOGLEFINANCE(B1308,""price"",TODAY()-365,TODAY()),1,0),""select Col2 limit 90""))"),78.11200000000002)</f>
        <v>78.112</v>
      </c>
      <c r="M1308" s="17">
        <f>IFERROR(__xludf.DUMMYFUNCTION("AVERAGE(QUERY(SORT(GOOGLEFINANCE(B1308,""price"",TODAY()-365,TODAY()),1,0),""select Col2 limit 120""))"),79.9201666666667)</f>
        <v>79.92016667</v>
      </c>
      <c r="N1308" s="19">
        <f>IFERROR(__xludf.DUMMYFUNCTION("AVERAGE(QUERY(SORT(GOOGLEFINANCE(B1308,""price"",TODAY()-365,TODAY()),1,0),""select Col2 limit 200""))"),96.89595000000004)</f>
        <v>96.89595</v>
      </c>
      <c r="O1308" s="20" t="str">
        <f t="shared" si="2"/>
        <v>Avoid</v>
      </c>
      <c r="P1308" s="21" t="str">
        <f t="shared" si="3"/>
        <v/>
      </c>
      <c r="Q1308" s="21" t="str">
        <f t="shared" si="4"/>
        <v/>
      </c>
      <c r="R1308" s="22" t="str">
        <f>IFERROR(__xludf.DUMMYFUNCTION("GOOGLEFINANCE(B1308, ""pe"")
"),"#N/A")</f>
        <v>#N/A</v>
      </c>
    </row>
    <row r="1309">
      <c r="A1309" s="9" t="s">
        <v>1319</v>
      </c>
      <c r="B1309" s="11" t="str">
        <f t="shared" si="1"/>
        <v>NSE:SHIVALIK</v>
      </c>
      <c r="C1309" s="12">
        <f>IFERROR(__xludf.DUMMYFUNCTION("GOOGLEFINANCE(B1309,""marketcap"")/10000000"),852.2519411)</f>
        <v>852.2519411</v>
      </c>
      <c r="D1309" s="13">
        <f>IFERROR(__xludf.DUMMYFUNCTION("GOOGLEFINANCE(B1309,""price"")"),541.1)</f>
        <v>541.1</v>
      </c>
      <c r="E1309" s="14">
        <f>IFERROR(__xludf.DUMMYFUNCTION("GOOGLEFINANCE(B1309,""Volume"")"),16134.0)</f>
        <v>16134</v>
      </c>
      <c r="F1309" s="14">
        <f t="array" ref="F1309">F1308</f>
        <v>14</v>
      </c>
      <c r="G1309" s="15" t="str">
        <f>IFERROR(__xludf.DUMMYFUNCTION("IF(E1309&gt;AVERAGE(INDEX(GOOGLEFINANCE(B1309,""volume"",WORKDAY(TODAY(),-$F$1),TODAY()),,2)),""Breakout"","""")"),"")</f>
        <v/>
      </c>
      <c r="H1309" s="16">
        <f>IFERROR(__xludf.DUMMYFUNCTION("GOOGLEFINANCE(B1309,""price"")"),541.1)</f>
        <v>541.1</v>
      </c>
      <c r="I1309" s="17">
        <f>IFERROR(__xludf.DUMMYFUNCTION("AVERAGE(QUERY(SORT(GOOGLEFINANCE(B1309,""price"",TODAY()-365,TODAY()),1,0),""select Col2 limit 10""))"),562.5899999999999)</f>
        <v>562.59</v>
      </c>
      <c r="J1309" s="17">
        <f>IFERROR(__xludf.DUMMYFUNCTION("AVERAGE(QUERY(SORT(GOOGLEFINANCE(B1309,""price"",TODAY()-365,TODAY()),1,0),""select Col2 limit 30""))"),543.2599999999999)</f>
        <v>543.26</v>
      </c>
      <c r="K1309" s="18">
        <f>IFERROR(__xludf.DUMMYFUNCTION("AVERAGE(QUERY(SORT(GOOGLEFINANCE(B1309,""price"",TODAY()-365,TODAY()),1,0),""select Col2 limit 60""))"),557.7758333333334)</f>
        <v>557.7758333</v>
      </c>
      <c r="L1309" s="17">
        <f>IFERROR(__xludf.DUMMYFUNCTION("AVERAGE(QUERY(SORT(GOOGLEFINANCE(B1309,""price"",TODAY()-365,TODAY()),1,0),""select Col2 limit 90""))"),575.9688888888887)</f>
        <v>575.9688889</v>
      </c>
      <c r="M1309" s="17">
        <f>IFERROR(__xludf.DUMMYFUNCTION("AVERAGE(QUERY(SORT(GOOGLEFINANCE(B1309,""price"",TODAY()-365,TODAY()),1,0),""select Col2 limit 120""))"),607.7504166666666)</f>
        <v>607.7504167</v>
      </c>
      <c r="N1309" s="19">
        <f>IFERROR(__xludf.DUMMYFUNCTION("AVERAGE(QUERY(SORT(GOOGLEFINANCE(B1309,""price"",TODAY()-365,TODAY()),1,0),""select Col2 limit 200""))"),630.4165000000003)</f>
        <v>630.4165</v>
      </c>
      <c r="O1309" s="20" t="str">
        <f t="shared" si="2"/>
        <v>Avoid</v>
      </c>
      <c r="P1309" s="21" t="str">
        <f t="shared" si="3"/>
        <v>30 DMA</v>
      </c>
      <c r="Q1309" s="21" t="str">
        <f t="shared" si="4"/>
        <v/>
      </c>
      <c r="R1309" s="22">
        <f>IFERROR(__xludf.DUMMYFUNCTION("GOOGLEFINANCE(B1309, ""pe"")
"),51.05)</f>
        <v>51.05</v>
      </c>
    </row>
    <row r="1310">
      <c r="A1310" s="9" t="s">
        <v>1320</v>
      </c>
      <c r="B1310" s="11" t="str">
        <f t="shared" si="1"/>
        <v>NSE:VIKASLIFE</v>
      </c>
      <c r="C1310" s="12">
        <f>IFERROR(__xludf.DUMMYFUNCTION("GOOGLEFINANCE(B1310,""marketcap"")/10000000"),447.7133241)</f>
        <v>447.7133241</v>
      </c>
      <c r="D1310" s="13">
        <f>IFERROR(__xludf.DUMMYFUNCTION("GOOGLEFINANCE(B1310,""price"")"),2.42)</f>
        <v>2.42</v>
      </c>
      <c r="E1310" s="14">
        <f>IFERROR(__xludf.DUMMYFUNCTION("GOOGLEFINANCE(B1310,""Volume"")"),1650660.0)</f>
        <v>1650660</v>
      </c>
      <c r="F1310" s="14">
        <f t="array" ref="F1310">F1309</f>
        <v>14</v>
      </c>
      <c r="G1310" s="15" t="str">
        <f>IFERROR(__xludf.DUMMYFUNCTION("IF(E1310&gt;AVERAGE(INDEX(GOOGLEFINANCE(B1310,""volume"",WORKDAY(TODAY(),-$F$1),TODAY()),,2)),""Breakout"","""")"),"#N/A")</f>
        <v>#N/A</v>
      </c>
      <c r="H1310" s="16">
        <f>IFERROR(__xludf.DUMMYFUNCTION("GOOGLEFINANCE(B1310,""price"")"),2.42)</f>
        <v>2.42</v>
      </c>
      <c r="I1310" s="17">
        <f>IFERROR(__xludf.DUMMYFUNCTION("AVERAGE(QUERY(SORT(GOOGLEFINANCE(B1310,""price"",TODAY()-365,TODAY()),1,0),""select Col2 limit 10""))"),2.519)</f>
        <v>2.519</v>
      </c>
      <c r="J1310" s="17">
        <f>IFERROR(__xludf.DUMMYFUNCTION("AVERAGE(QUERY(SORT(GOOGLEFINANCE(B1310,""price"",TODAY()-365,TODAY()),1,0),""select Col2 limit 30""))"),2.5493333333333323)</f>
        <v>2.549333333</v>
      </c>
      <c r="K1310" s="18">
        <f>IFERROR(__xludf.DUMMYFUNCTION("AVERAGE(QUERY(SORT(GOOGLEFINANCE(B1310,""price"",TODAY()-365,TODAY()),1,0),""select Col2 limit 60""))"),2.5896666666666657)</f>
        <v>2.589666667</v>
      </c>
      <c r="L1310" s="17">
        <f>IFERROR(__xludf.DUMMYFUNCTION("AVERAGE(QUERY(SORT(GOOGLEFINANCE(B1310,""price"",TODAY()-365,TODAY()),1,0),""select Col2 limit 90""))"),2.6412222222222224)</f>
        <v>2.641222222</v>
      </c>
      <c r="M1310" s="17">
        <f>IFERROR(__xludf.DUMMYFUNCTION("AVERAGE(QUERY(SORT(GOOGLEFINANCE(B1310,""price"",TODAY()-365,TODAY()),1,0),""select Col2 limit 120""))"),2.8015833333333338)</f>
        <v>2.801583333</v>
      </c>
      <c r="N1310" s="19">
        <f>IFERROR(__xludf.DUMMYFUNCTION("AVERAGE(QUERY(SORT(GOOGLEFINANCE(B1310,""price"",TODAY()-365,TODAY()),1,0),""select Col2 limit 200""))"),3.4173499999999986)</f>
        <v>3.41735</v>
      </c>
      <c r="O1310" s="20" t="str">
        <f t="shared" si="2"/>
        <v>Avoid</v>
      </c>
      <c r="P1310" s="21" t="str">
        <f t="shared" si="3"/>
        <v/>
      </c>
      <c r="Q1310" s="21" t="str">
        <f t="shared" si="4"/>
        <v/>
      </c>
      <c r="R1310" s="22" t="str">
        <f>IFERROR(__xludf.DUMMYFUNCTION("GOOGLEFINANCE(B1310, ""pe"")
"),"#N/A")</f>
        <v>#N/A</v>
      </c>
    </row>
    <row r="1311">
      <c r="A1311" s="9" t="s">
        <v>1321</v>
      </c>
      <c r="B1311" s="11" t="str">
        <f t="shared" si="1"/>
        <v>NSE:RSWM</v>
      </c>
      <c r="C1311" s="12">
        <f>IFERROR(__xludf.DUMMYFUNCTION("GOOGLEFINANCE(B1311,""marketcap"")/10000000"),764.6958035)</f>
        <v>764.6958035</v>
      </c>
      <c r="D1311" s="13">
        <f>IFERROR(__xludf.DUMMYFUNCTION("GOOGLEFINANCE(B1311,""price"")"),162.32)</f>
        <v>162.32</v>
      </c>
      <c r="E1311" s="14">
        <f>IFERROR(__xludf.DUMMYFUNCTION("GOOGLEFINANCE(B1311,""Volume"")"),6462.0)</f>
        <v>6462</v>
      </c>
      <c r="F1311" s="14">
        <f t="array" ref="F1311">F1310</f>
        <v>14</v>
      </c>
      <c r="G1311" s="15" t="str">
        <f>IFERROR(__xludf.DUMMYFUNCTION("IF(E1311&gt;AVERAGE(INDEX(GOOGLEFINANCE(B1311,""volume"",WORKDAY(TODAY(),-$F$1),TODAY()),,2)),""Breakout"","""")"),"")</f>
        <v/>
      </c>
      <c r="H1311" s="16">
        <f>IFERROR(__xludf.DUMMYFUNCTION("GOOGLEFINANCE(B1311,""price"")"),162.32)</f>
        <v>162.32</v>
      </c>
      <c r="I1311" s="17">
        <f>IFERROR(__xludf.DUMMYFUNCTION("AVERAGE(QUERY(SORT(GOOGLEFINANCE(B1311,""price"",TODAY()-365,TODAY()),1,0),""select Col2 limit 10""))"),165.31199999999998)</f>
        <v>165.312</v>
      </c>
      <c r="J1311" s="17">
        <f>IFERROR(__xludf.DUMMYFUNCTION("AVERAGE(QUERY(SORT(GOOGLEFINANCE(B1311,""price"",TODAY()-365,TODAY()),1,0),""select Col2 limit 30""))"),170.405)</f>
        <v>170.405</v>
      </c>
      <c r="K1311" s="18">
        <f>IFERROR(__xludf.DUMMYFUNCTION("AVERAGE(QUERY(SORT(GOOGLEFINANCE(B1311,""price"",TODAY()-365,TODAY()),1,0),""select Col2 limit 60""))"),168.58116666666663)</f>
        <v>168.5811667</v>
      </c>
      <c r="L1311" s="17">
        <f>IFERROR(__xludf.DUMMYFUNCTION("AVERAGE(QUERY(SORT(GOOGLEFINANCE(B1311,""price"",TODAY()-365,TODAY()),1,0),""select Col2 limit 90""))"),160.07155555555553)</f>
        <v>160.0715556</v>
      </c>
      <c r="M1311" s="17">
        <f>IFERROR(__xludf.DUMMYFUNCTION("AVERAGE(QUERY(SORT(GOOGLEFINANCE(B1311,""price"",TODAY()-365,TODAY()),1,0),""select Col2 limit 120""))"),156.8746666666666)</f>
        <v>156.8746667</v>
      </c>
      <c r="N1311" s="19">
        <f>IFERROR(__xludf.DUMMYFUNCTION("AVERAGE(QUERY(SORT(GOOGLEFINANCE(B1311,""price"",TODAY()-365,TODAY()),1,0),""select Col2 limit 200""))"),170.3547)</f>
        <v>170.3547</v>
      </c>
      <c r="O1311" s="20" t="str">
        <f t="shared" si="2"/>
        <v>Avoid</v>
      </c>
      <c r="P1311" s="21" t="str">
        <f t="shared" si="3"/>
        <v/>
      </c>
      <c r="Q1311" s="21" t="str">
        <f t="shared" si="4"/>
        <v/>
      </c>
      <c r="R1311" s="22" t="str">
        <f>IFERROR(__xludf.DUMMYFUNCTION("GOOGLEFINANCE(B1311, ""pe"")
"),"#N/A")</f>
        <v>#N/A</v>
      </c>
    </row>
    <row r="1312">
      <c r="A1312" s="9" t="s">
        <v>1322</v>
      </c>
      <c r="B1312" s="11" t="str">
        <f t="shared" si="1"/>
        <v>NSE:AGSTRA</v>
      </c>
      <c r="C1312" s="12">
        <f>IFERROR(__xludf.DUMMYFUNCTION("GOOGLEFINANCE(B1312,""marketcap"")/10000000"),62.823568)</f>
        <v>62.823568</v>
      </c>
      <c r="D1312" s="13">
        <f>IFERROR(__xludf.DUMMYFUNCTION("GOOGLEFINANCE(B1312,""price"")"),4.95)</f>
        <v>4.95</v>
      </c>
      <c r="E1312" s="14">
        <f>IFERROR(__xludf.DUMMYFUNCTION("GOOGLEFINANCE(B1312,""Volume"")"),148124.0)</f>
        <v>148124</v>
      </c>
      <c r="F1312" s="14">
        <f t="array" ref="F1312">F1311</f>
        <v>14</v>
      </c>
      <c r="G1312" s="15" t="str">
        <f>IFERROR(__xludf.DUMMYFUNCTION("IF(E1312&gt;AVERAGE(INDEX(GOOGLEFINANCE(B1312,""volume"",WORKDAY(TODAY(),-$F$1),TODAY()),,2)),""Breakout"","""")"),"")</f>
        <v/>
      </c>
      <c r="H1312" s="16">
        <f>IFERROR(__xludf.DUMMYFUNCTION("GOOGLEFINANCE(B1312,""price"")"),4.95)</f>
        <v>4.95</v>
      </c>
      <c r="I1312" s="17">
        <f>IFERROR(__xludf.DUMMYFUNCTION("AVERAGE(QUERY(SORT(GOOGLEFINANCE(B1312,""price"",TODAY()-365,TODAY()),1,0),""select Col2 limit 10""))"),5.415000000000001)</f>
        <v>5.415</v>
      </c>
      <c r="J1312" s="17">
        <f>IFERROR(__xludf.DUMMYFUNCTION("AVERAGE(QUERY(SORT(GOOGLEFINANCE(B1312,""price"",TODAY()-365,TODAY()),1,0),""select Col2 limit 30""))"),5.163666666666667)</f>
        <v>5.163666667</v>
      </c>
      <c r="K1312" s="18">
        <f>IFERROR(__xludf.DUMMYFUNCTION("AVERAGE(QUERY(SORT(GOOGLEFINANCE(B1312,""price"",TODAY()-365,TODAY()),1,0),""select Col2 limit 60""))"),5.038333333333335)</f>
        <v>5.038333333</v>
      </c>
      <c r="L1312" s="17">
        <f>IFERROR(__xludf.DUMMYFUNCTION("AVERAGE(QUERY(SORT(GOOGLEFINANCE(B1312,""price"",TODAY()-365,TODAY()),1,0),""select Col2 limit 90""))"),5.951666666666665)</f>
        <v>5.951666667</v>
      </c>
      <c r="M1312" s="17">
        <f>IFERROR(__xludf.DUMMYFUNCTION("AVERAGE(QUERY(SORT(GOOGLEFINANCE(B1312,""price"",TODAY()-365,TODAY()),1,0),""select Col2 limit 120""))"),11.737833333333331)</f>
        <v>11.73783333</v>
      </c>
      <c r="N1312" s="19">
        <f>IFERROR(__xludf.DUMMYFUNCTION("AVERAGE(QUERY(SORT(GOOGLEFINANCE(B1312,""price"",TODAY()-365,TODAY()),1,0),""select Col2 limit 200""))"),38.2261)</f>
        <v>38.2261</v>
      </c>
      <c r="O1312" s="20" t="str">
        <f t="shared" si="2"/>
        <v>Avoid</v>
      </c>
      <c r="P1312" s="21" t="str">
        <f t="shared" si="3"/>
        <v/>
      </c>
      <c r="Q1312" s="21" t="str">
        <f t="shared" si="4"/>
        <v/>
      </c>
      <c r="R1312" s="22" t="str">
        <f>IFERROR(__xludf.DUMMYFUNCTION("GOOGLEFINANCE(B1312, ""pe"")
"),"#N/A")</f>
        <v>#N/A</v>
      </c>
    </row>
    <row r="1313">
      <c r="A1313" s="9" t="s">
        <v>1323</v>
      </c>
      <c r="B1313" s="11" t="str">
        <f t="shared" si="1"/>
        <v>NSE:GANDHITUBE</v>
      </c>
      <c r="C1313" s="12">
        <f>IFERROR(__xludf.DUMMYFUNCTION("GOOGLEFINANCE(B1313,""marketcap"")/10000000"),917.049955)</f>
        <v>917.049955</v>
      </c>
      <c r="D1313" s="13">
        <f>IFERROR(__xludf.DUMMYFUNCTION("GOOGLEFINANCE(B1313,""price"")"),754.9)</f>
        <v>754.9</v>
      </c>
      <c r="E1313" s="14">
        <f>IFERROR(__xludf.DUMMYFUNCTION("GOOGLEFINANCE(B1313,""Volume"")"),1420.0)</f>
        <v>1420</v>
      </c>
      <c r="F1313" s="14">
        <f t="array" ref="F1313">F1312</f>
        <v>14</v>
      </c>
      <c r="G1313" s="15" t="str">
        <f>IFERROR(__xludf.DUMMYFUNCTION("IF(E1313&gt;AVERAGE(INDEX(GOOGLEFINANCE(B1313,""volume"",WORKDAY(TODAY(),-$F$1),TODAY()),,2)),""Breakout"","""")"),"")</f>
        <v/>
      </c>
      <c r="H1313" s="16">
        <f>IFERROR(__xludf.DUMMYFUNCTION("GOOGLEFINANCE(B1313,""price"")"),754.9)</f>
        <v>754.9</v>
      </c>
      <c r="I1313" s="17">
        <f>IFERROR(__xludf.DUMMYFUNCTION("AVERAGE(QUERY(SORT(GOOGLEFINANCE(B1313,""price"",TODAY()-365,TODAY()),1,0),""select Col2 limit 10""))"),734.945)</f>
        <v>734.945</v>
      </c>
      <c r="J1313" s="17">
        <f>IFERROR(__xludf.DUMMYFUNCTION("AVERAGE(QUERY(SORT(GOOGLEFINANCE(B1313,""price"",TODAY()-365,TODAY()),1,0),""select Col2 limit 30""))"),721.2799999999999)</f>
        <v>721.28</v>
      </c>
      <c r="K1313" s="18">
        <f>IFERROR(__xludf.DUMMYFUNCTION("AVERAGE(QUERY(SORT(GOOGLEFINANCE(B1313,""price"",TODAY()-365,TODAY()),1,0),""select Col2 limit 60""))"),701.0291666666666)</f>
        <v>701.0291667</v>
      </c>
      <c r="L1313" s="17">
        <f>IFERROR(__xludf.DUMMYFUNCTION("AVERAGE(QUERY(SORT(GOOGLEFINANCE(B1313,""price"",TODAY()-365,TODAY()),1,0),""select Col2 limit 90""))"),690.4833333333332)</f>
        <v>690.4833333</v>
      </c>
      <c r="M1313" s="17">
        <f>IFERROR(__xludf.DUMMYFUNCTION("AVERAGE(QUERY(SORT(GOOGLEFINANCE(B1313,""price"",TODAY()-365,TODAY()),1,0),""select Col2 limit 120""))"),686.5137500000001)</f>
        <v>686.51375</v>
      </c>
      <c r="N1313" s="19">
        <f>IFERROR(__xludf.DUMMYFUNCTION("AVERAGE(QUERY(SORT(GOOGLEFINANCE(B1313,""price"",TODAY()-365,TODAY()),1,0),""select Col2 limit 200""))"),728.6285000000003)</f>
        <v>728.6285</v>
      </c>
      <c r="O1313" s="20" t="str">
        <f t="shared" si="2"/>
        <v>Avoid</v>
      </c>
      <c r="P1313" s="21" t="str">
        <f t="shared" si="3"/>
        <v/>
      </c>
      <c r="Q1313" s="21" t="str">
        <f t="shared" si="4"/>
        <v/>
      </c>
      <c r="R1313" s="22">
        <f>IFERROR(__xludf.DUMMYFUNCTION("GOOGLEFINANCE(B1313, ""pe"")
"),15.63)</f>
        <v>15.63</v>
      </c>
    </row>
    <row r="1314">
      <c r="A1314" s="9" t="s">
        <v>1324</v>
      </c>
      <c r="B1314" s="11" t="str">
        <f t="shared" si="1"/>
        <v>NSE:JGCHEM</v>
      </c>
      <c r="C1314" s="12">
        <f>IFERROR(__xludf.DUMMYFUNCTION("GOOGLEFINANCE(B1314,""marketcap"")/10000000"),1831.8930875)</f>
        <v>1831.893088</v>
      </c>
      <c r="D1314" s="13">
        <f>IFERROR(__xludf.DUMMYFUNCTION("GOOGLEFINANCE(B1314,""price"")"),465.1)</f>
        <v>465.1</v>
      </c>
      <c r="E1314" s="14">
        <f>IFERROR(__xludf.DUMMYFUNCTION("GOOGLEFINANCE(B1314,""Volume"")"),142103.0)</f>
        <v>142103</v>
      </c>
      <c r="F1314" s="14">
        <f t="array" ref="F1314">F1313</f>
        <v>14</v>
      </c>
      <c r="G1314" s="15" t="str">
        <f>IFERROR(__xludf.DUMMYFUNCTION("IF(E1314&gt;AVERAGE(INDEX(GOOGLEFINANCE(B1314,""volume"",WORKDAY(TODAY(),-$F$1),TODAY()),,2)),""Breakout"","""")"),"")</f>
        <v/>
      </c>
      <c r="H1314" s="16">
        <f>IFERROR(__xludf.DUMMYFUNCTION("GOOGLEFINANCE(B1314,""price"")"),465.1)</f>
        <v>465.1</v>
      </c>
      <c r="I1314" s="17">
        <f>IFERROR(__xludf.DUMMYFUNCTION("AVERAGE(QUERY(SORT(GOOGLEFINANCE(B1314,""price"",TODAY()-365,TODAY()),1,0),""select Col2 limit 10""))"),497.31000000000006)</f>
        <v>497.31</v>
      </c>
      <c r="J1314" s="17">
        <f>IFERROR(__xludf.DUMMYFUNCTION("AVERAGE(QUERY(SORT(GOOGLEFINANCE(B1314,""price"",TODAY()-365,TODAY()),1,0),""select Col2 limit 30""))"),453.22833333333335)</f>
        <v>453.2283333</v>
      </c>
      <c r="K1314" s="18">
        <f>IFERROR(__xludf.DUMMYFUNCTION("AVERAGE(QUERY(SORT(GOOGLEFINANCE(B1314,""price"",TODAY()-365,TODAY()),1,0),""select Col2 limit 60""))"),404.7049999999999)</f>
        <v>404.705</v>
      </c>
      <c r="L1314" s="17">
        <f>IFERROR(__xludf.DUMMYFUNCTION("AVERAGE(QUERY(SORT(GOOGLEFINANCE(B1314,""price"",TODAY()-365,TODAY()),1,0),""select Col2 limit 90""))"),380.5433333333333)</f>
        <v>380.5433333</v>
      </c>
      <c r="M1314" s="17">
        <f>IFERROR(__xludf.DUMMYFUNCTION("AVERAGE(QUERY(SORT(GOOGLEFINANCE(B1314,""price"",TODAY()-365,TODAY()),1,0),""select Col2 limit 120""))"),366.9425000000001)</f>
        <v>366.9425</v>
      </c>
      <c r="N1314" s="19">
        <f>IFERROR(__xludf.DUMMYFUNCTION("AVERAGE(QUERY(SORT(GOOGLEFINANCE(B1314,""price"",TODAY()-365,TODAY()),1,0),""select Col2 limit 200""))"),376.71725000000015)</f>
        <v>376.71725</v>
      </c>
      <c r="O1314" s="20" t="str">
        <f t="shared" si="2"/>
        <v>Avoid</v>
      </c>
      <c r="P1314" s="21" t="str">
        <f t="shared" si="3"/>
        <v/>
      </c>
      <c r="Q1314" s="21" t="str">
        <f t="shared" si="4"/>
        <v/>
      </c>
      <c r="R1314" s="22">
        <f>IFERROR(__xludf.DUMMYFUNCTION("GOOGLEFINANCE(B1314, ""pe"")
"),28.53)</f>
        <v>28.53</v>
      </c>
    </row>
    <row r="1315">
      <c r="A1315" s="9" t="s">
        <v>1325</v>
      </c>
      <c r="B1315" s="11" t="str">
        <f t="shared" si="1"/>
        <v>NSE:PAKKA</v>
      </c>
      <c r="C1315" s="12">
        <f>IFERROR(__xludf.DUMMYFUNCTION("GOOGLEFINANCE(B1315,""marketcap"")/10000000"),890.0173034)</f>
        <v>890.0173034</v>
      </c>
      <c r="D1315" s="13">
        <f>IFERROR(__xludf.DUMMYFUNCTION("GOOGLEFINANCE(B1315,""price"")"),198.0)</f>
        <v>198</v>
      </c>
      <c r="E1315" s="14">
        <f>IFERROR(__xludf.DUMMYFUNCTION("GOOGLEFINANCE(B1315,""Volume"")"),65508.0)</f>
        <v>65508</v>
      </c>
      <c r="F1315" s="14">
        <f t="array" ref="F1315">F1314</f>
        <v>14</v>
      </c>
      <c r="G1315" s="15" t="str">
        <f>IFERROR(__xludf.DUMMYFUNCTION("IF(E1315&gt;AVERAGE(INDEX(GOOGLEFINANCE(B1315,""volume"",WORKDAY(TODAY(),-$F$1),TODAY()),,2)),""Breakout"","""")"),"")</f>
        <v/>
      </c>
      <c r="H1315" s="16">
        <f>IFERROR(__xludf.DUMMYFUNCTION("GOOGLEFINANCE(B1315,""price"")"),198.0)</f>
        <v>198</v>
      </c>
      <c r="I1315" s="17">
        <f>IFERROR(__xludf.DUMMYFUNCTION("AVERAGE(QUERY(SORT(GOOGLEFINANCE(B1315,""price"",TODAY()-365,TODAY()),1,0),""select Col2 limit 10""))"),209.296)</f>
        <v>209.296</v>
      </c>
      <c r="J1315" s="17">
        <f>IFERROR(__xludf.DUMMYFUNCTION("AVERAGE(QUERY(SORT(GOOGLEFINANCE(B1315,""price"",TODAY()-365,TODAY()),1,0),""select Col2 limit 30""))"),202.85733333333334)</f>
        <v>202.8573333</v>
      </c>
      <c r="K1315" s="18">
        <f>IFERROR(__xludf.DUMMYFUNCTION("AVERAGE(QUERY(SORT(GOOGLEFINANCE(B1315,""price"",TODAY()-365,TODAY()),1,0),""select Col2 limit 60""))"),189.1771666666667)</f>
        <v>189.1771667</v>
      </c>
      <c r="L1315" s="17">
        <f>IFERROR(__xludf.DUMMYFUNCTION("AVERAGE(QUERY(SORT(GOOGLEFINANCE(B1315,""price"",TODAY()-365,TODAY()),1,0),""select Col2 limit 90""))"),184.77011111111113)</f>
        <v>184.7701111</v>
      </c>
      <c r="M1315" s="17">
        <f>IFERROR(__xludf.DUMMYFUNCTION("AVERAGE(QUERY(SORT(GOOGLEFINANCE(B1315,""price"",TODAY()-365,TODAY()),1,0),""select Col2 limit 120""))"),191.66600000000005)</f>
        <v>191.666</v>
      </c>
      <c r="N1315" s="19">
        <f>IFERROR(__xludf.DUMMYFUNCTION("AVERAGE(QUERY(SORT(GOOGLEFINANCE(B1315,""price"",TODAY()-365,TODAY()),1,0),""select Col2 limit 200""))"),236.32085000000004)</f>
        <v>236.32085</v>
      </c>
      <c r="O1315" s="20" t="str">
        <f t="shared" si="2"/>
        <v>Avoid</v>
      </c>
      <c r="P1315" s="21" t="str">
        <f t="shared" si="3"/>
        <v/>
      </c>
      <c r="Q1315" s="21" t="str">
        <f t="shared" si="4"/>
        <v/>
      </c>
      <c r="R1315" s="22">
        <f>IFERROR(__xludf.DUMMYFUNCTION("GOOGLEFINANCE(B1315, ""pe"")
"),14.65)</f>
        <v>14.65</v>
      </c>
    </row>
    <row r="1316">
      <c r="A1316" s="9" t="s">
        <v>1326</v>
      </c>
      <c r="B1316" s="11" t="str">
        <f t="shared" si="1"/>
        <v>NSE:BIRLAMONEY</v>
      </c>
      <c r="C1316" s="12">
        <f>IFERROR(__xludf.DUMMYFUNCTION("GOOGLEFINANCE(B1316,""marketcap"")/10000000"),959.5827114)</f>
        <v>959.5827114</v>
      </c>
      <c r="D1316" s="13">
        <f>IFERROR(__xludf.DUMMYFUNCTION("GOOGLEFINANCE(B1316,""price"")"),169.65)</f>
        <v>169.65</v>
      </c>
      <c r="E1316" s="14">
        <f>IFERROR(__xludf.DUMMYFUNCTION("GOOGLEFINANCE(B1316,""Volume"")"),49750.0)</f>
        <v>49750</v>
      </c>
      <c r="F1316" s="14">
        <f t="array" ref="F1316">F1315</f>
        <v>14</v>
      </c>
      <c r="G1316" s="15" t="str">
        <f>IFERROR(__xludf.DUMMYFUNCTION("IF(E1316&gt;AVERAGE(INDEX(GOOGLEFINANCE(B1316,""volume"",WORKDAY(TODAY(),-$F$1),TODAY()),,2)),""Breakout"","""")"),"")</f>
        <v/>
      </c>
      <c r="H1316" s="16">
        <f>IFERROR(__xludf.DUMMYFUNCTION("GOOGLEFINANCE(B1316,""price"")"),169.65)</f>
        <v>169.65</v>
      </c>
      <c r="I1316" s="17">
        <f>IFERROR(__xludf.DUMMYFUNCTION("AVERAGE(QUERY(SORT(GOOGLEFINANCE(B1316,""price"",TODAY()-365,TODAY()),1,0),""select Col2 limit 10""))"),176.60799999999998)</f>
        <v>176.608</v>
      </c>
      <c r="J1316" s="17">
        <f>IFERROR(__xludf.DUMMYFUNCTION("AVERAGE(QUERY(SORT(GOOGLEFINANCE(B1316,""price"",TODAY()-365,TODAY()),1,0),""select Col2 limit 30""))"),184.08600000000004)</f>
        <v>184.086</v>
      </c>
      <c r="K1316" s="18">
        <f>IFERROR(__xludf.DUMMYFUNCTION("AVERAGE(QUERY(SORT(GOOGLEFINANCE(B1316,""price"",TODAY()-365,TODAY()),1,0),""select Col2 limit 60""))"),177.3871666666667)</f>
        <v>177.3871667</v>
      </c>
      <c r="L1316" s="17">
        <f>IFERROR(__xludf.DUMMYFUNCTION("AVERAGE(QUERY(SORT(GOOGLEFINANCE(B1316,""price"",TODAY()-365,TODAY()),1,0),""select Col2 limit 90""))"),170.57522222222224)</f>
        <v>170.5752222</v>
      </c>
      <c r="M1316" s="17">
        <f>IFERROR(__xludf.DUMMYFUNCTION("AVERAGE(QUERY(SORT(GOOGLEFINANCE(B1316,""price"",TODAY()-365,TODAY()),1,0),""select Col2 limit 120""))"),168.32525000000004)</f>
        <v>168.32525</v>
      </c>
      <c r="N1316" s="19">
        <f>IFERROR(__xludf.DUMMYFUNCTION("AVERAGE(QUERY(SORT(GOOGLEFINANCE(B1316,""price"",TODAY()-365,TODAY()),1,0),""select Col2 limit 200""))"),178.8504)</f>
        <v>178.8504</v>
      </c>
      <c r="O1316" s="20" t="str">
        <f t="shared" si="2"/>
        <v>Avoid</v>
      </c>
      <c r="P1316" s="21" t="str">
        <f t="shared" si="3"/>
        <v>90 DMA</v>
      </c>
      <c r="Q1316" s="21" t="str">
        <f t="shared" si="4"/>
        <v/>
      </c>
      <c r="R1316" s="22">
        <f>IFERROR(__xludf.DUMMYFUNCTION("GOOGLEFINANCE(B1316, ""pe"")
"),13.11)</f>
        <v>13.11</v>
      </c>
    </row>
    <row r="1317">
      <c r="A1317" s="9" t="s">
        <v>1327</v>
      </c>
      <c r="B1317" s="11" t="str">
        <f t="shared" si="1"/>
        <v>NSE:VLEGOV</v>
      </c>
      <c r="C1317" s="12">
        <f>IFERROR(__xludf.DUMMYFUNCTION("GOOGLEFINANCE(B1317,""marketcap"")/10000000"),513.5284593)</f>
        <v>513.5284593</v>
      </c>
      <c r="D1317" s="13">
        <f>IFERROR(__xludf.DUMMYFUNCTION("GOOGLEFINANCE(B1317,""price"")"),47.34)</f>
        <v>47.34</v>
      </c>
      <c r="E1317" s="14">
        <f>IFERROR(__xludf.DUMMYFUNCTION("GOOGLEFINANCE(B1317,""Volume"")"),13865.0)</f>
        <v>13865</v>
      </c>
      <c r="F1317" s="14">
        <f t="array" ref="F1317">F1316</f>
        <v>14</v>
      </c>
      <c r="G1317" s="15" t="str">
        <f>IFERROR(__xludf.DUMMYFUNCTION("IF(E1317&gt;AVERAGE(INDEX(GOOGLEFINANCE(B1317,""volume"",WORKDAY(TODAY(),-$F$1),TODAY()),,2)),""Breakout"","""")"),"#N/A")</f>
        <v>#N/A</v>
      </c>
      <c r="H1317" s="16">
        <f>IFERROR(__xludf.DUMMYFUNCTION("GOOGLEFINANCE(B1317,""price"")"),47.34)</f>
        <v>47.34</v>
      </c>
      <c r="I1317" s="17">
        <f>IFERROR(__xludf.DUMMYFUNCTION("AVERAGE(QUERY(SORT(GOOGLEFINANCE(B1317,""price"",TODAY()-365,TODAY()),1,0),""select Col2 limit 10""))"),49.493)</f>
        <v>49.493</v>
      </c>
      <c r="J1317" s="17">
        <f>IFERROR(__xludf.DUMMYFUNCTION("AVERAGE(QUERY(SORT(GOOGLEFINANCE(B1317,""price"",TODAY()-365,TODAY()),1,0),""select Col2 limit 30""))"),51.178)</f>
        <v>51.178</v>
      </c>
      <c r="K1317" s="18">
        <f>IFERROR(__xludf.DUMMYFUNCTION("AVERAGE(QUERY(SORT(GOOGLEFINANCE(B1317,""price"",TODAY()-365,TODAY()),1,0),""select Col2 limit 60""))"),55.18900000000001)</f>
        <v>55.189</v>
      </c>
      <c r="L1317" s="17">
        <f>IFERROR(__xludf.DUMMYFUNCTION("AVERAGE(QUERY(SORT(GOOGLEFINANCE(B1317,""price"",TODAY()-365,TODAY()),1,0),""select Col2 limit 90""))"),49.993222222222236)</f>
        <v>49.99322222</v>
      </c>
      <c r="M1317" s="17">
        <f>IFERROR(__xludf.DUMMYFUNCTION("AVERAGE(QUERY(SORT(GOOGLEFINANCE(B1317,""price"",TODAY()-365,TODAY()),1,0),""select Col2 limit 120""))"),57.34983333333334)</f>
        <v>57.34983333</v>
      </c>
      <c r="N1317" s="19">
        <f>IFERROR(__xludf.DUMMYFUNCTION("AVERAGE(QUERY(SORT(GOOGLEFINANCE(B1317,""price"",TODAY()-365,TODAY()),1,0),""select Col2 limit 200""))"),98.76889999999997)</f>
        <v>98.7689</v>
      </c>
      <c r="O1317" s="20" t="str">
        <f t="shared" si="2"/>
        <v>Avoid</v>
      </c>
      <c r="P1317" s="21" t="str">
        <f t="shared" si="3"/>
        <v/>
      </c>
      <c r="Q1317" s="21" t="str">
        <f t="shared" si="4"/>
        <v/>
      </c>
      <c r="R1317" s="22" t="str">
        <f>IFERROR(__xludf.DUMMYFUNCTION("GOOGLEFINANCE(B1317, ""pe"")
"),"#N/A")</f>
        <v>#N/A</v>
      </c>
    </row>
    <row r="1318">
      <c r="A1318" s="9" t="s">
        <v>1328</v>
      </c>
      <c r="B1318" s="11" t="str">
        <f t="shared" si="1"/>
        <v>NSE:JPOLYINVST</v>
      </c>
      <c r="C1318" s="12">
        <f>IFERROR(__xludf.DUMMYFUNCTION("GOOGLEFINANCE(B1318,""marketcap"")/10000000"),830.5993844)</f>
        <v>830.5993844</v>
      </c>
      <c r="D1318" s="13">
        <f>IFERROR(__xludf.DUMMYFUNCTION("GOOGLEFINANCE(B1318,""price"")"),791.15)</f>
        <v>791.15</v>
      </c>
      <c r="E1318" s="14">
        <f>IFERROR(__xludf.DUMMYFUNCTION("GOOGLEFINANCE(B1318,""Volume"")"),1425.0)</f>
        <v>1425</v>
      </c>
      <c r="F1318" s="14">
        <f t="array" ref="F1318">F1317</f>
        <v>14</v>
      </c>
      <c r="G1318" s="15" t="str">
        <f>IFERROR(__xludf.DUMMYFUNCTION("IF(E1318&gt;AVERAGE(INDEX(GOOGLEFINANCE(B1318,""volume"",WORKDAY(TODAY(),-$F$1),TODAY()),,2)),""Breakout"","""")"),"")</f>
        <v/>
      </c>
      <c r="H1318" s="16">
        <f>IFERROR(__xludf.DUMMYFUNCTION("GOOGLEFINANCE(B1318,""price"")"),791.15)</f>
        <v>791.15</v>
      </c>
      <c r="I1318" s="17">
        <f>IFERROR(__xludf.DUMMYFUNCTION("AVERAGE(QUERY(SORT(GOOGLEFINANCE(B1318,""price"",TODAY()-365,TODAY()),1,0),""select Col2 limit 10""))"),836.4650000000001)</f>
        <v>836.465</v>
      </c>
      <c r="J1318" s="17">
        <f>IFERROR(__xludf.DUMMYFUNCTION("AVERAGE(QUERY(SORT(GOOGLEFINANCE(B1318,""price"",TODAY()-365,TODAY()),1,0),""select Col2 limit 30""))"),869.9016666666668)</f>
        <v>869.9016667</v>
      </c>
      <c r="K1318" s="18">
        <f>IFERROR(__xludf.DUMMYFUNCTION("AVERAGE(QUERY(SORT(GOOGLEFINANCE(B1318,""price"",TODAY()-365,TODAY()),1,0),""select Col2 limit 60""))"),881.5616666666671)</f>
        <v>881.5616667</v>
      </c>
      <c r="L1318" s="17">
        <f>IFERROR(__xludf.DUMMYFUNCTION("AVERAGE(QUERY(SORT(GOOGLEFINANCE(B1318,""price"",TODAY()-365,TODAY()),1,0),""select Col2 limit 90""))"),838.5588888888892)</f>
        <v>838.5588889</v>
      </c>
      <c r="M1318" s="17">
        <f>IFERROR(__xludf.DUMMYFUNCTION("AVERAGE(QUERY(SORT(GOOGLEFINANCE(B1318,""price"",TODAY()-365,TODAY()),1,0),""select Col2 limit 120""))"),795.5283333333336)</f>
        <v>795.5283333</v>
      </c>
      <c r="N1318" s="19">
        <f>IFERROR(__xludf.DUMMYFUNCTION("AVERAGE(QUERY(SORT(GOOGLEFINANCE(B1318,""price"",TODAY()-365,TODAY()),1,0),""select Col2 limit 200""))"),813.2267499999997)</f>
        <v>813.22675</v>
      </c>
      <c r="O1318" s="20" t="str">
        <f t="shared" si="2"/>
        <v>Avoid</v>
      </c>
      <c r="P1318" s="21" t="str">
        <f t="shared" si="3"/>
        <v>120 DMA</v>
      </c>
      <c r="Q1318" s="21" t="str">
        <f t="shared" si="4"/>
        <v/>
      </c>
      <c r="R1318" s="22">
        <f>IFERROR(__xludf.DUMMYFUNCTION("GOOGLEFINANCE(B1318, ""pe"")
"),2.81)</f>
        <v>2.81</v>
      </c>
    </row>
    <row r="1319">
      <c r="A1319" s="9" t="s">
        <v>1329</v>
      </c>
      <c r="B1319" s="11" t="str">
        <f t="shared" si="1"/>
        <v>NSE:DENORA</v>
      </c>
      <c r="C1319" s="12">
        <f>IFERROR(__xludf.DUMMYFUNCTION("GOOGLEFINANCE(B1319,""marketcap"")/10000000"),477.5946836)</f>
        <v>477.5946836</v>
      </c>
      <c r="D1319" s="13">
        <f>IFERROR(__xludf.DUMMYFUNCTION("GOOGLEFINANCE(B1319,""price"")"),901.4)</f>
        <v>901.4</v>
      </c>
      <c r="E1319" s="14">
        <f>IFERROR(__xludf.DUMMYFUNCTION("GOOGLEFINANCE(B1319,""Volume"")"),7665.0)</f>
        <v>7665</v>
      </c>
      <c r="F1319" s="14">
        <f t="array" ref="F1319">F1318</f>
        <v>14</v>
      </c>
      <c r="G1319" s="15" t="str">
        <f>IFERROR(__xludf.DUMMYFUNCTION("IF(E1319&gt;AVERAGE(INDEX(GOOGLEFINANCE(B1319,""volume"",WORKDAY(TODAY(),-$F$1),TODAY()),,2)),""Breakout"","""")"),"Breakout")</f>
        <v>Breakout</v>
      </c>
      <c r="H1319" s="16">
        <f>IFERROR(__xludf.DUMMYFUNCTION("GOOGLEFINANCE(B1319,""price"")"),901.4)</f>
        <v>901.4</v>
      </c>
      <c r="I1319" s="17">
        <f>IFERROR(__xludf.DUMMYFUNCTION("AVERAGE(QUERY(SORT(GOOGLEFINANCE(B1319,""price"",TODAY()-365,TODAY()),1,0),""select Col2 limit 10""))"),939.2149999999999)</f>
        <v>939.215</v>
      </c>
      <c r="J1319" s="17">
        <f>IFERROR(__xludf.DUMMYFUNCTION("AVERAGE(QUERY(SORT(GOOGLEFINANCE(B1319,""price"",TODAY()-365,TODAY()),1,0),""select Col2 limit 30""))"),904.4583333333335)</f>
        <v>904.4583333</v>
      </c>
      <c r="K1319" s="18">
        <f>IFERROR(__xludf.DUMMYFUNCTION("AVERAGE(QUERY(SORT(GOOGLEFINANCE(B1319,""price"",TODAY()-365,TODAY()),1,0),""select Col2 limit 60""))"),869.5266666666666)</f>
        <v>869.5266667</v>
      </c>
      <c r="L1319" s="17">
        <f>IFERROR(__xludf.DUMMYFUNCTION("AVERAGE(QUERY(SORT(GOOGLEFINANCE(B1319,""price"",TODAY()-365,TODAY()),1,0),""select Col2 limit 90""))"),834.8366666666667)</f>
        <v>834.8366667</v>
      </c>
      <c r="M1319" s="17">
        <f>IFERROR(__xludf.DUMMYFUNCTION("AVERAGE(QUERY(SORT(GOOGLEFINANCE(B1319,""price"",TODAY()-365,TODAY()),1,0),""select Col2 limit 120""))"),823.9333333333333)</f>
        <v>823.9333333</v>
      </c>
      <c r="N1319" s="19">
        <f>IFERROR(__xludf.DUMMYFUNCTION("AVERAGE(QUERY(SORT(GOOGLEFINANCE(B1319,""price"",TODAY()-365,TODAY()),1,0),""select Col2 limit 200""))"),1001.4762500000004)</f>
        <v>1001.47625</v>
      </c>
      <c r="O1319" s="20" t="str">
        <f t="shared" si="2"/>
        <v>Avoid</v>
      </c>
      <c r="P1319" s="21" t="str">
        <f t="shared" si="3"/>
        <v>30 DMA</v>
      </c>
      <c r="Q1319" s="21" t="str">
        <f t="shared" si="4"/>
        <v/>
      </c>
      <c r="R1319" s="22">
        <f>IFERROR(__xludf.DUMMYFUNCTION("GOOGLEFINANCE(B1319, ""pe"")
"),282.57)</f>
        <v>282.57</v>
      </c>
    </row>
    <row r="1320">
      <c r="A1320" s="9" t="s">
        <v>1330</v>
      </c>
      <c r="B1320" s="11" t="str">
        <f t="shared" si="1"/>
        <v>NSE:BAJAJHCARE</v>
      </c>
      <c r="C1320" s="12">
        <f>IFERROR(__xludf.DUMMYFUNCTION("GOOGLEFINANCE(B1320,""marketcap"")/10000000"),1672.6483132)</f>
        <v>1672.648313</v>
      </c>
      <c r="D1320" s="13">
        <f>IFERROR(__xludf.DUMMYFUNCTION("GOOGLEFINANCE(B1320,""price"")"),529.6)</f>
        <v>529.6</v>
      </c>
      <c r="E1320" s="14">
        <f>IFERROR(__xludf.DUMMYFUNCTION("GOOGLEFINANCE(B1320,""Volume"")"),249198.0)</f>
        <v>249198</v>
      </c>
      <c r="F1320" s="14">
        <f t="array" ref="F1320">F1319</f>
        <v>14</v>
      </c>
      <c r="G1320" s="15" t="str">
        <f>IFERROR(__xludf.DUMMYFUNCTION("IF(E1320&gt;AVERAGE(INDEX(GOOGLEFINANCE(B1320,""volume"",WORKDAY(TODAY(),-$F$1),TODAY()),,2)),""Breakout"","""")"),"Breakout")</f>
        <v>Breakout</v>
      </c>
      <c r="H1320" s="16">
        <f>IFERROR(__xludf.DUMMYFUNCTION("GOOGLEFINANCE(B1320,""price"")"),529.6)</f>
        <v>529.6</v>
      </c>
      <c r="I1320" s="17">
        <f>IFERROR(__xludf.DUMMYFUNCTION("AVERAGE(QUERY(SORT(GOOGLEFINANCE(B1320,""price"",TODAY()-365,TODAY()),1,0),""select Col2 limit 10""))"),519.6100000000001)</f>
        <v>519.61</v>
      </c>
      <c r="J1320" s="17">
        <f>IFERROR(__xludf.DUMMYFUNCTION("AVERAGE(QUERY(SORT(GOOGLEFINANCE(B1320,""price"",TODAY()-365,TODAY()),1,0),""select Col2 limit 30""))"),508.70500000000004)</f>
        <v>508.705</v>
      </c>
      <c r="K1320" s="18">
        <f>IFERROR(__xludf.DUMMYFUNCTION("AVERAGE(QUERY(SORT(GOOGLEFINANCE(B1320,""price"",TODAY()-365,TODAY()),1,0),""select Col2 limit 60""))"),526.2816666666666)</f>
        <v>526.2816667</v>
      </c>
      <c r="L1320" s="17">
        <f>IFERROR(__xludf.DUMMYFUNCTION("AVERAGE(QUERY(SORT(GOOGLEFINANCE(B1320,""price"",TODAY()-365,TODAY()),1,0),""select Col2 limit 90""))"),560.8566666666667)</f>
        <v>560.8566667</v>
      </c>
      <c r="M1320" s="17">
        <f>IFERROR(__xludf.DUMMYFUNCTION("AVERAGE(QUERY(SORT(GOOGLEFINANCE(B1320,""price"",TODAY()-365,TODAY()),1,0),""select Col2 limit 120""))"),580.5537500000004)</f>
        <v>580.55375</v>
      </c>
      <c r="N1320" s="19">
        <f>IFERROR(__xludf.DUMMYFUNCTION("AVERAGE(QUERY(SORT(GOOGLEFINANCE(B1320,""price"",TODAY()-365,TODAY()),1,0),""select Col2 limit 200""))"),531.2845000000001)</f>
        <v>531.2845</v>
      </c>
      <c r="O1320" s="20" t="str">
        <f t="shared" si="2"/>
        <v>Avoid</v>
      </c>
      <c r="P1320" s="21" t="str">
        <f t="shared" si="3"/>
        <v>200 DMA</v>
      </c>
      <c r="Q1320" s="21" t="str">
        <f t="shared" si="4"/>
        <v/>
      </c>
      <c r="R1320" s="22">
        <f>IFERROR(__xludf.DUMMYFUNCTION("GOOGLEFINANCE(B1320, ""pe"")
"),37.14)</f>
        <v>37.14</v>
      </c>
    </row>
    <row r="1321">
      <c r="A1321" s="9" t="s">
        <v>1331</v>
      </c>
      <c r="B1321" s="11" t="str">
        <f t="shared" si="1"/>
        <v>NSE:AMBIKCO</v>
      </c>
      <c r="C1321" s="12">
        <f>IFERROR(__xludf.DUMMYFUNCTION("GOOGLEFINANCE(B1321,""marketcap"")/10000000"),899.2828708)</f>
        <v>899.2828708</v>
      </c>
      <c r="D1321" s="13">
        <f>IFERROR(__xludf.DUMMYFUNCTION("GOOGLEFINANCE(B1321,""price"")"),1570.8)</f>
        <v>1570.8</v>
      </c>
      <c r="E1321" s="14">
        <f>IFERROR(__xludf.DUMMYFUNCTION("GOOGLEFINANCE(B1321,""Volume"")"),2358.0)</f>
        <v>2358</v>
      </c>
      <c r="F1321" s="14">
        <f t="array" ref="F1321">F1320</f>
        <v>14</v>
      </c>
      <c r="G1321" s="15" t="str">
        <f>IFERROR(__xludf.DUMMYFUNCTION("IF(E1321&gt;AVERAGE(INDEX(GOOGLEFINANCE(B1321,""volume"",WORKDAY(TODAY(),-$F$1),TODAY()),,2)),""Breakout"","""")"),"")</f>
        <v/>
      </c>
      <c r="H1321" s="16">
        <f>IFERROR(__xludf.DUMMYFUNCTION("GOOGLEFINANCE(B1321,""price"")"),1570.8)</f>
        <v>1570.8</v>
      </c>
      <c r="I1321" s="17">
        <f>IFERROR(__xludf.DUMMYFUNCTION("AVERAGE(QUERY(SORT(GOOGLEFINANCE(B1321,""price"",TODAY()-365,TODAY()),1,0),""select Col2 limit 10""))"),1620.27)</f>
        <v>1620.27</v>
      </c>
      <c r="J1321" s="17">
        <f>IFERROR(__xludf.DUMMYFUNCTION("AVERAGE(QUERY(SORT(GOOGLEFINANCE(B1321,""price"",TODAY()-365,TODAY()),1,0),""select Col2 limit 30""))"),1582.586666666667)</f>
        <v>1582.586667</v>
      </c>
      <c r="K1321" s="18">
        <f>IFERROR(__xludf.DUMMYFUNCTION("AVERAGE(QUERY(SORT(GOOGLEFINANCE(B1321,""price"",TODAY()-365,TODAY()),1,0),""select Col2 limit 60""))"),1547.2533333333336)</f>
        <v>1547.253333</v>
      </c>
      <c r="L1321" s="17">
        <f>IFERROR(__xludf.DUMMYFUNCTION("AVERAGE(QUERY(SORT(GOOGLEFINANCE(B1321,""price"",TODAY()-365,TODAY()),1,0),""select Col2 limit 90""))"),1484.1783333333333)</f>
        <v>1484.178333</v>
      </c>
      <c r="M1321" s="17">
        <f>IFERROR(__xludf.DUMMYFUNCTION("AVERAGE(QUERY(SORT(GOOGLEFINANCE(B1321,""price"",TODAY()-365,TODAY()),1,0),""select Col2 limit 120""))"),1467.9791666666665)</f>
        <v>1467.979167</v>
      </c>
      <c r="N1321" s="19">
        <f>IFERROR(__xludf.DUMMYFUNCTION("AVERAGE(QUERY(SORT(GOOGLEFINANCE(B1321,""price"",TODAY()-365,TODAY()),1,0),""select Col2 limit 200""))"),1514.2084999999993)</f>
        <v>1514.2085</v>
      </c>
      <c r="O1321" s="20" t="str">
        <f t="shared" si="2"/>
        <v>Avoid</v>
      </c>
      <c r="P1321" s="21" t="str">
        <f t="shared" si="3"/>
        <v>30 DMA</v>
      </c>
      <c r="Q1321" s="21" t="str">
        <f t="shared" si="4"/>
        <v/>
      </c>
      <c r="R1321" s="22">
        <f>IFERROR(__xludf.DUMMYFUNCTION("GOOGLEFINANCE(B1321, ""pe"")
"),13.7)</f>
        <v>13.7</v>
      </c>
    </row>
    <row r="1322">
      <c r="A1322" s="9" t="s">
        <v>1332</v>
      </c>
      <c r="B1322" s="11" t="str">
        <f t="shared" si="1"/>
        <v>NSE:SILVERTUC</v>
      </c>
      <c r="C1322" s="12">
        <f>IFERROR(__xludf.DUMMYFUNCTION("GOOGLEFINANCE(B1322,""marketcap"")/10000000"),976.43623)</f>
        <v>976.43623</v>
      </c>
      <c r="D1322" s="13">
        <f>IFERROR(__xludf.DUMMYFUNCTION("GOOGLEFINANCE(B1322,""price"")"),770.0)</f>
        <v>770</v>
      </c>
      <c r="E1322" s="14">
        <f>IFERROR(__xludf.DUMMYFUNCTION("GOOGLEFINANCE(B1322,""Volume"")"),36259.0)</f>
        <v>36259</v>
      </c>
      <c r="F1322" s="14">
        <f t="array" ref="F1322">F1321</f>
        <v>14</v>
      </c>
      <c r="G1322" s="15" t="str">
        <f>IFERROR(__xludf.DUMMYFUNCTION("IF(E1322&gt;AVERAGE(INDEX(GOOGLEFINANCE(B1322,""volume"",WORKDAY(TODAY(),-$F$1),TODAY()),,2)),""Breakout"","""")"),"")</f>
        <v/>
      </c>
      <c r="H1322" s="16">
        <f>IFERROR(__xludf.DUMMYFUNCTION("GOOGLEFINANCE(B1322,""price"")"),770.0)</f>
        <v>770</v>
      </c>
      <c r="I1322" s="17">
        <f>IFERROR(__xludf.DUMMYFUNCTION("AVERAGE(QUERY(SORT(GOOGLEFINANCE(B1322,""price"",TODAY()-365,TODAY()),1,0),""select Col2 limit 10""))"),735.095)</f>
        <v>735.095</v>
      </c>
      <c r="J1322" s="17">
        <f>IFERROR(__xludf.DUMMYFUNCTION("AVERAGE(QUERY(SORT(GOOGLEFINANCE(B1322,""price"",TODAY()-365,TODAY()),1,0),""select Col2 limit 30""))"),743.7000000000002)</f>
        <v>743.7</v>
      </c>
      <c r="K1322" s="18">
        <f>IFERROR(__xludf.DUMMYFUNCTION("AVERAGE(QUERY(SORT(GOOGLEFINANCE(B1322,""price"",TODAY()-365,TODAY()),1,0),""select Col2 limit 60""))"),754.0175)</f>
        <v>754.0175</v>
      </c>
      <c r="L1322" s="17">
        <f>IFERROR(__xludf.DUMMYFUNCTION("AVERAGE(QUERY(SORT(GOOGLEFINANCE(B1322,""price"",TODAY()-365,TODAY()),1,0),""select Col2 limit 90""))"),735.8866666666667)</f>
        <v>735.8866667</v>
      </c>
      <c r="M1322" s="17">
        <f>IFERROR(__xludf.DUMMYFUNCTION("AVERAGE(QUERY(SORT(GOOGLEFINANCE(B1322,""price"",TODAY()-365,TODAY()),1,0),""select Col2 limit 120""))"),715.8737499999999)</f>
        <v>715.87375</v>
      </c>
      <c r="N1322" s="19">
        <f>IFERROR(__xludf.DUMMYFUNCTION("AVERAGE(QUERY(SORT(GOOGLEFINANCE(B1322,""price"",TODAY()-365,TODAY()),1,0),""select Col2 limit 200""))"),709.0947500000001)</f>
        <v>709.09475</v>
      </c>
      <c r="O1322" s="20" t="str">
        <f t="shared" si="2"/>
        <v>Avoid</v>
      </c>
      <c r="P1322" s="21" t="str">
        <f t="shared" si="3"/>
        <v/>
      </c>
      <c r="Q1322" s="21" t="str">
        <f t="shared" si="4"/>
        <v/>
      </c>
      <c r="R1322" s="22">
        <f>IFERROR(__xludf.DUMMYFUNCTION("GOOGLEFINANCE(B1322, ""pe"")
"),43.89)</f>
        <v>43.89</v>
      </c>
    </row>
    <row r="1323">
      <c r="A1323" s="9" t="s">
        <v>1333</v>
      </c>
      <c r="B1323" s="11" t="str">
        <f t="shared" si="1"/>
        <v>NSE:SAKUMA</v>
      </c>
      <c r="C1323" s="12">
        <f>IFERROR(__xludf.DUMMYFUNCTION("GOOGLEFINANCE(B1323,""marketcap"")/10000000"),440.528749)</f>
        <v>440.528749</v>
      </c>
      <c r="D1323" s="13">
        <f>IFERROR(__xludf.DUMMYFUNCTION("GOOGLEFINANCE(B1323,""price"")"),2.81)</f>
        <v>2.81</v>
      </c>
      <c r="E1323" s="14">
        <f>IFERROR(__xludf.DUMMYFUNCTION("GOOGLEFINANCE(B1323,""Volume"")"),401715.0)</f>
        <v>401715</v>
      </c>
      <c r="F1323" s="14">
        <f t="array" ref="F1323">F1322</f>
        <v>14</v>
      </c>
      <c r="G1323" s="15" t="str">
        <f>IFERROR(__xludf.DUMMYFUNCTION("IF(E1323&gt;AVERAGE(INDEX(GOOGLEFINANCE(B1323,""volume"",WORKDAY(TODAY(),-$F$1),TODAY()),,2)),""Breakout"","""")"),"")</f>
        <v/>
      </c>
      <c r="H1323" s="16">
        <f>IFERROR(__xludf.DUMMYFUNCTION("GOOGLEFINANCE(B1323,""price"")"),2.81)</f>
        <v>2.81</v>
      </c>
      <c r="I1323" s="17">
        <f>IFERROR(__xludf.DUMMYFUNCTION("AVERAGE(QUERY(SORT(GOOGLEFINANCE(B1323,""price"",TODAY()-365,TODAY()),1,0),""select Col2 limit 10""))"),2.9)</f>
        <v>2.9</v>
      </c>
      <c r="J1323" s="17">
        <f>IFERROR(__xludf.DUMMYFUNCTION("AVERAGE(QUERY(SORT(GOOGLEFINANCE(B1323,""price"",TODAY()-365,TODAY()),1,0),""select Col2 limit 30""))"),2.977)</f>
        <v>2.977</v>
      </c>
      <c r="K1323" s="18">
        <f>IFERROR(__xludf.DUMMYFUNCTION("AVERAGE(QUERY(SORT(GOOGLEFINANCE(B1323,""price"",TODAY()-365,TODAY()),1,0),""select Col2 limit 60""))"),3.068833333333333)</f>
        <v>3.068833333</v>
      </c>
      <c r="L1323" s="17">
        <f>IFERROR(__xludf.DUMMYFUNCTION("AVERAGE(QUERY(SORT(GOOGLEFINANCE(B1323,""price"",TODAY()-365,TODAY()),1,0),""select Col2 limit 90""))"),2.9852222222222218)</f>
        <v>2.985222222</v>
      </c>
      <c r="M1323" s="17">
        <f>IFERROR(__xludf.DUMMYFUNCTION("AVERAGE(QUERY(SORT(GOOGLEFINANCE(B1323,""price"",TODAY()-365,TODAY()),1,0),""select Col2 limit 120""))"),3.006416666666667)</f>
        <v>3.006416667</v>
      </c>
      <c r="N1323" s="19">
        <f>IFERROR(__xludf.DUMMYFUNCTION("AVERAGE(QUERY(SORT(GOOGLEFINANCE(B1323,""price"",TODAY()-365,TODAY()),1,0),""select Col2 limit 200""))"),3.4209999999999985)</f>
        <v>3.421</v>
      </c>
      <c r="O1323" s="20" t="str">
        <f t="shared" si="2"/>
        <v>Avoid</v>
      </c>
      <c r="P1323" s="21" t="str">
        <f t="shared" si="3"/>
        <v/>
      </c>
      <c r="Q1323" s="21" t="str">
        <f t="shared" si="4"/>
        <v/>
      </c>
      <c r="R1323" s="22">
        <f>IFERROR(__xludf.DUMMYFUNCTION("GOOGLEFINANCE(B1323, ""pe"")
"),31.22)</f>
        <v>31.22</v>
      </c>
    </row>
    <row r="1324">
      <c r="A1324" s="9" t="s">
        <v>1334</v>
      </c>
      <c r="B1324" s="11" t="str">
        <f t="shared" si="1"/>
        <v>NSE:TRACXN</v>
      </c>
      <c r="C1324" s="12">
        <f>IFERROR(__xludf.DUMMYFUNCTION("GOOGLEFINANCE(B1324,""marketcap"")/10000000"),610.0232093)</f>
        <v>610.0232093</v>
      </c>
      <c r="D1324" s="13">
        <f>IFERROR(__xludf.DUMMYFUNCTION("GOOGLEFINANCE(B1324,""price"")"),56.9)</f>
        <v>56.9</v>
      </c>
      <c r="E1324" s="14">
        <f>IFERROR(__xludf.DUMMYFUNCTION("GOOGLEFINANCE(B1324,""Volume"")"),93225.0)</f>
        <v>93225</v>
      </c>
      <c r="F1324" s="14">
        <f t="array" ref="F1324">F1323</f>
        <v>14</v>
      </c>
      <c r="G1324" s="15" t="str">
        <f>IFERROR(__xludf.DUMMYFUNCTION("IF(E1324&gt;AVERAGE(INDEX(GOOGLEFINANCE(B1324,""volume"",WORKDAY(TODAY(),-$F$1),TODAY()),,2)),""Breakout"","""")"),"")</f>
        <v/>
      </c>
      <c r="H1324" s="16">
        <f>IFERROR(__xludf.DUMMYFUNCTION("GOOGLEFINANCE(B1324,""price"")"),56.9)</f>
        <v>56.9</v>
      </c>
      <c r="I1324" s="17">
        <f>IFERROR(__xludf.DUMMYFUNCTION("AVERAGE(QUERY(SORT(GOOGLEFINANCE(B1324,""price"",TODAY()-365,TODAY()),1,0),""select Col2 limit 10""))"),59.33299999999999)</f>
        <v>59.333</v>
      </c>
      <c r="J1324" s="17">
        <f>IFERROR(__xludf.DUMMYFUNCTION("AVERAGE(QUERY(SORT(GOOGLEFINANCE(B1324,""price"",TODAY()-365,TODAY()),1,0),""select Col2 limit 30""))"),58.48266666666667)</f>
        <v>58.48266667</v>
      </c>
      <c r="K1324" s="18">
        <f>IFERROR(__xludf.DUMMYFUNCTION("AVERAGE(QUERY(SORT(GOOGLEFINANCE(B1324,""price"",TODAY()-365,TODAY()),1,0),""select Col2 limit 60""))"),58.05850000000001)</f>
        <v>58.0585</v>
      </c>
      <c r="L1324" s="17">
        <f>IFERROR(__xludf.DUMMYFUNCTION("AVERAGE(QUERY(SORT(GOOGLEFINANCE(B1324,""price"",TODAY()-365,TODAY()),1,0),""select Col2 limit 90""))"),56.604888888888915)</f>
        <v>56.60488889</v>
      </c>
      <c r="M1324" s="17">
        <f>IFERROR(__xludf.DUMMYFUNCTION("AVERAGE(QUERY(SORT(GOOGLEFINANCE(B1324,""price"",TODAY()-365,TODAY()),1,0),""select Col2 limit 120""))"),57.63300000000002)</f>
        <v>57.633</v>
      </c>
      <c r="N1324" s="19">
        <f>IFERROR(__xludf.DUMMYFUNCTION("AVERAGE(QUERY(SORT(GOOGLEFINANCE(B1324,""price"",TODAY()-365,TODAY()),1,0),""select Col2 limit 200""))"),65.84440000000004)</f>
        <v>65.8444</v>
      </c>
      <c r="O1324" s="20" t="str">
        <f t="shared" si="2"/>
        <v>Avoid</v>
      </c>
      <c r="P1324" s="21" t="str">
        <f t="shared" si="3"/>
        <v/>
      </c>
      <c r="Q1324" s="21" t="str">
        <f t="shared" si="4"/>
        <v/>
      </c>
      <c r="R1324" s="22" t="str">
        <f>IFERROR(__xludf.DUMMYFUNCTION("GOOGLEFINANCE(B1324, ""pe"")
"),"#N/A")</f>
        <v>#N/A</v>
      </c>
    </row>
    <row r="1325">
      <c r="A1325" s="9" t="s">
        <v>1335</v>
      </c>
      <c r="B1325" s="11" t="str">
        <f t="shared" si="1"/>
        <v>NSE:CHEMCON</v>
      </c>
      <c r="C1325" s="12">
        <f>IFERROR(__xludf.DUMMYFUNCTION("GOOGLEFINANCE(B1325,""marketcap"")/10000000"),771.8469515)</f>
        <v>771.8469515</v>
      </c>
      <c r="D1325" s="13">
        <f>IFERROR(__xludf.DUMMYFUNCTION("GOOGLEFINANCE(B1325,""price"")"),211.01)</f>
        <v>211.01</v>
      </c>
      <c r="E1325" s="14">
        <f>IFERROR(__xludf.DUMMYFUNCTION("GOOGLEFINANCE(B1325,""Volume"")"),10178.0)</f>
        <v>10178</v>
      </c>
      <c r="F1325" s="14">
        <f t="array" ref="F1325">F1324</f>
        <v>14</v>
      </c>
      <c r="G1325" s="15" t="str">
        <f>IFERROR(__xludf.DUMMYFUNCTION("IF(E1325&gt;AVERAGE(INDEX(GOOGLEFINANCE(B1325,""volume"",WORKDAY(TODAY(),-$F$1),TODAY()),,2)),""Breakout"","""")"),"")</f>
        <v/>
      </c>
      <c r="H1325" s="16">
        <f>IFERROR(__xludf.DUMMYFUNCTION("GOOGLEFINANCE(B1325,""price"")"),211.01)</f>
        <v>211.01</v>
      </c>
      <c r="I1325" s="17">
        <f>IFERROR(__xludf.DUMMYFUNCTION("AVERAGE(QUERY(SORT(GOOGLEFINANCE(B1325,""price"",TODAY()-365,TODAY()),1,0),""select Col2 limit 10""))"),214.844)</f>
        <v>214.844</v>
      </c>
      <c r="J1325" s="17">
        <f>IFERROR(__xludf.DUMMYFUNCTION("AVERAGE(QUERY(SORT(GOOGLEFINANCE(B1325,""price"",TODAY()-365,TODAY()),1,0),""select Col2 limit 30""))"),202.72633333333337)</f>
        <v>202.7263333</v>
      </c>
      <c r="K1325" s="18">
        <f>IFERROR(__xludf.DUMMYFUNCTION("AVERAGE(QUERY(SORT(GOOGLEFINANCE(B1325,""price"",TODAY()-365,TODAY()),1,0),""select Col2 limit 60""))"),201.07450000000003)</f>
        <v>201.0745</v>
      </c>
      <c r="L1325" s="17">
        <f>IFERROR(__xludf.DUMMYFUNCTION("AVERAGE(QUERY(SORT(GOOGLEFINANCE(B1325,""price"",TODAY()-365,TODAY()),1,0),""select Col2 limit 90""))"),195.2588888888889)</f>
        <v>195.2588889</v>
      </c>
      <c r="M1325" s="17">
        <f>IFERROR(__xludf.DUMMYFUNCTION("AVERAGE(QUERY(SORT(GOOGLEFINANCE(B1325,""price"",TODAY()-365,TODAY()),1,0),""select Col2 limit 120""))"),196.95275)</f>
        <v>196.95275</v>
      </c>
      <c r="N1325" s="19">
        <f>IFERROR(__xludf.DUMMYFUNCTION("AVERAGE(QUERY(SORT(GOOGLEFINANCE(B1325,""price"",TODAY()-365,TODAY()),1,0),""select Col2 limit 200""))"),212.52185)</f>
        <v>212.52185</v>
      </c>
      <c r="O1325" s="20" t="str">
        <f t="shared" si="2"/>
        <v>Avoid</v>
      </c>
      <c r="P1325" s="21" t="str">
        <f t="shared" si="3"/>
        <v>200 DMA</v>
      </c>
      <c r="Q1325" s="21" t="str">
        <f t="shared" si="4"/>
        <v/>
      </c>
      <c r="R1325" s="22">
        <f>IFERROR(__xludf.DUMMYFUNCTION("GOOGLEFINANCE(B1325, ""pe"")
"),31.63)</f>
        <v>31.63</v>
      </c>
    </row>
    <row r="1326">
      <c r="A1326" s="9" t="s">
        <v>1336</v>
      </c>
      <c r="B1326" s="11" t="str">
        <f t="shared" si="1"/>
        <v>NSE:RGL</v>
      </c>
      <c r="C1326" s="12">
        <f>IFERROR(__xludf.DUMMYFUNCTION("GOOGLEFINANCE(B1326,""marketcap"")/10000000"),1215.5719397)</f>
        <v>1215.57194</v>
      </c>
      <c r="D1326" s="13">
        <f>IFERROR(__xludf.DUMMYFUNCTION("GOOGLEFINANCE(B1326,""price"")"),113.1)</f>
        <v>113.1</v>
      </c>
      <c r="E1326" s="14">
        <f>IFERROR(__xludf.DUMMYFUNCTION("GOOGLEFINANCE(B1326,""Volume"")"),85464.0)</f>
        <v>85464</v>
      </c>
      <c r="F1326" s="14">
        <f t="array" ref="F1326">F1325</f>
        <v>14</v>
      </c>
      <c r="G1326" s="15" t="str">
        <f>IFERROR(__xludf.DUMMYFUNCTION("IF(E1326&gt;AVERAGE(INDEX(GOOGLEFINANCE(B1326,""volume"",WORKDAY(TODAY(),-$F$1),TODAY()),,2)),""Breakout"","""")"),"")</f>
        <v/>
      </c>
      <c r="H1326" s="16">
        <f>IFERROR(__xludf.DUMMYFUNCTION("GOOGLEFINANCE(B1326,""price"")"),113.1)</f>
        <v>113.1</v>
      </c>
      <c r="I1326" s="17">
        <f>IFERROR(__xludf.DUMMYFUNCTION("AVERAGE(QUERY(SORT(GOOGLEFINANCE(B1326,""price"",TODAY()-365,TODAY()),1,0),""select Col2 limit 10""))"),117.522)</f>
        <v>117.522</v>
      </c>
      <c r="J1326" s="17">
        <f>IFERROR(__xludf.DUMMYFUNCTION("AVERAGE(QUERY(SORT(GOOGLEFINANCE(B1326,""price"",TODAY()-365,TODAY()),1,0),""select Col2 limit 30""))"),119.19533333333335)</f>
        <v>119.1953333</v>
      </c>
      <c r="K1326" s="18">
        <f>IFERROR(__xludf.DUMMYFUNCTION("AVERAGE(QUERY(SORT(GOOGLEFINANCE(B1326,""price"",TODAY()-365,TODAY()),1,0),""select Col2 limit 60""))"),122.037)</f>
        <v>122.037</v>
      </c>
      <c r="L1326" s="17">
        <f>IFERROR(__xludf.DUMMYFUNCTION("AVERAGE(QUERY(SORT(GOOGLEFINANCE(B1326,""price"",TODAY()-365,TODAY()),1,0),""select Col2 limit 90""))"),121.7613333333333)</f>
        <v>121.7613333</v>
      </c>
      <c r="M1326" s="17">
        <f>IFERROR(__xludf.DUMMYFUNCTION("AVERAGE(QUERY(SORT(GOOGLEFINANCE(B1326,""price"",TODAY()-365,TODAY()),1,0),""select Col2 limit 120""))"),126.87374999999997)</f>
        <v>126.87375</v>
      </c>
      <c r="N1326" s="19">
        <f>IFERROR(__xludf.DUMMYFUNCTION("AVERAGE(QUERY(SORT(GOOGLEFINANCE(B1326,""price"",TODAY()-365,TODAY()),1,0),""select Col2 limit 200""))"),145.80579999999998)</f>
        <v>145.8058</v>
      </c>
      <c r="O1326" s="20" t="str">
        <f t="shared" si="2"/>
        <v>Avoid</v>
      </c>
      <c r="P1326" s="21" t="str">
        <f t="shared" si="3"/>
        <v/>
      </c>
      <c r="Q1326" s="21" t="str">
        <f t="shared" si="4"/>
        <v/>
      </c>
      <c r="R1326" s="22">
        <f>IFERROR(__xludf.DUMMYFUNCTION("GOOGLEFINANCE(B1326, ""pe"")
"),14.82)</f>
        <v>14.82</v>
      </c>
    </row>
    <row r="1327">
      <c r="A1327" s="9" t="s">
        <v>1337</v>
      </c>
      <c r="B1327" s="11" t="str">
        <f t="shared" si="1"/>
        <v>NSE:AURUM</v>
      </c>
      <c r="C1327" s="12">
        <f>IFERROR(__xludf.DUMMYFUNCTION("GOOGLEFINANCE(B1327,""marketcap"")/10000000"),1984.2887658)</f>
        <v>1984.288766</v>
      </c>
      <c r="D1327" s="13">
        <f>IFERROR(__xludf.DUMMYFUNCTION("GOOGLEFINANCE(B1327,""price"")"),196.01)</f>
        <v>196.01</v>
      </c>
      <c r="E1327" s="14">
        <f>IFERROR(__xludf.DUMMYFUNCTION("GOOGLEFINANCE(B1327,""Volume"")"),63525.0)</f>
        <v>63525</v>
      </c>
      <c r="F1327" s="14">
        <f t="array" ref="F1327">F1326</f>
        <v>14</v>
      </c>
      <c r="G1327" s="15" t="str">
        <f>IFERROR(__xludf.DUMMYFUNCTION("IF(E1327&gt;AVERAGE(INDEX(GOOGLEFINANCE(B1327,""volume"",WORKDAY(TODAY(),-$F$1),TODAY()),,2)),""Breakout"","""")"),"")</f>
        <v/>
      </c>
      <c r="H1327" s="16">
        <f>IFERROR(__xludf.DUMMYFUNCTION("GOOGLEFINANCE(B1327,""price"")"),196.01)</f>
        <v>196.01</v>
      </c>
      <c r="I1327" s="17">
        <f>IFERROR(__xludf.DUMMYFUNCTION("AVERAGE(QUERY(SORT(GOOGLEFINANCE(B1327,""price"",TODAY()-365,TODAY()),1,0),""select Col2 limit 10""))"),199.52499999999998)</f>
        <v>199.525</v>
      </c>
      <c r="J1327" s="17">
        <f>IFERROR(__xludf.DUMMYFUNCTION("AVERAGE(QUERY(SORT(GOOGLEFINANCE(B1327,""price"",TODAY()-365,TODAY()),1,0),""select Col2 limit 30""))"),198.03799999999998)</f>
        <v>198.038</v>
      </c>
      <c r="K1327" s="18">
        <f>IFERROR(__xludf.DUMMYFUNCTION("AVERAGE(QUERY(SORT(GOOGLEFINANCE(B1327,""price"",TODAY()-365,TODAY()),1,0),""select Col2 limit 60""))"),194.79333333333335)</f>
        <v>194.7933333</v>
      </c>
      <c r="L1327" s="17">
        <f>IFERROR(__xludf.DUMMYFUNCTION("AVERAGE(QUERY(SORT(GOOGLEFINANCE(B1327,""price"",TODAY()-365,TODAY()),1,0),""select Col2 limit 90""))"),187.09655555555554)</f>
        <v>187.0965556</v>
      </c>
      <c r="M1327" s="17">
        <f>IFERROR(__xludf.DUMMYFUNCTION("AVERAGE(QUERY(SORT(GOOGLEFINANCE(B1327,""price"",TODAY()-365,TODAY()),1,0),""select Col2 limit 120""))"),186.82658333333333)</f>
        <v>186.8265833</v>
      </c>
      <c r="N1327" s="19">
        <f>IFERROR(__xludf.DUMMYFUNCTION("AVERAGE(QUERY(SORT(GOOGLEFINANCE(B1327,""price"",TODAY()-365,TODAY()),1,0),""select Col2 limit 200""))"),199.84634999999997)</f>
        <v>199.84635</v>
      </c>
      <c r="O1327" s="20" t="str">
        <f t="shared" si="2"/>
        <v>Avoid</v>
      </c>
      <c r="P1327" s="21" t="str">
        <f t="shared" si="3"/>
        <v/>
      </c>
      <c r="Q1327" s="21" t="str">
        <f t="shared" si="4"/>
        <v/>
      </c>
      <c r="R1327" s="22" t="str">
        <f>IFERROR(__xludf.DUMMYFUNCTION("GOOGLEFINANCE(B1327, ""pe"")
"),"#N/A")</f>
        <v>#N/A</v>
      </c>
    </row>
    <row r="1328">
      <c r="A1328" s="9" t="s">
        <v>1338</v>
      </c>
      <c r="B1328" s="11" t="str">
        <f t="shared" si="1"/>
        <v>NSE:ROHLTD</v>
      </c>
      <c r="C1328" s="12">
        <f>IFERROR(__xludf.DUMMYFUNCTION("GOOGLEFINANCE(B1328,""marketcap"")/10000000"),1143.2203124)</f>
        <v>1143.220312</v>
      </c>
      <c r="D1328" s="13">
        <f>IFERROR(__xludf.DUMMYFUNCTION("GOOGLEFINANCE(B1328,""price"")"),417.9)</f>
        <v>417.9</v>
      </c>
      <c r="E1328" s="14">
        <f>IFERROR(__xludf.DUMMYFUNCTION("GOOGLEFINANCE(B1328,""Volume"")"),25773.0)</f>
        <v>25773</v>
      </c>
      <c r="F1328" s="14">
        <f t="array" ref="F1328">F1327</f>
        <v>14</v>
      </c>
      <c r="G1328" s="15" t="str">
        <f>IFERROR(__xludf.DUMMYFUNCTION("IF(E1328&gt;AVERAGE(INDEX(GOOGLEFINANCE(B1328,""volume"",WORKDAY(TODAY(),-$F$1),TODAY()),,2)),""Breakout"","""")"),"")</f>
        <v/>
      </c>
      <c r="H1328" s="16">
        <f>IFERROR(__xludf.DUMMYFUNCTION("GOOGLEFINANCE(B1328,""price"")"),417.9)</f>
        <v>417.9</v>
      </c>
      <c r="I1328" s="17">
        <f>IFERROR(__xludf.DUMMYFUNCTION("AVERAGE(QUERY(SORT(GOOGLEFINANCE(B1328,""price"",TODAY()-365,TODAY()),1,0),""select Col2 limit 10""))"),421.62000000000006)</f>
        <v>421.62</v>
      </c>
      <c r="J1328" s="17">
        <f>IFERROR(__xludf.DUMMYFUNCTION("AVERAGE(QUERY(SORT(GOOGLEFINANCE(B1328,""price"",TODAY()-365,TODAY()),1,0),""select Col2 limit 30""))"),398.09166666666675)</f>
        <v>398.0916667</v>
      </c>
      <c r="K1328" s="18">
        <f>IFERROR(__xludf.DUMMYFUNCTION("AVERAGE(QUERY(SORT(GOOGLEFINANCE(B1328,""price"",TODAY()-365,TODAY()),1,0),""select Col2 limit 60""))"),384.3833333333334)</f>
        <v>384.3833333</v>
      </c>
      <c r="L1328" s="17">
        <f>IFERROR(__xludf.DUMMYFUNCTION("AVERAGE(QUERY(SORT(GOOGLEFINANCE(B1328,""price"",TODAY()-365,TODAY()),1,0),""select Col2 limit 90""))"),387.2966666666666)</f>
        <v>387.2966667</v>
      </c>
      <c r="M1328" s="17">
        <f>IFERROR(__xludf.DUMMYFUNCTION("AVERAGE(QUERY(SORT(GOOGLEFINANCE(B1328,""price"",TODAY()-365,TODAY()),1,0),""select Col2 limit 120""))"),380.7829166666665)</f>
        <v>380.7829167</v>
      </c>
      <c r="N1328" s="19">
        <f>IFERROR(__xludf.DUMMYFUNCTION("AVERAGE(QUERY(SORT(GOOGLEFINANCE(B1328,""price"",TODAY()-365,TODAY()),1,0),""select Col2 limit 200""))"),364.6439999999999)</f>
        <v>364.644</v>
      </c>
      <c r="O1328" s="20" t="str">
        <f t="shared" si="2"/>
        <v>Avoid</v>
      </c>
      <c r="P1328" s="21" t="str">
        <f t="shared" si="3"/>
        <v>10 DMA</v>
      </c>
      <c r="Q1328" s="21" t="str">
        <f t="shared" si="4"/>
        <v/>
      </c>
      <c r="R1328" s="22">
        <f>IFERROR(__xludf.DUMMYFUNCTION("GOOGLEFINANCE(B1328, ""pe"")
"),24.3)</f>
        <v>24.3</v>
      </c>
    </row>
    <row r="1329">
      <c r="A1329" s="9" t="s">
        <v>1339</v>
      </c>
      <c r="B1329" s="11" t="str">
        <f t="shared" si="1"/>
        <v>NSE:BODALCHEM</v>
      </c>
      <c r="C1329" s="12">
        <f>IFERROR(__xludf.DUMMYFUNCTION("GOOGLEFINANCE(B1329,""marketcap"")/10000000"),946.5951501)</f>
        <v>946.5951501</v>
      </c>
      <c r="D1329" s="13">
        <f>IFERROR(__xludf.DUMMYFUNCTION("GOOGLEFINANCE(B1329,""price"")"),75.12)</f>
        <v>75.12</v>
      </c>
      <c r="E1329" s="14">
        <f>IFERROR(__xludf.DUMMYFUNCTION("GOOGLEFINANCE(B1329,""Volume"")"),346384.0)</f>
        <v>346384</v>
      </c>
      <c r="F1329" s="14">
        <f t="array" ref="F1329">F1328</f>
        <v>14</v>
      </c>
      <c r="G1329" s="15" t="str">
        <f>IFERROR(__xludf.DUMMYFUNCTION("IF(E1329&gt;AVERAGE(INDEX(GOOGLEFINANCE(B1329,""volume"",WORKDAY(TODAY(),-$F$1),TODAY()),,2)),""Breakout"","""")"),"")</f>
        <v/>
      </c>
      <c r="H1329" s="16">
        <f>IFERROR(__xludf.DUMMYFUNCTION("GOOGLEFINANCE(B1329,""price"")"),75.12)</f>
        <v>75.12</v>
      </c>
      <c r="I1329" s="17">
        <f>IFERROR(__xludf.DUMMYFUNCTION("AVERAGE(QUERY(SORT(GOOGLEFINANCE(B1329,""price"",TODAY()-365,TODAY()),1,0),""select Col2 limit 10""))"),76.38300000000001)</f>
        <v>76.383</v>
      </c>
      <c r="J1329" s="17">
        <f>IFERROR(__xludf.DUMMYFUNCTION("AVERAGE(QUERY(SORT(GOOGLEFINANCE(B1329,""price"",TODAY()-365,TODAY()),1,0),""select Col2 limit 30""))"),74.76366666666667)</f>
        <v>74.76366667</v>
      </c>
      <c r="K1329" s="18">
        <f>IFERROR(__xludf.DUMMYFUNCTION("AVERAGE(QUERY(SORT(GOOGLEFINANCE(B1329,""price"",TODAY()-365,TODAY()),1,0),""select Col2 limit 60""))"),73.77383333333333)</f>
        <v>73.77383333</v>
      </c>
      <c r="L1329" s="17">
        <f>IFERROR(__xludf.DUMMYFUNCTION("AVERAGE(QUERY(SORT(GOOGLEFINANCE(B1329,""price"",TODAY()-365,TODAY()),1,0),""select Col2 limit 90""))"),70.55355555555555)</f>
        <v>70.55355556</v>
      </c>
      <c r="M1329" s="17">
        <f>IFERROR(__xludf.DUMMYFUNCTION("AVERAGE(QUERY(SORT(GOOGLEFINANCE(B1329,""price"",TODAY()-365,TODAY()),1,0),""select Col2 limit 120""))"),67.95441666666667)</f>
        <v>67.95441667</v>
      </c>
      <c r="N1329" s="19">
        <f>IFERROR(__xludf.DUMMYFUNCTION("AVERAGE(QUERY(SORT(GOOGLEFINANCE(B1329,""price"",TODAY()-365,TODAY()),1,0),""select Col2 limit 200""))"),69.7585)</f>
        <v>69.7585</v>
      </c>
      <c r="O1329" s="20" t="str">
        <f t="shared" si="2"/>
        <v>Avoid</v>
      </c>
      <c r="P1329" s="21" t="str">
        <f t="shared" si="3"/>
        <v/>
      </c>
      <c r="Q1329" s="21" t="str">
        <f t="shared" si="4"/>
        <v/>
      </c>
      <c r="R1329" s="22">
        <f>IFERROR(__xludf.DUMMYFUNCTION("GOOGLEFINANCE(B1329, ""pe"")
"),51.13)</f>
        <v>51.13</v>
      </c>
    </row>
    <row r="1330">
      <c r="A1330" s="9" t="s">
        <v>1340</v>
      </c>
      <c r="B1330" s="11" t="str">
        <f t="shared" si="1"/>
        <v>NSE:WEALTH</v>
      </c>
      <c r="C1330" s="12">
        <f>IFERROR(__xludf.DUMMYFUNCTION("GOOGLEFINANCE(B1330,""marketcap"")/10000000"),1261.6585239)</f>
        <v>1261.658524</v>
      </c>
      <c r="D1330" s="13">
        <f>IFERROR(__xludf.DUMMYFUNCTION("GOOGLEFINANCE(B1330,""price"")"),1184.1)</f>
        <v>1184.1</v>
      </c>
      <c r="E1330" s="14">
        <f>IFERROR(__xludf.DUMMYFUNCTION("GOOGLEFINANCE(B1330,""Volume"")"),1852.0)</f>
        <v>1852</v>
      </c>
      <c r="F1330" s="14">
        <f t="array" ref="F1330">F1329</f>
        <v>14</v>
      </c>
      <c r="G1330" s="15" t="str">
        <f>IFERROR(__xludf.DUMMYFUNCTION("IF(E1330&gt;AVERAGE(INDEX(GOOGLEFINANCE(B1330,""volume"",WORKDAY(TODAY(),-$F$1),TODAY()),,2)),""Breakout"","""")"),"")</f>
        <v/>
      </c>
      <c r="H1330" s="16">
        <f>IFERROR(__xludf.DUMMYFUNCTION("GOOGLEFINANCE(B1330,""price"")"),1184.1)</f>
        <v>1184.1</v>
      </c>
      <c r="I1330" s="17">
        <f>IFERROR(__xludf.DUMMYFUNCTION("AVERAGE(QUERY(SORT(GOOGLEFINANCE(B1330,""price"",TODAY()-365,TODAY()),1,0),""select Col2 limit 10""))"),1225.4200000000003)</f>
        <v>1225.42</v>
      </c>
      <c r="J1330" s="17">
        <f>IFERROR(__xludf.DUMMYFUNCTION("AVERAGE(QUERY(SORT(GOOGLEFINANCE(B1330,""price"",TODAY()-365,TODAY()),1,0),""select Col2 limit 30""))"),1224.3266666666668)</f>
        <v>1224.326667</v>
      </c>
      <c r="K1330" s="18">
        <f>IFERROR(__xludf.DUMMYFUNCTION("AVERAGE(QUERY(SORT(GOOGLEFINANCE(B1330,""price"",TODAY()-365,TODAY()),1,0),""select Col2 limit 60""))"),1092.6375000000003)</f>
        <v>1092.6375</v>
      </c>
      <c r="L1330" s="17">
        <f>IFERROR(__xludf.DUMMYFUNCTION("AVERAGE(QUERY(SORT(GOOGLEFINANCE(B1330,""price"",TODAY()-365,TODAY()),1,0),""select Col2 limit 90""))"),1038.6205555555557)</f>
        <v>1038.620556</v>
      </c>
      <c r="M1330" s="17">
        <f>IFERROR(__xludf.DUMMYFUNCTION("AVERAGE(QUERY(SORT(GOOGLEFINANCE(B1330,""price"",TODAY()-365,TODAY()),1,0),""select Col2 limit 120""))"),1027.5687500000001)</f>
        <v>1027.56875</v>
      </c>
      <c r="N1330" s="19">
        <f>IFERROR(__xludf.DUMMYFUNCTION("AVERAGE(QUERY(SORT(GOOGLEFINANCE(B1330,""price"",TODAY()-365,TODAY()),1,0),""select Col2 limit 200""))"),1207.7675000000004)</f>
        <v>1207.7675</v>
      </c>
      <c r="O1330" s="20" t="str">
        <f t="shared" si="2"/>
        <v>Avoid</v>
      </c>
      <c r="P1330" s="21" t="str">
        <f t="shared" si="3"/>
        <v/>
      </c>
      <c r="Q1330" s="21" t="str">
        <f t="shared" si="4"/>
        <v/>
      </c>
      <c r="R1330" s="22">
        <f>IFERROR(__xludf.DUMMYFUNCTION("GOOGLEFINANCE(B1330, ""pe"")
"),36.95)</f>
        <v>36.95</v>
      </c>
    </row>
    <row r="1331">
      <c r="A1331" s="9" t="s">
        <v>1341</v>
      </c>
      <c r="B1331" s="11" t="str">
        <f t="shared" si="1"/>
        <v>NSE:ELIN</v>
      </c>
      <c r="C1331" s="12">
        <f>IFERROR(__xludf.DUMMYFUNCTION("GOOGLEFINANCE(B1331,""marketcap"")/10000000"),863.0770849)</f>
        <v>863.0770849</v>
      </c>
      <c r="D1331" s="13">
        <f>IFERROR(__xludf.DUMMYFUNCTION("GOOGLEFINANCE(B1331,""price"")"),171.13)</f>
        <v>171.13</v>
      </c>
      <c r="E1331" s="14">
        <f>IFERROR(__xludf.DUMMYFUNCTION("GOOGLEFINANCE(B1331,""Volume"")"),44777.0)</f>
        <v>44777</v>
      </c>
      <c r="F1331" s="14">
        <f t="array" ref="F1331">F1330</f>
        <v>14</v>
      </c>
      <c r="G1331" s="15" t="str">
        <f>IFERROR(__xludf.DUMMYFUNCTION("IF(E1331&gt;AVERAGE(INDEX(GOOGLEFINANCE(B1331,""volume"",WORKDAY(TODAY(),-$F$1),TODAY()),,2)),""Breakout"","""")"),"Breakout")</f>
        <v>Breakout</v>
      </c>
      <c r="H1331" s="16">
        <f>IFERROR(__xludf.DUMMYFUNCTION("GOOGLEFINANCE(B1331,""price"")"),171.13)</f>
        <v>171.13</v>
      </c>
      <c r="I1331" s="17">
        <f>IFERROR(__xludf.DUMMYFUNCTION("AVERAGE(QUERY(SORT(GOOGLEFINANCE(B1331,""price"",TODAY()-365,TODAY()),1,0),""select Col2 limit 10""))"),183.955)</f>
        <v>183.955</v>
      </c>
      <c r="J1331" s="17">
        <f>IFERROR(__xludf.DUMMYFUNCTION("AVERAGE(QUERY(SORT(GOOGLEFINANCE(B1331,""price"",TODAY()-365,TODAY()),1,0),""select Col2 limit 30""))"),178.7126666666667)</f>
        <v>178.7126667</v>
      </c>
      <c r="K1331" s="18">
        <f>IFERROR(__xludf.DUMMYFUNCTION("AVERAGE(QUERY(SORT(GOOGLEFINANCE(B1331,""price"",TODAY()-365,TODAY()),1,0),""select Col2 limit 60""))"),172.5168333333334)</f>
        <v>172.5168333</v>
      </c>
      <c r="L1331" s="17">
        <f>IFERROR(__xludf.DUMMYFUNCTION("AVERAGE(QUERY(SORT(GOOGLEFINANCE(B1331,""price"",TODAY()-365,TODAY()),1,0),""select Col2 limit 90""))"),158.97844444444448)</f>
        <v>158.9784444</v>
      </c>
      <c r="M1331" s="17">
        <f>IFERROR(__xludf.DUMMYFUNCTION("AVERAGE(QUERY(SORT(GOOGLEFINANCE(B1331,""price"",TODAY()-365,TODAY()),1,0),""select Col2 limit 120""))"),152.44158333333334)</f>
        <v>152.4415833</v>
      </c>
      <c r="N1331" s="19">
        <f>IFERROR(__xludf.DUMMYFUNCTION("AVERAGE(QUERY(SORT(GOOGLEFINANCE(B1331,""price"",TODAY()-365,TODAY()),1,0),""select Col2 limit 200""))"),174.6599500000001)</f>
        <v>174.65995</v>
      </c>
      <c r="O1331" s="20" t="str">
        <f t="shared" si="2"/>
        <v>Avoid</v>
      </c>
      <c r="P1331" s="21" t="str">
        <f t="shared" si="3"/>
        <v>60 DMA</v>
      </c>
      <c r="Q1331" s="21" t="str">
        <f t="shared" si="4"/>
        <v/>
      </c>
      <c r="R1331" s="22">
        <f>IFERROR(__xludf.DUMMYFUNCTION("GOOGLEFINANCE(B1331, ""pe"")
"),28.45)</f>
        <v>28.45</v>
      </c>
    </row>
    <row r="1332">
      <c r="A1332" s="9" t="s">
        <v>1342</v>
      </c>
      <c r="B1332" s="11" t="str">
        <f t="shared" si="1"/>
        <v>NSE:DECCANCE</v>
      </c>
      <c r="C1332" s="12">
        <f>IFERROR(__xludf.DUMMYFUNCTION("GOOGLEFINANCE(B1332,""marketcap"")/10000000"),1472.0482091)</f>
        <v>1472.048209</v>
      </c>
      <c r="D1332" s="13">
        <f>IFERROR(__xludf.DUMMYFUNCTION("GOOGLEFINANCE(B1332,""price"")"),1051.35)</f>
        <v>1051.35</v>
      </c>
      <c r="E1332" s="14">
        <f>IFERROR(__xludf.DUMMYFUNCTION("GOOGLEFINANCE(B1332,""Volume"")"),32140.0)</f>
        <v>32140</v>
      </c>
      <c r="F1332" s="14">
        <f t="array" ref="F1332">F1331</f>
        <v>14</v>
      </c>
      <c r="G1332" s="15" t="str">
        <f>IFERROR(__xludf.DUMMYFUNCTION("IF(E1332&gt;AVERAGE(INDEX(GOOGLEFINANCE(B1332,""volume"",WORKDAY(TODAY(),-$F$1),TODAY()),,2)),""Breakout"","""")"),"")</f>
        <v/>
      </c>
      <c r="H1332" s="16">
        <f>IFERROR(__xludf.DUMMYFUNCTION("GOOGLEFINANCE(B1332,""price"")"),1051.35)</f>
        <v>1051.35</v>
      </c>
      <c r="I1332" s="17">
        <f>IFERROR(__xludf.DUMMYFUNCTION("AVERAGE(QUERY(SORT(GOOGLEFINANCE(B1332,""price"",TODAY()-365,TODAY()),1,0),""select Col2 limit 10""))"),1028.35)</f>
        <v>1028.35</v>
      </c>
      <c r="J1332" s="17">
        <f>IFERROR(__xludf.DUMMYFUNCTION("AVERAGE(QUERY(SORT(GOOGLEFINANCE(B1332,""price"",TODAY()-365,TODAY()),1,0),""select Col2 limit 30""))"),908.1833333333332)</f>
        <v>908.1833333</v>
      </c>
      <c r="K1332" s="18">
        <f>IFERROR(__xludf.DUMMYFUNCTION("AVERAGE(QUERY(SORT(GOOGLEFINANCE(B1332,""price"",TODAY()-365,TODAY()),1,0),""select Col2 limit 60""))"),831.779166666667)</f>
        <v>831.7791667</v>
      </c>
      <c r="L1332" s="17">
        <f>IFERROR(__xludf.DUMMYFUNCTION("AVERAGE(QUERY(SORT(GOOGLEFINANCE(B1332,""price"",TODAY()-365,TODAY()),1,0),""select Col2 limit 90""))"),814.5472222222223)</f>
        <v>814.5472222</v>
      </c>
      <c r="M1332" s="17">
        <f>IFERROR(__xludf.DUMMYFUNCTION("AVERAGE(QUERY(SORT(GOOGLEFINANCE(B1332,""price"",TODAY()-365,TODAY()),1,0),""select Col2 limit 120""))"),795.0595833333334)</f>
        <v>795.0595833</v>
      </c>
      <c r="N1332" s="19">
        <f>IFERROR(__xludf.DUMMYFUNCTION("AVERAGE(QUERY(SORT(GOOGLEFINANCE(B1332,""price"",TODAY()-365,TODAY()),1,0),""select Col2 limit 200""))"),728.7579999999999)</f>
        <v>728.758</v>
      </c>
      <c r="O1332" s="20" t="str">
        <f t="shared" si="2"/>
        <v>Avoid</v>
      </c>
      <c r="P1332" s="21" t="str">
        <f t="shared" si="3"/>
        <v/>
      </c>
      <c r="Q1332" s="21" t="str">
        <f t="shared" si="4"/>
        <v/>
      </c>
      <c r="R1332" s="22">
        <f>IFERROR(__xludf.DUMMYFUNCTION("GOOGLEFINANCE(B1332, ""pe"")
"),195.78)</f>
        <v>195.78</v>
      </c>
    </row>
    <row r="1333">
      <c r="A1333" s="9" t="s">
        <v>1343</v>
      </c>
      <c r="B1333" s="11" t="str">
        <f t="shared" si="1"/>
        <v>NSE:UGARSUGAR</v>
      </c>
      <c r="C1333" s="12">
        <f>IFERROR(__xludf.DUMMYFUNCTION("GOOGLEFINANCE(B1333,""marketcap"")/10000000"),502.3192025)</f>
        <v>502.3192025</v>
      </c>
      <c r="D1333" s="13">
        <f>IFERROR(__xludf.DUMMYFUNCTION("GOOGLEFINANCE(B1333,""price"")"),44.82)</f>
        <v>44.82</v>
      </c>
      <c r="E1333" s="14">
        <f>IFERROR(__xludf.DUMMYFUNCTION("GOOGLEFINANCE(B1333,""Volume"")"),57209.0)</f>
        <v>57209</v>
      </c>
      <c r="F1333" s="14">
        <f t="array" ref="F1333">F1332</f>
        <v>14</v>
      </c>
      <c r="G1333" s="15" t="str">
        <f>IFERROR(__xludf.DUMMYFUNCTION("IF(E1333&gt;AVERAGE(INDEX(GOOGLEFINANCE(B1333,""volume"",WORKDAY(TODAY(),-$F$1),TODAY()),,2)),""Breakout"","""")"),"")</f>
        <v/>
      </c>
      <c r="H1333" s="16">
        <f>IFERROR(__xludf.DUMMYFUNCTION("GOOGLEFINANCE(B1333,""price"")"),44.82)</f>
        <v>44.82</v>
      </c>
      <c r="I1333" s="17">
        <f>IFERROR(__xludf.DUMMYFUNCTION("AVERAGE(QUERY(SORT(GOOGLEFINANCE(B1333,""price"",TODAY()-365,TODAY()),1,0),""select Col2 limit 10""))"),47.63099999999999)</f>
        <v>47.631</v>
      </c>
      <c r="J1333" s="17">
        <f>IFERROR(__xludf.DUMMYFUNCTION("AVERAGE(QUERY(SORT(GOOGLEFINANCE(B1333,""price"",TODAY()-365,TODAY()),1,0),""select Col2 limit 30""))"),48.050666666666665)</f>
        <v>48.05066667</v>
      </c>
      <c r="K1333" s="18">
        <f>IFERROR(__xludf.DUMMYFUNCTION("AVERAGE(QUERY(SORT(GOOGLEFINANCE(B1333,""price"",TODAY()-365,TODAY()),1,0),""select Col2 limit 60""))"),47.76200000000001)</f>
        <v>47.762</v>
      </c>
      <c r="L1333" s="17">
        <f>IFERROR(__xludf.DUMMYFUNCTION("AVERAGE(QUERY(SORT(GOOGLEFINANCE(B1333,""price"",TODAY()-365,TODAY()),1,0),""select Col2 limit 90""))"),46.83444444444445)</f>
        <v>46.83444444</v>
      </c>
      <c r="M1333" s="17">
        <f>IFERROR(__xludf.DUMMYFUNCTION("AVERAGE(QUERY(SORT(GOOGLEFINANCE(B1333,""price"",TODAY()-365,TODAY()),1,0),""select Col2 limit 120""))"),47.14241666666667)</f>
        <v>47.14241667</v>
      </c>
      <c r="N1333" s="19">
        <f>IFERROR(__xludf.DUMMYFUNCTION("AVERAGE(QUERY(SORT(GOOGLEFINANCE(B1333,""price"",TODAY()-365,TODAY()),1,0),""select Col2 limit 200""))"),56.77170000000001)</f>
        <v>56.7717</v>
      </c>
      <c r="O1333" s="20" t="str">
        <f t="shared" si="2"/>
        <v>Avoid</v>
      </c>
      <c r="P1333" s="21" t="str">
        <f t="shared" si="3"/>
        <v/>
      </c>
      <c r="Q1333" s="21" t="str">
        <f t="shared" si="4"/>
        <v/>
      </c>
      <c r="R1333" s="22" t="str">
        <f>IFERROR(__xludf.DUMMYFUNCTION("GOOGLEFINANCE(B1333, ""pe"")
"),"#N/A")</f>
        <v>#N/A</v>
      </c>
    </row>
    <row r="1334">
      <c r="A1334" s="9" t="s">
        <v>1344</v>
      </c>
      <c r="B1334" s="11" t="str">
        <f t="shared" si="1"/>
        <v>NSE:KRITI</v>
      </c>
      <c r="C1334" s="12">
        <f>IFERROR(__xludf.DUMMYFUNCTION("GOOGLEFINANCE(B1334,""marketcap"")/10000000"),858.9448)</f>
        <v>858.9448</v>
      </c>
      <c r="D1334" s="13">
        <f>IFERROR(__xludf.DUMMYFUNCTION("GOOGLEFINANCE(B1334,""price"")"),163.0)</f>
        <v>163</v>
      </c>
      <c r="E1334" s="14">
        <f>IFERROR(__xludf.DUMMYFUNCTION("GOOGLEFINANCE(B1334,""Volume"")"),549.0)</f>
        <v>549</v>
      </c>
      <c r="F1334" s="14">
        <f t="array" ref="F1334">F1333</f>
        <v>14</v>
      </c>
      <c r="G1334" s="15" t="str">
        <f>IFERROR(__xludf.DUMMYFUNCTION("IF(E1334&gt;AVERAGE(INDEX(GOOGLEFINANCE(B1334,""volume"",WORKDAY(TODAY(),-$F$1),TODAY()),,2)),""Breakout"","""")"),"")</f>
        <v/>
      </c>
      <c r="H1334" s="16">
        <f>IFERROR(__xludf.DUMMYFUNCTION("GOOGLEFINANCE(B1334,""price"")"),163.0)</f>
        <v>163</v>
      </c>
      <c r="I1334" s="17">
        <f>IFERROR(__xludf.DUMMYFUNCTION("AVERAGE(QUERY(SORT(GOOGLEFINANCE(B1334,""price"",TODAY()-365,TODAY()),1,0),""select Col2 limit 10""))"),164.337)</f>
        <v>164.337</v>
      </c>
      <c r="J1334" s="17">
        <f>IFERROR(__xludf.DUMMYFUNCTION("AVERAGE(QUERY(SORT(GOOGLEFINANCE(B1334,""price"",TODAY()-365,TODAY()),1,0),""select Col2 limit 30""))"),160.08899999999997)</f>
        <v>160.089</v>
      </c>
      <c r="K1334" s="18">
        <f>IFERROR(__xludf.DUMMYFUNCTION("AVERAGE(QUERY(SORT(GOOGLEFINANCE(B1334,""price"",TODAY()-365,TODAY()),1,0),""select Col2 limit 60""))"),146.83299999999997)</f>
        <v>146.833</v>
      </c>
      <c r="L1334" s="17">
        <f>IFERROR(__xludf.DUMMYFUNCTION("AVERAGE(QUERY(SORT(GOOGLEFINANCE(B1334,""price"",TODAY()-365,TODAY()),1,0),""select Col2 limit 90""))"),132.44055555555556)</f>
        <v>132.4405556</v>
      </c>
      <c r="M1334" s="17">
        <f>IFERROR(__xludf.DUMMYFUNCTION("AVERAGE(QUERY(SORT(GOOGLEFINANCE(B1334,""price"",TODAY()-365,TODAY()),1,0),""select Col2 limit 120""))"),128.81391666666667)</f>
        <v>128.8139167</v>
      </c>
      <c r="N1334" s="19">
        <f>IFERROR(__xludf.DUMMYFUNCTION("AVERAGE(QUERY(SORT(GOOGLEFINANCE(B1334,""price"",TODAY()-365,TODAY()),1,0),""select Col2 limit 200""))"),147.00095000000002)</f>
        <v>147.00095</v>
      </c>
      <c r="O1334" s="20" t="str">
        <f t="shared" si="2"/>
        <v>Avoid</v>
      </c>
      <c r="P1334" s="21" t="str">
        <f t="shared" si="3"/>
        <v>10 DMA</v>
      </c>
      <c r="Q1334" s="21" t="str">
        <f t="shared" si="4"/>
        <v/>
      </c>
      <c r="R1334" s="22" t="str">
        <f>IFERROR(__xludf.DUMMYFUNCTION("GOOGLEFINANCE(B1334, ""pe"")
"),"#N/A")</f>
        <v>#N/A</v>
      </c>
    </row>
    <row r="1335">
      <c r="A1335" s="9" t="s">
        <v>1345</v>
      </c>
      <c r="B1335" s="11" t="str">
        <f t="shared" si="1"/>
        <v>NSE:GSLSU</v>
      </c>
      <c r="C1335" s="12">
        <f>IFERROR(__xludf.DUMMYFUNCTION("GOOGLEFINANCE(B1335,""marketcap"")/10000000"),499.3000932)</f>
        <v>499.3000932</v>
      </c>
      <c r="D1335" s="13">
        <f>IFERROR(__xludf.DUMMYFUNCTION("GOOGLEFINANCE(B1335,""price"")"),117.81)</f>
        <v>117.81</v>
      </c>
      <c r="E1335" s="14">
        <f>IFERROR(__xludf.DUMMYFUNCTION("GOOGLEFINANCE(B1335,""Volume"")"),27981.0)</f>
        <v>27981</v>
      </c>
      <c r="F1335" s="14">
        <f t="array" ref="F1335">F1334</f>
        <v>14</v>
      </c>
      <c r="G1335" s="15" t="str">
        <f>IFERROR(__xludf.DUMMYFUNCTION("IF(E1335&gt;AVERAGE(INDEX(GOOGLEFINANCE(B1335,""volume"",WORKDAY(TODAY(),-$F$1),TODAY()),,2)),""Breakout"","""")"),"")</f>
        <v/>
      </c>
      <c r="H1335" s="16">
        <f>IFERROR(__xludf.DUMMYFUNCTION("GOOGLEFINANCE(B1335,""price"")"),117.81)</f>
        <v>117.81</v>
      </c>
      <c r="I1335" s="17">
        <f>IFERROR(__xludf.DUMMYFUNCTION("AVERAGE(QUERY(SORT(GOOGLEFINANCE(B1335,""price"",TODAY()-365,TODAY()),1,0),""select Col2 limit 10""))"),122.85800000000002)</f>
        <v>122.858</v>
      </c>
      <c r="J1335" s="17">
        <f>IFERROR(__xludf.DUMMYFUNCTION("AVERAGE(QUERY(SORT(GOOGLEFINANCE(B1335,""price"",TODAY()-365,TODAY()),1,0),""select Col2 limit 30""))"),119.511)</f>
        <v>119.511</v>
      </c>
      <c r="K1335" s="18">
        <f>IFERROR(__xludf.DUMMYFUNCTION("AVERAGE(QUERY(SORT(GOOGLEFINANCE(B1335,""price"",TODAY()-365,TODAY()),1,0),""select Col2 limit 60""))"),121.6245)</f>
        <v>121.6245</v>
      </c>
      <c r="L1335" s="17">
        <f>IFERROR(__xludf.DUMMYFUNCTION("AVERAGE(QUERY(SORT(GOOGLEFINANCE(B1335,""price"",TODAY()-365,TODAY()),1,0),""select Col2 limit 90""))"),119.15855555555557)</f>
        <v>119.1585556</v>
      </c>
      <c r="M1335" s="17">
        <f>IFERROR(__xludf.DUMMYFUNCTION("AVERAGE(QUERY(SORT(GOOGLEFINANCE(B1335,""price"",TODAY()-365,TODAY()),1,0),""select Col2 limit 120""))"),119.00216666666665)</f>
        <v>119.0021667</v>
      </c>
      <c r="N1335" s="19">
        <f>IFERROR(__xludf.DUMMYFUNCTION("AVERAGE(QUERY(SORT(GOOGLEFINANCE(B1335,""price"",TODAY()-365,TODAY()),1,0),""select Col2 limit 200""))"),141.52015000000006)</f>
        <v>141.52015</v>
      </c>
      <c r="O1335" s="20" t="str">
        <f t="shared" si="2"/>
        <v>Avoid</v>
      </c>
      <c r="P1335" s="21" t="str">
        <f t="shared" si="3"/>
        <v/>
      </c>
      <c r="Q1335" s="21" t="str">
        <f t="shared" si="4"/>
        <v/>
      </c>
      <c r="R1335" s="22" t="str">
        <f>IFERROR(__xludf.DUMMYFUNCTION("GOOGLEFINANCE(B1335, ""pe"")
"),"#N/A")</f>
        <v>#N/A</v>
      </c>
    </row>
    <row r="1336">
      <c r="A1336" s="9" t="s">
        <v>1346</v>
      </c>
      <c r="B1336" s="11" t="str">
        <f t="shared" si="1"/>
        <v>NSE:TBZ</v>
      </c>
      <c r="C1336" s="12">
        <f>IFERROR(__xludf.DUMMYFUNCTION("GOOGLEFINANCE(B1336,""marketcap"")/10000000"),1265.9466368)</f>
        <v>1265.946637</v>
      </c>
      <c r="D1336" s="13">
        <f>IFERROR(__xludf.DUMMYFUNCTION("GOOGLEFINANCE(B1336,""price"")"),189.75)</f>
        <v>189.75</v>
      </c>
      <c r="E1336" s="14">
        <f>IFERROR(__xludf.DUMMYFUNCTION("GOOGLEFINANCE(B1336,""Volume"")"),68298.0)</f>
        <v>68298</v>
      </c>
      <c r="F1336" s="14">
        <f t="array" ref="F1336">F1335</f>
        <v>14</v>
      </c>
      <c r="G1336" s="15" t="str">
        <f>IFERROR(__xludf.DUMMYFUNCTION("IF(E1336&gt;AVERAGE(INDEX(GOOGLEFINANCE(B1336,""volume"",WORKDAY(TODAY(),-$F$1),TODAY()),,2)),""Breakout"","""")"),"")</f>
        <v/>
      </c>
      <c r="H1336" s="16">
        <f>IFERROR(__xludf.DUMMYFUNCTION("GOOGLEFINANCE(B1336,""price"")"),189.75)</f>
        <v>189.75</v>
      </c>
      <c r="I1336" s="17">
        <f>IFERROR(__xludf.DUMMYFUNCTION("AVERAGE(QUERY(SORT(GOOGLEFINANCE(B1336,""price"",TODAY()-365,TODAY()),1,0),""select Col2 limit 10""))"),195.989)</f>
        <v>195.989</v>
      </c>
      <c r="J1336" s="17">
        <f>IFERROR(__xludf.DUMMYFUNCTION("AVERAGE(QUERY(SORT(GOOGLEFINANCE(B1336,""price"",TODAY()-365,TODAY()),1,0),""select Col2 limit 30""))"),191.44833333333332)</f>
        <v>191.4483333</v>
      </c>
      <c r="K1336" s="18">
        <f>IFERROR(__xludf.DUMMYFUNCTION("AVERAGE(QUERY(SORT(GOOGLEFINANCE(B1336,""price"",TODAY()-365,TODAY()),1,0),""select Col2 limit 60""))"),193.41416666666663)</f>
        <v>193.4141667</v>
      </c>
      <c r="L1336" s="17">
        <f>IFERROR(__xludf.DUMMYFUNCTION("AVERAGE(QUERY(SORT(GOOGLEFINANCE(B1336,""price"",TODAY()-365,TODAY()),1,0),""select Col2 limit 90""))"),192.874111111111)</f>
        <v>192.8741111</v>
      </c>
      <c r="M1336" s="17">
        <f>IFERROR(__xludf.DUMMYFUNCTION("AVERAGE(QUERY(SORT(GOOGLEFINANCE(B1336,""price"",TODAY()-365,TODAY()),1,0),""select Col2 limit 120""))"),189.01883333333333)</f>
        <v>189.0188333</v>
      </c>
      <c r="N1336" s="19">
        <f>IFERROR(__xludf.DUMMYFUNCTION("AVERAGE(QUERY(SORT(GOOGLEFINANCE(B1336,""price"",TODAY()-365,TODAY()),1,0),""select Col2 limit 200""))"),212.25280000000012)</f>
        <v>212.2528</v>
      </c>
      <c r="O1336" s="20" t="str">
        <f t="shared" si="2"/>
        <v>Avoid</v>
      </c>
      <c r="P1336" s="21" t="str">
        <f t="shared" si="3"/>
        <v>30 DMA</v>
      </c>
      <c r="Q1336" s="21" t="str">
        <f t="shared" si="4"/>
        <v/>
      </c>
      <c r="R1336" s="22">
        <f>IFERROR(__xludf.DUMMYFUNCTION("GOOGLEFINANCE(B1336, ""pe"")
"),18.51)</f>
        <v>18.51</v>
      </c>
    </row>
    <row r="1337">
      <c r="A1337" s="9" t="s">
        <v>1347</v>
      </c>
      <c r="B1337" s="11" t="str">
        <f t="shared" si="1"/>
        <v>NSE:SBC</v>
      </c>
      <c r="C1337" s="12">
        <f>IFERROR(__xludf.DUMMYFUNCTION("GOOGLEFINANCE(B1337,""marketcap"")/10000000"),817.1420327)</f>
        <v>817.1420327</v>
      </c>
      <c r="D1337" s="13">
        <f>IFERROR(__xludf.DUMMYFUNCTION("GOOGLEFINANCE(B1337,""price"")"),17.14)</f>
        <v>17.14</v>
      </c>
      <c r="E1337" s="14">
        <f>IFERROR(__xludf.DUMMYFUNCTION("GOOGLEFINANCE(B1337,""Volume"")"),1588273.0)</f>
        <v>1588273</v>
      </c>
      <c r="F1337" s="14">
        <f t="array" ref="F1337">F1336</f>
        <v>14</v>
      </c>
      <c r="G1337" s="15" t="str">
        <f>IFERROR(__xludf.DUMMYFUNCTION("IF(E1337&gt;AVERAGE(INDEX(GOOGLEFINANCE(B1337,""volume"",WORKDAY(TODAY(),-$F$1),TODAY()),,2)),""Breakout"","""")"),"")</f>
        <v/>
      </c>
      <c r="H1337" s="16">
        <f>IFERROR(__xludf.DUMMYFUNCTION("GOOGLEFINANCE(B1337,""price"")"),17.14)</f>
        <v>17.14</v>
      </c>
      <c r="I1337" s="17">
        <f>IFERROR(__xludf.DUMMYFUNCTION("AVERAGE(QUERY(SORT(GOOGLEFINANCE(B1337,""price"",TODAY()-365,TODAY()),1,0),""select Col2 limit 10""))"),16.497)</f>
        <v>16.497</v>
      </c>
      <c r="J1337" s="17">
        <f>IFERROR(__xludf.DUMMYFUNCTION("AVERAGE(QUERY(SORT(GOOGLEFINANCE(B1337,""price"",TODAY()-365,TODAY()),1,0),""select Col2 limit 30""))"),15.479999999999999)</f>
        <v>15.48</v>
      </c>
      <c r="K1337" s="18">
        <f>IFERROR(__xludf.DUMMYFUNCTION("AVERAGE(QUERY(SORT(GOOGLEFINANCE(B1337,""price"",TODAY()-365,TODAY()),1,0),""select Col2 limit 60""))"),14.92433333333333)</f>
        <v>14.92433333</v>
      </c>
      <c r="L1337" s="17">
        <f>IFERROR(__xludf.DUMMYFUNCTION("AVERAGE(QUERY(SORT(GOOGLEFINANCE(B1337,""price"",TODAY()-365,TODAY()),1,0),""select Col2 limit 90""))"),14.306666666666668)</f>
        <v>14.30666667</v>
      </c>
      <c r="M1337" s="17">
        <f>IFERROR(__xludf.DUMMYFUNCTION("AVERAGE(QUERY(SORT(GOOGLEFINANCE(B1337,""price"",TODAY()-365,TODAY()),1,0),""select Col2 limit 120""))"),14.022833333333335)</f>
        <v>14.02283333</v>
      </c>
      <c r="N1337" s="19">
        <f>IFERROR(__xludf.DUMMYFUNCTION("AVERAGE(QUERY(SORT(GOOGLEFINANCE(B1337,""price"",TODAY()-365,TODAY()),1,0),""select Col2 limit 200""))"),15.77345)</f>
        <v>15.77345</v>
      </c>
      <c r="O1337" s="20" t="str">
        <f t="shared" si="2"/>
        <v>Avoid</v>
      </c>
      <c r="P1337" s="21" t="str">
        <f t="shared" si="3"/>
        <v/>
      </c>
      <c r="Q1337" s="21" t="str">
        <f t="shared" si="4"/>
        <v/>
      </c>
      <c r="R1337" s="22">
        <f>IFERROR(__xludf.DUMMYFUNCTION("GOOGLEFINANCE(B1337, ""pe"")
"),61.25)</f>
        <v>61.25</v>
      </c>
    </row>
    <row r="1338">
      <c r="A1338" s="9" t="s">
        <v>1348</v>
      </c>
      <c r="B1338" s="11" t="str">
        <f t="shared" si="1"/>
        <v>NSE:ASIANTILES</v>
      </c>
      <c r="C1338" s="12">
        <f>IFERROR(__xludf.DUMMYFUNCTION("GOOGLEFINANCE(B1338,""marketcap"")/10000000"),1318.8818131)</f>
        <v>1318.881813</v>
      </c>
      <c r="D1338" s="13">
        <f>IFERROR(__xludf.DUMMYFUNCTION("GOOGLEFINANCE(B1338,""price"")"),56.89)</f>
        <v>56.89</v>
      </c>
      <c r="E1338" s="14">
        <f>IFERROR(__xludf.DUMMYFUNCTION("GOOGLEFINANCE(B1338,""Volume"")"),78139.0)</f>
        <v>78139</v>
      </c>
      <c r="F1338" s="14">
        <f t="array" ref="F1338">F1337</f>
        <v>14</v>
      </c>
      <c r="G1338" s="15" t="str">
        <f>IFERROR(__xludf.DUMMYFUNCTION("IF(E1338&gt;AVERAGE(INDEX(GOOGLEFINANCE(B1338,""volume"",WORKDAY(TODAY(),-$F$1),TODAY()),,2)),""Breakout"","""")"),"")</f>
        <v/>
      </c>
      <c r="H1338" s="16">
        <f>IFERROR(__xludf.DUMMYFUNCTION("GOOGLEFINANCE(B1338,""price"")"),56.89)</f>
        <v>56.89</v>
      </c>
      <c r="I1338" s="17">
        <f>IFERROR(__xludf.DUMMYFUNCTION("AVERAGE(QUERY(SORT(GOOGLEFINANCE(B1338,""price"",TODAY()-365,TODAY()),1,0),""select Col2 limit 10""))"),60.979)</f>
        <v>60.979</v>
      </c>
      <c r="J1338" s="17">
        <f>IFERROR(__xludf.DUMMYFUNCTION("AVERAGE(QUERY(SORT(GOOGLEFINANCE(B1338,""price"",TODAY()-365,TODAY()),1,0),""select Col2 limit 30""))"),63.61066666666664)</f>
        <v>63.61066667</v>
      </c>
      <c r="K1338" s="18">
        <f>IFERROR(__xludf.DUMMYFUNCTION("AVERAGE(QUERY(SORT(GOOGLEFINANCE(B1338,""price"",TODAY()-365,TODAY()),1,0),""select Col2 limit 60""))"),58.140333333333324)</f>
        <v>58.14033333</v>
      </c>
      <c r="L1338" s="17">
        <f>IFERROR(__xludf.DUMMYFUNCTION("AVERAGE(QUERY(SORT(GOOGLEFINANCE(B1338,""price"",TODAY()-365,TODAY()),1,0),""select Col2 limit 90""))"),53.558000000000014)</f>
        <v>53.558</v>
      </c>
      <c r="M1338" s="17">
        <f>IFERROR(__xludf.DUMMYFUNCTION("AVERAGE(QUERY(SORT(GOOGLEFINANCE(B1338,""price"",TODAY()-365,TODAY()),1,0),""select Col2 limit 120""))"),53.104499999999994)</f>
        <v>53.1045</v>
      </c>
      <c r="N1338" s="19">
        <f>IFERROR(__xludf.DUMMYFUNCTION("AVERAGE(QUERY(SORT(GOOGLEFINANCE(B1338,""price"",TODAY()-365,TODAY()),1,0),""select Col2 limit 200""))"),59.76045000000001)</f>
        <v>59.76045</v>
      </c>
      <c r="O1338" s="20" t="str">
        <f t="shared" si="2"/>
        <v>Avoid</v>
      </c>
      <c r="P1338" s="21" t="str">
        <f t="shared" si="3"/>
        <v/>
      </c>
      <c r="Q1338" s="21" t="str">
        <f t="shared" si="4"/>
        <v/>
      </c>
      <c r="R1338" s="22">
        <f>IFERROR(__xludf.DUMMYFUNCTION("GOOGLEFINANCE(B1338, ""pe"")
"),27.96)</f>
        <v>27.96</v>
      </c>
    </row>
    <row r="1339">
      <c r="A1339" s="9" t="s">
        <v>1349</v>
      </c>
      <c r="B1339" s="11" t="str">
        <f t="shared" si="1"/>
        <v>NSE:ELDEHSG</v>
      </c>
      <c r="C1339" s="12">
        <f>IFERROR(__xludf.DUMMYFUNCTION("GOOGLEFINANCE(B1339,""marketcap"")/10000000"),737.474925)</f>
        <v>737.474925</v>
      </c>
      <c r="D1339" s="13">
        <f>IFERROR(__xludf.DUMMYFUNCTION("GOOGLEFINANCE(B1339,""price"")"),750.0)</f>
        <v>750</v>
      </c>
      <c r="E1339" s="14">
        <f>IFERROR(__xludf.DUMMYFUNCTION("GOOGLEFINANCE(B1339,""Volume"")"),84.0)</f>
        <v>84</v>
      </c>
      <c r="F1339" s="14">
        <f t="array" ref="F1339">F1338</f>
        <v>14</v>
      </c>
      <c r="G1339" s="15" t="str">
        <f>IFERROR(__xludf.DUMMYFUNCTION("IF(E1339&gt;AVERAGE(INDEX(GOOGLEFINANCE(B1339,""volume"",WORKDAY(TODAY(),-$F$1),TODAY()),,2)),""Breakout"","""")"),"")</f>
        <v/>
      </c>
      <c r="H1339" s="16">
        <f>IFERROR(__xludf.DUMMYFUNCTION("GOOGLEFINANCE(B1339,""price"")"),750.0)</f>
        <v>750</v>
      </c>
      <c r="I1339" s="17">
        <f>IFERROR(__xludf.DUMMYFUNCTION("AVERAGE(QUERY(SORT(GOOGLEFINANCE(B1339,""price"",TODAY()-365,TODAY()),1,0),""select Col2 limit 10""))"),772.47)</f>
        <v>772.47</v>
      </c>
      <c r="J1339" s="17">
        <f>IFERROR(__xludf.DUMMYFUNCTION("AVERAGE(QUERY(SORT(GOOGLEFINANCE(B1339,""price"",TODAY()-365,TODAY()),1,0),""select Col2 limit 30""))"),788.3716666666667)</f>
        <v>788.3716667</v>
      </c>
      <c r="K1339" s="18">
        <f>IFERROR(__xludf.DUMMYFUNCTION("AVERAGE(QUERY(SORT(GOOGLEFINANCE(B1339,""price"",TODAY()-365,TODAY()),1,0),""select Col2 limit 60""))"),801.030833333333)</f>
        <v>801.0308333</v>
      </c>
      <c r="L1339" s="17">
        <f>IFERROR(__xludf.DUMMYFUNCTION("AVERAGE(QUERY(SORT(GOOGLEFINANCE(B1339,""price"",TODAY()-365,TODAY()),1,0),""select Col2 limit 90""))"),784.1094444444441)</f>
        <v>784.1094444</v>
      </c>
      <c r="M1339" s="17">
        <f>IFERROR(__xludf.DUMMYFUNCTION("AVERAGE(QUERY(SORT(GOOGLEFINANCE(B1339,""price"",TODAY()-365,TODAY()),1,0),""select Col2 limit 120""))"),776.6345833333334)</f>
        <v>776.6345833</v>
      </c>
      <c r="N1339" s="19">
        <f>IFERROR(__xludf.DUMMYFUNCTION("AVERAGE(QUERY(SORT(GOOGLEFINANCE(B1339,""price"",TODAY()-365,TODAY()),1,0),""select Col2 limit 200""))"),806.2542500000002)</f>
        <v>806.25425</v>
      </c>
      <c r="O1339" s="20" t="str">
        <f t="shared" si="2"/>
        <v>Avoid</v>
      </c>
      <c r="P1339" s="21" t="str">
        <f t="shared" si="3"/>
        <v/>
      </c>
      <c r="Q1339" s="21" t="str">
        <f t="shared" si="4"/>
        <v/>
      </c>
      <c r="R1339" s="22">
        <f>IFERROR(__xludf.DUMMYFUNCTION("GOOGLEFINANCE(B1339, ""pe"")
"),34.29)</f>
        <v>34.29</v>
      </c>
    </row>
    <row r="1340">
      <c r="A1340" s="9" t="s">
        <v>1350</v>
      </c>
      <c r="B1340" s="11" t="str">
        <f t="shared" si="1"/>
        <v>NSE:RUSHIL</v>
      </c>
      <c r="C1340" s="12">
        <f>IFERROR(__xludf.DUMMYFUNCTION("GOOGLEFINANCE(B1340,""marketcap"")/10000000"),743.5181756)</f>
        <v>743.5181756</v>
      </c>
      <c r="D1340" s="13">
        <f>IFERROR(__xludf.DUMMYFUNCTION("GOOGLEFINANCE(B1340,""price"")"),25.4)</f>
        <v>25.4</v>
      </c>
      <c r="E1340" s="14">
        <f>IFERROR(__xludf.DUMMYFUNCTION("GOOGLEFINANCE(B1340,""Volume"")"),469004.0)</f>
        <v>469004</v>
      </c>
      <c r="F1340" s="14">
        <f t="array" ref="F1340">F1339</f>
        <v>14</v>
      </c>
      <c r="G1340" s="15" t="str">
        <f>IFERROR(__xludf.DUMMYFUNCTION("IF(E1340&gt;AVERAGE(INDEX(GOOGLEFINANCE(B1340,""volume"",WORKDAY(TODAY(),-$F$1),TODAY()),,2)),""Breakout"","""")"),"Breakout")</f>
        <v>Breakout</v>
      </c>
      <c r="H1340" s="16">
        <f>IFERROR(__xludf.DUMMYFUNCTION("GOOGLEFINANCE(B1340,""price"")"),25.4)</f>
        <v>25.4</v>
      </c>
      <c r="I1340" s="17">
        <f>IFERROR(__xludf.DUMMYFUNCTION("AVERAGE(QUERY(SORT(GOOGLEFINANCE(B1340,""price"",TODAY()-365,TODAY()),1,0),""select Col2 limit 10""))"),27.371)</f>
        <v>27.371</v>
      </c>
      <c r="J1340" s="17">
        <f>IFERROR(__xludf.DUMMYFUNCTION("AVERAGE(QUERY(SORT(GOOGLEFINANCE(B1340,""price"",TODAY()-365,TODAY()),1,0),""select Col2 limit 30""))"),28.293999999999997)</f>
        <v>28.294</v>
      </c>
      <c r="K1340" s="18">
        <f>IFERROR(__xludf.DUMMYFUNCTION("AVERAGE(QUERY(SORT(GOOGLEFINANCE(B1340,""price"",TODAY()-365,TODAY()),1,0),""select Col2 limit 60""))"),27.568)</f>
        <v>27.568</v>
      </c>
      <c r="L1340" s="17">
        <f>IFERROR(__xludf.DUMMYFUNCTION("AVERAGE(QUERY(SORT(GOOGLEFINANCE(B1340,""price"",TODAY()-365,TODAY()),1,0),""select Col2 limit 90""))"),26.002444444444446)</f>
        <v>26.00244444</v>
      </c>
      <c r="M1340" s="17">
        <f>IFERROR(__xludf.DUMMYFUNCTION("AVERAGE(QUERY(SORT(GOOGLEFINANCE(B1340,""price"",TODAY()-365,TODAY()),1,0),""select Col2 limit 120""))"),26.222666666666665)</f>
        <v>26.22266667</v>
      </c>
      <c r="N1340" s="19">
        <f>IFERROR(__xludf.DUMMYFUNCTION("AVERAGE(QUERY(SORT(GOOGLEFINANCE(B1340,""price"",TODAY()-365,TODAY()),1,0),""select Col2 limit 200""))"),28.918049999999994)</f>
        <v>28.91805</v>
      </c>
      <c r="O1340" s="20" t="str">
        <f t="shared" si="2"/>
        <v>Avoid</v>
      </c>
      <c r="P1340" s="21" t="str">
        <f t="shared" si="3"/>
        <v/>
      </c>
      <c r="Q1340" s="21" t="str">
        <f t="shared" si="4"/>
        <v/>
      </c>
      <c r="R1340" s="22">
        <f>IFERROR(__xludf.DUMMYFUNCTION("GOOGLEFINANCE(B1340, ""pe"")
"),15.58)</f>
        <v>15.58</v>
      </c>
    </row>
    <row r="1341">
      <c r="A1341" s="9" t="s">
        <v>1351</v>
      </c>
      <c r="B1341" s="11" t="str">
        <f t="shared" si="1"/>
        <v>NSE:JINDALPHOT</v>
      </c>
      <c r="C1341" s="12">
        <f>IFERROR(__xludf.DUMMYFUNCTION("GOOGLEFINANCE(B1341,""marketcap"")/10000000"),903.245076)</f>
        <v>903.245076</v>
      </c>
      <c r="D1341" s="13">
        <f>IFERROR(__xludf.DUMMYFUNCTION("GOOGLEFINANCE(B1341,""price"")"),860.0)</f>
        <v>860</v>
      </c>
      <c r="E1341" s="14">
        <f>IFERROR(__xludf.DUMMYFUNCTION("GOOGLEFINANCE(B1341,""Volume"")"),3408.0)</f>
        <v>3408</v>
      </c>
      <c r="F1341" s="14">
        <f t="array" ref="F1341">F1340</f>
        <v>14</v>
      </c>
      <c r="G1341" s="15" t="str">
        <f>IFERROR(__xludf.DUMMYFUNCTION("IF(E1341&gt;AVERAGE(INDEX(GOOGLEFINANCE(B1341,""volume"",WORKDAY(TODAY(),-$F$1),TODAY()),,2)),""Breakout"","""")"),"Breakout")</f>
        <v>Breakout</v>
      </c>
      <c r="H1341" s="16">
        <f>IFERROR(__xludf.DUMMYFUNCTION("GOOGLEFINANCE(B1341,""price"")"),860.0)</f>
        <v>860</v>
      </c>
      <c r="I1341" s="17">
        <f>IFERROR(__xludf.DUMMYFUNCTION("AVERAGE(QUERY(SORT(GOOGLEFINANCE(B1341,""price"",TODAY()-365,TODAY()),1,0),""select Col2 limit 10""))"),877.99)</f>
        <v>877.99</v>
      </c>
      <c r="J1341" s="17">
        <f>IFERROR(__xludf.DUMMYFUNCTION("AVERAGE(QUERY(SORT(GOOGLEFINANCE(B1341,""price"",TODAY()-365,TODAY()),1,0),""select Col2 limit 30""))"),911.265)</f>
        <v>911.265</v>
      </c>
      <c r="K1341" s="18">
        <f>IFERROR(__xludf.DUMMYFUNCTION("AVERAGE(QUERY(SORT(GOOGLEFINANCE(B1341,""price"",TODAY()-365,TODAY()),1,0),""select Col2 limit 60""))"),902.2008333333335)</f>
        <v>902.2008333</v>
      </c>
      <c r="L1341" s="17">
        <f>IFERROR(__xludf.DUMMYFUNCTION("AVERAGE(QUERY(SORT(GOOGLEFINANCE(B1341,""price"",TODAY()-365,TODAY()),1,0),""select Col2 limit 90""))"),843.315)</f>
        <v>843.315</v>
      </c>
      <c r="M1341" s="17">
        <f>IFERROR(__xludf.DUMMYFUNCTION("AVERAGE(QUERY(SORT(GOOGLEFINANCE(B1341,""price"",TODAY()-365,TODAY()),1,0),""select Col2 limit 120""))"),789.8020833333336)</f>
        <v>789.8020833</v>
      </c>
      <c r="N1341" s="19">
        <f>IFERROR(__xludf.DUMMYFUNCTION("AVERAGE(QUERY(SORT(GOOGLEFINANCE(B1341,""price"",TODAY()-365,TODAY()),1,0),""select Col2 limit 200""))"),797.5927500000004)</f>
        <v>797.59275</v>
      </c>
      <c r="O1341" s="20" t="str">
        <f t="shared" si="2"/>
        <v>Avoid</v>
      </c>
      <c r="P1341" s="21" t="str">
        <f t="shared" si="3"/>
        <v/>
      </c>
      <c r="Q1341" s="21" t="str">
        <f t="shared" si="4"/>
        <v/>
      </c>
      <c r="R1341" s="22">
        <f>IFERROR(__xludf.DUMMYFUNCTION("GOOGLEFINANCE(B1341, ""pe"")
"),4.0)</f>
        <v>4</v>
      </c>
    </row>
    <row r="1342">
      <c r="A1342" s="9" t="s">
        <v>1352</v>
      </c>
      <c r="B1342" s="11" t="str">
        <f t="shared" si="1"/>
        <v>NSE:FOCUS</v>
      </c>
      <c r="C1342" s="12">
        <f>IFERROR(__xludf.DUMMYFUNCTION("GOOGLEFINANCE(B1342,""marketcap"")/10000000"),645.416541)</f>
        <v>645.416541</v>
      </c>
      <c r="D1342" s="13">
        <f>IFERROR(__xludf.DUMMYFUNCTION("GOOGLEFINANCE(B1342,""price"")"),96.75)</f>
        <v>96.75</v>
      </c>
      <c r="E1342" s="14">
        <f>IFERROR(__xludf.DUMMYFUNCTION("GOOGLEFINANCE(B1342,""Volume"")"),33344.0)</f>
        <v>33344</v>
      </c>
      <c r="F1342" s="14">
        <f t="array" ref="F1342">F1341</f>
        <v>14</v>
      </c>
      <c r="G1342" s="15" t="str">
        <f>IFERROR(__xludf.DUMMYFUNCTION("IF(E1342&gt;AVERAGE(INDEX(GOOGLEFINANCE(B1342,""volume"",WORKDAY(TODAY(),-$F$1),TODAY()),,2)),""Breakout"","""")"),"")</f>
        <v/>
      </c>
      <c r="H1342" s="16">
        <f>IFERROR(__xludf.DUMMYFUNCTION("GOOGLEFINANCE(B1342,""price"")"),96.75)</f>
        <v>96.75</v>
      </c>
      <c r="I1342" s="17">
        <f>IFERROR(__xludf.DUMMYFUNCTION("AVERAGE(QUERY(SORT(GOOGLEFINANCE(B1342,""price"",TODAY()-365,TODAY()),1,0),""select Col2 limit 10""))"),102.82499999999997)</f>
        <v>102.825</v>
      </c>
      <c r="J1342" s="17">
        <f>IFERROR(__xludf.DUMMYFUNCTION("AVERAGE(QUERY(SORT(GOOGLEFINANCE(B1342,""price"",TODAY()-365,TODAY()),1,0),""select Col2 limit 30""))"),109.2243333333333)</f>
        <v>109.2243333</v>
      </c>
      <c r="K1342" s="18">
        <f>IFERROR(__xludf.DUMMYFUNCTION("AVERAGE(QUERY(SORT(GOOGLEFINANCE(B1342,""price"",TODAY()-365,TODAY()),1,0),""select Col2 limit 60""))"),104.73599999999998)</f>
        <v>104.736</v>
      </c>
      <c r="L1342" s="17">
        <f>IFERROR(__xludf.DUMMYFUNCTION("AVERAGE(QUERY(SORT(GOOGLEFINANCE(B1342,""price"",TODAY()-365,TODAY()),1,0),""select Col2 limit 90""))"),99.81566666666663)</f>
        <v>99.81566667</v>
      </c>
      <c r="M1342" s="17">
        <f>IFERROR(__xludf.DUMMYFUNCTION("AVERAGE(QUERY(SORT(GOOGLEFINANCE(B1342,""price"",TODAY()-365,TODAY()),1,0),""select Col2 limit 120""))"),96.40066666666661)</f>
        <v>96.40066667</v>
      </c>
      <c r="N1342" s="19">
        <f>IFERROR(__xludf.DUMMYFUNCTION("AVERAGE(QUERY(SORT(GOOGLEFINANCE(B1342,""price"",TODAY()-365,TODAY()),1,0),""select Col2 limit 200""))"),107.32184999999994)</f>
        <v>107.32185</v>
      </c>
      <c r="O1342" s="20" t="str">
        <f t="shared" si="2"/>
        <v>Avoid</v>
      </c>
      <c r="P1342" s="21" t="str">
        <f t="shared" si="3"/>
        <v/>
      </c>
      <c r="Q1342" s="21" t="str">
        <f t="shared" si="4"/>
        <v/>
      </c>
      <c r="R1342" s="22">
        <f>IFERROR(__xludf.DUMMYFUNCTION("GOOGLEFINANCE(B1342, ""pe"")
"),43.75)</f>
        <v>43.75</v>
      </c>
    </row>
    <row r="1343">
      <c r="A1343" s="9" t="s">
        <v>1353</v>
      </c>
      <c r="B1343" s="11" t="str">
        <f t="shared" si="1"/>
        <v>NSE:ZUARI</v>
      </c>
      <c r="C1343" s="12">
        <f>IFERROR(__xludf.DUMMYFUNCTION("GOOGLEFINANCE(B1343,""marketcap"")/10000000"),907.1910471)</f>
        <v>907.1910471</v>
      </c>
      <c r="D1343" s="13">
        <f>IFERROR(__xludf.DUMMYFUNCTION("GOOGLEFINANCE(B1343,""price"")"),216.18)</f>
        <v>216.18</v>
      </c>
      <c r="E1343" s="14">
        <f>IFERROR(__xludf.DUMMYFUNCTION("GOOGLEFINANCE(B1343,""Volume"")"),152567.0)</f>
        <v>152567</v>
      </c>
      <c r="F1343" s="14">
        <f t="array" ref="F1343">F1342</f>
        <v>14</v>
      </c>
      <c r="G1343" s="15" t="str">
        <f>IFERROR(__xludf.DUMMYFUNCTION("IF(E1343&gt;AVERAGE(INDEX(GOOGLEFINANCE(B1343,""volume"",WORKDAY(TODAY(),-$F$1),TODAY()),,2)),""Breakout"","""")"),"")</f>
        <v/>
      </c>
      <c r="H1343" s="16">
        <f>IFERROR(__xludf.DUMMYFUNCTION("GOOGLEFINANCE(B1343,""price"")"),216.18)</f>
        <v>216.18</v>
      </c>
      <c r="I1343" s="17">
        <f>IFERROR(__xludf.DUMMYFUNCTION("AVERAGE(QUERY(SORT(GOOGLEFINANCE(B1343,""price"",TODAY()-365,TODAY()),1,0),""select Col2 limit 10""))"),210.2)</f>
        <v>210.2</v>
      </c>
      <c r="J1343" s="17">
        <f>IFERROR(__xludf.DUMMYFUNCTION("AVERAGE(QUERY(SORT(GOOGLEFINANCE(B1343,""price"",TODAY()-365,TODAY()),1,0),""select Col2 limit 30""))"),209.11433333333335)</f>
        <v>209.1143333</v>
      </c>
      <c r="K1343" s="18">
        <f>IFERROR(__xludf.DUMMYFUNCTION("AVERAGE(QUERY(SORT(GOOGLEFINANCE(B1343,""price"",TODAY()-365,TODAY()),1,0),""select Col2 limit 60""))"),213.15516666666673)</f>
        <v>213.1551667</v>
      </c>
      <c r="L1343" s="17">
        <f>IFERROR(__xludf.DUMMYFUNCTION("AVERAGE(QUERY(SORT(GOOGLEFINANCE(B1343,""price"",TODAY()-365,TODAY()),1,0),""select Col2 limit 90""))"),210.32288888888894)</f>
        <v>210.3228889</v>
      </c>
      <c r="M1343" s="17">
        <f>IFERROR(__xludf.DUMMYFUNCTION("AVERAGE(QUERY(SORT(GOOGLEFINANCE(B1343,""price"",TODAY()-365,TODAY()),1,0),""select Col2 limit 120""))"),205.97966666666682)</f>
        <v>205.9796667</v>
      </c>
      <c r="N1343" s="19">
        <f>IFERROR(__xludf.DUMMYFUNCTION("AVERAGE(QUERY(SORT(GOOGLEFINANCE(B1343,""price"",TODAY()-365,TODAY()),1,0),""select Col2 limit 200""))"),209.3596000000001)</f>
        <v>209.3596</v>
      </c>
      <c r="O1343" s="20" t="str">
        <f t="shared" si="2"/>
        <v>Avoid</v>
      </c>
      <c r="P1343" s="21" t="str">
        <f t="shared" si="3"/>
        <v/>
      </c>
      <c r="Q1343" s="21" t="str">
        <f t="shared" si="4"/>
        <v/>
      </c>
      <c r="R1343" s="22">
        <f>IFERROR(__xludf.DUMMYFUNCTION("GOOGLEFINANCE(B1343, ""pe"")
"),5.54)</f>
        <v>5.54</v>
      </c>
    </row>
    <row r="1344">
      <c r="A1344" s="9" t="s">
        <v>1354</v>
      </c>
      <c r="B1344" s="11" t="str">
        <f t="shared" si="1"/>
        <v>NSE:JAYAGROGN</v>
      </c>
      <c r="C1344" s="12">
        <f>IFERROR(__xludf.DUMMYFUNCTION("GOOGLEFINANCE(B1344,""marketcap"")/10000000"),753.0)</f>
        <v>753</v>
      </c>
      <c r="D1344" s="13">
        <f>IFERROR(__xludf.DUMMYFUNCTION("GOOGLEFINANCE(B1344,""price"")"),250.95)</f>
        <v>250.95</v>
      </c>
      <c r="E1344" s="14">
        <f>IFERROR(__xludf.DUMMYFUNCTION("GOOGLEFINANCE(B1344,""Volume"")"),15748.0)</f>
        <v>15748</v>
      </c>
      <c r="F1344" s="14">
        <f t="array" ref="F1344">F1343</f>
        <v>14</v>
      </c>
      <c r="G1344" s="15" t="str">
        <f>IFERROR(__xludf.DUMMYFUNCTION("IF(E1344&gt;AVERAGE(INDEX(GOOGLEFINANCE(B1344,""volume"",WORKDAY(TODAY(),-$F$1),TODAY()),,2)),""Breakout"","""")"),"#N/A")</f>
        <v>#N/A</v>
      </c>
      <c r="H1344" s="16">
        <f>IFERROR(__xludf.DUMMYFUNCTION("GOOGLEFINANCE(B1344,""price"")"),250.95)</f>
        <v>250.95</v>
      </c>
      <c r="I1344" s="17">
        <f>IFERROR(__xludf.DUMMYFUNCTION("AVERAGE(QUERY(SORT(GOOGLEFINANCE(B1344,""price"",TODAY()-365,TODAY()),1,0),""select Col2 limit 10""))"),260.525)</f>
        <v>260.525</v>
      </c>
      <c r="J1344" s="17">
        <f>IFERROR(__xludf.DUMMYFUNCTION("AVERAGE(QUERY(SORT(GOOGLEFINANCE(B1344,""price"",TODAY()-365,TODAY()),1,0),""select Col2 limit 30""))"),254.71500000000003)</f>
        <v>254.715</v>
      </c>
      <c r="K1344" s="18">
        <f>IFERROR(__xludf.DUMMYFUNCTION("AVERAGE(QUERY(SORT(GOOGLEFINANCE(B1344,""price"",TODAY()-365,TODAY()),1,0),""select Col2 limit 60""))"),254.29449999999994)</f>
        <v>254.2945</v>
      </c>
      <c r="L1344" s="17">
        <f>IFERROR(__xludf.DUMMYFUNCTION("AVERAGE(QUERY(SORT(GOOGLEFINANCE(B1344,""price"",TODAY()-365,TODAY()),1,0),""select Col2 limit 90""))"),247.12511111111112)</f>
        <v>247.1251111</v>
      </c>
      <c r="M1344" s="17">
        <f>IFERROR(__xludf.DUMMYFUNCTION("AVERAGE(QUERY(SORT(GOOGLEFINANCE(B1344,""price"",TODAY()-365,TODAY()),1,0),""select Col2 limit 120""))"),251.2555)</f>
        <v>251.2555</v>
      </c>
      <c r="N1344" s="19">
        <f>IFERROR(__xludf.DUMMYFUNCTION("AVERAGE(QUERY(SORT(GOOGLEFINANCE(B1344,""price"",TODAY()-365,TODAY()),1,0),""select Col2 limit 200""))"),264.7098)</f>
        <v>264.7098</v>
      </c>
      <c r="O1344" s="20" t="str">
        <f t="shared" si="2"/>
        <v>Avoid</v>
      </c>
      <c r="P1344" s="21" t="str">
        <f t="shared" si="3"/>
        <v>120 DMA</v>
      </c>
      <c r="Q1344" s="21" t="str">
        <f t="shared" si="4"/>
        <v/>
      </c>
      <c r="R1344" s="22">
        <f>IFERROR(__xludf.DUMMYFUNCTION("GOOGLEFINANCE(B1344, ""pe"")
"),13.71)</f>
        <v>13.71</v>
      </c>
    </row>
    <row r="1345">
      <c r="A1345" s="9" t="s">
        <v>1355</v>
      </c>
      <c r="B1345" s="11" t="str">
        <f t="shared" si="1"/>
        <v>NSE:JAGSNPHARM</v>
      </c>
      <c r="C1345" s="12">
        <f>IFERROR(__xludf.DUMMYFUNCTION("GOOGLEFINANCE(B1345,""marketcap"")/10000000"),1986.3730528)</f>
        <v>1986.373053</v>
      </c>
      <c r="D1345" s="13">
        <f>IFERROR(__xludf.DUMMYFUNCTION("GOOGLEFINANCE(B1345,""price"")"),298.22)</f>
        <v>298.22</v>
      </c>
      <c r="E1345" s="14">
        <f>IFERROR(__xludf.DUMMYFUNCTION("GOOGLEFINANCE(B1345,""Volume"")"),4304410.0)</f>
        <v>4304410</v>
      </c>
      <c r="F1345" s="14">
        <f t="array" ref="F1345">F1344</f>
        <v>14</v>
      </c>
      <c r="G1345" s="15" t="str">
        <f>IFERROR(__xludf.DUMMYFUNCTION("IF(E1345&gt;AVERAGE(INDEX(GOOGLEFINANCE(B1345,""volume"",WORKDAY(TODAY(),-$F$1),TODAY()),,2)),""Breakout"","""")"),"#N/A")</f>
        <v>#N/A</v>
      </c>
      <c r="H1345" s="16">
        <f>IFERROR(__xludf.DUMMYFUNCTION("GOOGLEFINANCE(B1345,""price"")"),298.22)</f>
        <v>298.22</v>
      </c>
      <c r="I1345" s="17">
        <f>IFERROR(__xludf.DUMMYFUNCTION("AVERAGE(QUERY(SORT(GOOGLEFINANCE(B1345,""price"",TODAY()-365,TODAY()),1,0),""select Col2 limit 10""))"),254.856)</f>
        <v>254.856</v>
      </c>
      <c r="J1345" s="17">
        <f>IFERROR(__xludf.DUMMYFUNCTION("AVERAGE(QUERY(SORT(GOOGLEFINANCE(B1345,""price"",TODAY()-365,TODAY()),1,0),""select Col2 limit 30""))"),235.06933333333336)</f>
        <v>235.0693333</v>
      </c>
      <c r="K1345" s="18">
        <f>IFERROR(__xludf.DUMMYFUNCTION("AVERAGE(QUERY(SORT(GOOGLEFINANCE(B1345,""price"",TODAY()-365,TODAY()),1,0),""select Col2 limit 60""))"),230.24033333333333)</f>
        <v>230.2403333</v>
      </c>
      <c r="L1345" s="17">
        <f>IFERROR(__xludf.DUMMYFUNCTION("AVERAGE(QUERY(SORT(GOOGLEFINANCE(B1345,""price"",TODAY()-365,TODAY()),1,0),""select Col2 limit 90""))"),227.18933333333334)</f>
        <v>227.1893333</v>
      </c>
      <c r="M1345" s="17">
        <f>IFERROR(__xludf.DUMMYFUNCTION("AVERAGE(QUERY(SORT(GOOGLEFINANCE(B1345,""price"",TODAY()-365,TODAY()),1,0),""select Col2 limit 120""))"),227.40791666666667)</f>
        <v>227.4079167</v>
      </c>
      <c r="N1345" s="19">
        <f>IFERROR(__xludf.DUMMYFUNCTION("AVERAGE(QUERY(SORT(GOOGLEFINANCE(B1345,""price"",TODAY()-365,TODAY()),1,0),""select Col2 limit 200""))"),229.47580000000016)</f>
        <v>229.4758</v>
      </c>
      <c r="O1345" s="20" t="str">
        <f t="shared" si="2"/>
        <v>Avoid</v>
      </c>
      <c r="P1345" s="21" t="str">
        <f t="shared" si="3"/>
        <v/>
      </c>
      <c r="Q1345" s="21" t="str">
        <f t="shared" si="4"/>
        <v/>
      </c>
      <c r="R1345" s="22">
        <f>IFERROR(__xludf.DUMMYFUNCTION("GOOGLEFINANCE(B1345, ""pe"")
"),36.28)</f>
        <v>36.28</v>
      </c>
    </row>
    <row r="1346">
      <c r="A1346" s="9" t="s">
        <v>1356</v>
      </c>
      <c r="B1346" s="11" t="str">
        <f t="shared" si="1"/>
        <v>NSE:TNPETRO</v>
      </c>
      <c r="C1346" s="12">
        <f>IFERROR(__xludf.DUMMYFUNCTION("GOOGLEFINANCE(B1346,""marketcap"")/10000000"),889.5693164)</f>
        <v>889.5693164</v>
      </c>
      <c r="D1346" s="13">
        <f>IFERROR(__xludf.DUMMYFUNCTION("GOOGLEFINANCE(B1346,""price"")"),100.05)</f>
        <v>100.05</v>
      </c>
      <c r="E1346" s="14">
        <f>IFERROR(__xludf.DUMMYFUNCTION("GOOGLEFINANCE(B1346,""Volume"")"),39282.0)</f>
        <v>39282</v>
      </c>
      <c r="F1346" s="14">
        <f t="array" ref="F1346">F1345</f>
        <v>14</v>
      </c>
      <c r="G1346" s="15" t="str">
        <f>IFERROR(__xludf.DUMMYFUNCTION("IF(E1346&gt;AVERAGE(INDEX(GOOGLEFINANCE(B1346,""volume"",WORKDAY(TODAY(),-$F$1),TODAY()),,2)),""Breakout"","""")"),"")</f>
        <v/>
      </c>
      <c r="H1346" s="16">
        <f>IFERROR(__xludf.DUMMYFUNCTION("GOOGLEFINANCE(B1346,""price"")"),100.05)</f>
        <v>100.05</v>
      </c>
      <c r="I1346" s="17">
        <f>IFERROR(__xludf.DUMMYFUNCTION("AVERAGE(QUERY(SORT(GOOGLEFINANCE(B1346,""price"",TODAY()-365,TODAY()),1,0),""select Col2 limit 10""))"),106.88399999999999)</f>
        <v>106.884</v>
      </c>
      <c r="J1346" s="17">
        <f>IFERROR(__xludf.DUMMYFUNCTION("AVERAGE(QUERY(SORT(GOOGLEFINANCE(B1346,""price"",TODAY()-365,TODAY()),1,0),""select Col2 limit 30""))"),101.36666666666665)</f>
        <v>101.3666667</v>
      </c>
      <c r="K1346" s="18">
        <f>IFERROR(__xludf.DUMMYFUNCTION("AVERAGE(QUERY(SORT(GOOGLEFINANCE(B1346,""price"",TODAY()-365,TODAY()),1,0),""select Col2 limit 60""))"),92.73549999999999)</f>
        <v>92.7355</v>
      </c>
      <c r="L1346" s="17">
        <f>IFERROR(__xludf.DUMMYFUNCTION("AVERAGE(QUERY(SORT(GOOGLEFINANCE(B1346,""price"",TODAY()-365,TODAY()),1,0),""select Col2 limit 90""))"),85.66544444444443)</f>
        <v>85.66544444</v>
      </c>
      <c r="M1346" s="17">
        <f>IFERROR(__xludf.DUMMYFUNCTION("AVERAGE(QUERY(SORT(GOOGLEFINANCE(B1346,""price"",TODAY()-365,TODAY()),1,0),""select Col2 limit 120""))"),82.35116666666664)</f>
        <v>82.35116667</v>
      </c>
      <c r="N1346" s="19">
        <f>IFERROR(__xludf.DUMMYFUNCTION("AVERAGE(QUERY(SORT(GOOGLEFINANCE(B1346,""price"",TODAY()-365,TODAY()),1,0),""select Col2 limit 200""))"),82.05694999999996)</f>
        <v>82.05695</v>
      </c>
      <c r="O1346" s="20" t="str">
        <f t="shared" si="2"/>
        <v>Avoid</v>
      </c>
      <c r="P1346" s="21" t="str">
        <f t="shared" si="3"/>
        <v/>
      </c>
      <c r="Q1346" s="21" t="str">
        <f t="shared" si="4"/>
        <v/>
      </c>
      <c r="R1346" s="22">
        <f>IFERROR(__xludf.DUMMYFUNCTION("GOOGLEFINANCE(B1346, ""pe"")
"),15.37)</f>
        <v>15.37</v>
      </c>
    </row>
    <row r="1347">
      <c r="A1347" s="9" t="s">
        <v>1357</v>
      </c>
      <c r="B1347" s="11" t="str">
        <f t="shared" si="1"/>
        <v>NSE:MINDTECK</v>
      </c>
      <c r="C1347" s="12">
        <f>IFERROR(__xludf.DUMMYFUNCTION("GOOGLEFINANCE(B1347,""marketcap"")/10000000"),680.4225151)</f>
        <v>680.4225151</v>
      </c>
      <c r="D1347" s="13">
        <f>IFERROR(__xludf.DUMMYFUNCTION("GOOGLEFINANCE(B1347,""price"")"),212.95)</f>
        <v>212.95</v>
      </c>
      <c r="E1347" s="14">
        <f>IFERROR(__xludf.DUMMYFUNCTION("GOOGLEFINANCE(B1347,""Volume"")"),8720.0)</f>
        <v>8720</v>
      </c>
      <c r="F1347" s="14">
        <f t="array" ref="F1347">F1346</f>
        <v>14</v>
      </c>
      <c r="G1347" s="15" t="str">
        <f>IFERROR(__xludf.DUMMYFUNCTION("IF(E1347&gt;AVERAGE(INDEX(GOOGLEFINANCE(B1347,""volume"",WORKDAY(TODAY(),-$F$1),TODAY()),,2)),""Breakout"","""")"),"")</f>
        <v/>
      </c>
      <c r="H1347" s="16">
        <f>IFERROR(__xludf.DUMMYFUNCTION("GOOGLEFINANCE(B1347,""price"")"),212.95)</f>
        <v>212.95</v>
      </c>
      <c r="I1347" s="17">
        <f>IFERROR(__xludf.DUMMYFUNCTION("AVERAGE(QUERY(SORT(GOOGLEFINANCE(B1347,""price"",TODAY()-365,TODAY()),1,0),""select Col2 limit 10""))"),215.917)</f>
        <v>215.917</v>
      </c>
      <c r="J1347" s="17">
        <f>IFERROR(__xludf.DUMMYFUNCTION("AVERAGE(QUERY(SORT(GOOGLEFINANCE(B1347,""price"",TODAY()-365,TODAY()),1,0),""select Col2 limit 30""))"),226.2496666666667)</f>
        <v>226.2496667</v>
      </c>
      <c r="K1347" s="18">
        <f>IFERROR(__xludf.DUMMYFUNCTION("AVERAGE(QUERY(SORT(GOOGLEFINANCE(B1347,""price"",TODAY()-365,TODAY()),1,0),""select Col2 limit 60""))"),229.574)</f>
        <v>229.574</v>
      </c>
      <c r="L1347" s="17">
        <f>IFERROR(__xludf.DUMMYFUNCTION("AVERAGE(QUERY(SORT(GOOGLEFINANCE(B1347,""price"",TODAY()-365,TODAY()),1,0),""select Col2 limit 90""))"),214.16500000000008)</f>
        <v>214.165</v>
      </c>
      <c r="M1347" s="17">
        <f>IFERROR(__xludf.DUMMYFUNCTION("AVERAGE(QUERY(SORT(GOOGLEFINANCE(B1347,""price"",TODAY()-365,TODAY()),1,0),""select Col2 limit 120""))"),211.9145833333334)</f>
        <v>211.9145833</v>
      </c>
      <c r="N1347" s="19">
        <f>IFERROR(__xludf.DUMMYFUNCTION("AVERAGE(QUERY(SORT(GOOGLEFINANCE(B1347,""price"",TODAY()-365,TODAY()),1,0),""select Col2 limit 200""))"),237.38199999999998)</f>
        <v>237.382</v>
      </c>
      <c r="O1347" s="20" t="str">
        <f t="shared" si="2"/>
        <v>Avoid</v>
      </c>
      <c r="P1347" s="21" t="str">
        <f t="shared" si="3"/>
        <v>90 DMA</v>
      </c>
      <c r="Q1347" s="21" t="str">
        <f t="shared" si="4"/>
        <v/>
      </c>
      <c r="R1347" s="22">
        <f>IFERROR(__xludf.DUMMYFUNCTION("GOOGLEFINANCE(B1347, ""pe"")
"),23.72)</f>
        <v>23.72</v>
      </c>
    </row>
    <row r="1348">
      <c r="A1348" s="9" t="s">
        <v>1358</v>
      </c>
      <c r="B1348" s="11" t="str">
        <f t="shared" si="1"/>
        <v>NSE:DBOL</v>
      </c>
      <c r="C1348" s="12">
        <f>IFERROR(__xludf.DUMMYFUNCTION("GOOGLEFINANCE(B1348,""marketcap"")/10000000"),560.0457132)</f>
        <v>560.0457132</v>
      </c>
      <c r="D1348" s="13">
        <f>IFERROR(__xludf.DUMMYFUNCTION("GOOGLEFINANCE(B1348,""price"")"),83.91)</f>
        <v>83.91</v>
      </c>
      <c r="E1348" s="14">
        <f>IFERROR(__xludf.DUMMYFUNCTION("GOOGLEFINANCE(B1348,""Volume"")"),268645.0)</f>
        <v>268645</v>
      </c>
      <c r="F1348" s="14">
        <f t="array" ref="F1348">F1347</f>
        <v>14</v>
      </c>
      <c r="G1348" s="15" t="str">
        <f>IFERROR(__xludf.DUMMYFUNCTION("IF(E1348&gt;AVERAGE(INDEX(GOOGLEFINANCE(B1348,""volume"",WORKDAY(TODAY(),-$F$1),TODAY()),,2)),""Breakout"","""")"),"Breakout")</f>
        <v>Breakout</v>
      </c>
      <c r="H1348" s="16">
        <f>IFERROR(__xludf.DUMMYFUNCTION("GOOGLEFINANCE(B1348,""price"")"),83.91)</f>
        <v>83.91</v>
      </c>
      <c r="I1348" s="17">
        <f>IFERROR(__xludf.DUMMYFUNCTION("AVERAGE(QUERY(SORT(GOOGLEFINANCE(B1348,""price"",TODAY()-365,TODAY()),1,0),""select Col2 limit 10""))"),96.18499999999999)</f>
        <v>96.185</v>
      </c>
      <c r="J1348" s="17">
        <f>IFERROR(__xludf.DUMMYFUNCTION("AVERAGE(QUERY(SORT(GOOGLEFINANCE(B1348,""price"",TODAY()-365,TODAY()),1,0),""select Col2 limit 30""))"),87.65499999999999)</f>
        <v>87.655</v>
      </c>
      <c r="K1348" s="18">
        <f>IFERROR(__xludf.DUMMYFUNCTION("AVERAGE(QUERY(SORT(GOOGLEFINANCE(B1348,""price"",TODAY()-365,TODAY()),1,0),""select Col2 limit 60""))"),80.94316666666667)</f>
        <v>80.94316667</v>
      </c>
      <c r="L1348" s="17">
        <f>IFERROR(__xludf.DUMMYFUNCTION("AVERAGE(QUERY(SORT(GOOGLEFINANCE(B1348,""price"",TODAY()-365,TODAY()),1,0),""select Col2 limit 90""))"),76.15711111111112)</f>
        <v>76.15711111</v>
      </c>
      <c r="M1348" s="17">
        <f>IFERROR(__xludf.DUMMYFUNCTION("AVERAGE(QUERY(SORT(GOOGLEFINANCE(B1348,""price"",TODAY()-365,TODAY()),1,0),""select Col2 limit 120""))"),76.84783333333334)</f>
        <v>76.84783333</v>
      </c>
      <c r="N1348" s="19">
        <f>IFERROR(__xludf.DUMMYFUNCTION("AVERAGE(QUERY(SORT(GOOGLEFINANCE(B1348,""price"",TODAY()-365,TODAY()),1,0),""select Col2 limit 200""))"),97.24615000000006)</f>
        <v>97.24615</v>
      </c>
      <c r="O1348" s="20" t="str">
        <f t="shared" si="2"/>
        <v>Avoid</v>
      </c>
      <c r="P1348" s="21" t="str">
        <f t="shared" si="3"/>
        <v/>
      </c>
      <c r="Q1348" s="21" t="str">
        <f t="shared" si="4"/>
        <v/>
      </c>
      <c r="R1348" s="22">
        <f>IFERROR(__xludf.DUMMYFUNCTION("GOOGLEFINANCE(B1348, ""pe"")
"),37.94)</f>
        <v>37.94</v>
      </c>
    </row>
    <row r="1349">
      <c r="A1349" s="9" t="s">
        <v>1359</v>
      </c>
      <c r="B1349" s="11" t="str">
        <f t="shared" si="1"/>
        <v>NSE:LINC</v>
      </c>
      <c r="C1349" s="12">
        <f>IFERROR(__xludf.DUMMYFUNCTION("GOOGLEFINANCE(B1349,""marketcap"")/10000000"),826.899324)</f>
        <v>826.899324</v>
      </c>
      <c r="D1349" s="13">
        <f>IFERROR(__xludf.DUMMYFUNCTION("GOOGLEFINANCE(B1349,""price"")"),139.0)</f>
        <v>139</v>
      </c>
      <c r="E1349" s="14">
        <f>IFERROR(__xludf.DUMMYFUNCTION("GOOGLEFINANCE(B1349,""Volume"")"),3253.0)</f>
        <v>3253</v>
      </c>
      <c r="F1349" s="14">
        <f t="array" ref="F1349">F1348</f>
        <v>14</v>
      </c>
      <c r="G1349" s="15" t="str">
        <f>IFERROR(__xludf.DUMMYFUNCTION("IF(E1349&gt;AVERAGE(INDEX(GOOGLEFINANCE(B1349,""volume"",WORKDAY(TODAY(),-$F$1),TODAY()),,2)),""Breakout"","""")"),"#N/A")</f>
        <v>#N/A</v>
      </c>
      <c r="H1349" s="16">
        <f>IFERROR(__xludf.DUMMYFUNCTION("GOOGLEFINANCE(B1349,""price"")"),139.0)</f>
        <v>139</v>
      </c>
      <c r="I1349" s="17">
        <f>IFERROR(__xludf.DUMMYFUNCTION("AVERAGE(QUERY(SORT(GOOGLEFINANCE(B1349,""price"",TODAY()-365,TODAY()),1,0),""select Col2 limit 10""))"),143.314)</f>
        <v>143.314</v>
      </c>
      <c r="J1349" s="17">
        <f>IFERROR(__xludf.DUMMYFUNCTION("AVERAGE(QUERY(SORT(GOOGLEFINANCE(B1349,""price"",TODAY()-365,TODAY()),1,0),""select Col2 limit 30""))"),144.40666666666667)</f>
        <v>144.4066667</v>
      </c>
      <c r="K1349" s="18">
        <f>IFERROR(__xludf.DUMMYFUNCTION("AVERAGE(QUERY(SORT(GOOGLEFINANCE(B1349,""price"",TODAY()-365,TODAY()),1,0),""select Col2 limit 60""))"),141.39499999999995)</f>
        <v>141.395</v>
      </c>
      <c r="L1349" s="17">
        <f>IFERROR(__xludf.DUMMYFUNCTION("AVERAGE(QUERY(SORT(GOOGLEFINANCE(B1349,""price"",TODAY()-365,TODAY()),1,0),""select Col2 limit 90""))"),129.6851111111111)</f>
        <v>129.6851111</v>
      </c>
      <c r="M1349" s="17">
        <f>IFERROR(__xludf.DUMMYFUNCTION("AVERAGE(QUERY(SORT(GOOGLEFINANCE(B1349,""price"",TODAY()-365,TODAY()),1,0),""select Col2 limit 120""))"),126.21224999999997)</f>
        <v>126.21225</v>
      </c>
      <c r="N1349" s="19">
        <f>IFERROR(__xludf.DUMMYFUNCTION("AVERAGE(QUERY(SORT(GOOGLEFINANCE(B1349,""price"",TODAY()-365,TODAY()),1,0),""select Col2 limit 200""))"),138.98629999999994)</f>
        <v>138.9863</v>
      </c>
      <c r="O1349" s="20" t="str">
        <f t="shared" si="2"/>
        <v>Avoid</v>
      </c>
      <c r="P1349" s="21" t="str">
        <f t="shared" si="3"/>
        <v/>
      </c>
      <c r="Q1349" s="21" t="str">
        <f t="shared" si="4"/>
        <v/>
      </c>
      <c r="R1349" s="22">
        <f>IFERROR(__xludf.DUMMYFUNCTION("GOOGLEFINANCE(B1349, ""pe"")
"),21.69)</f>
        <v>21.69</v>
      </c>
    </row>
    <row r="1350">
      <c r="A1350" s="9" t="s">
        <v>1360</v>
      </c>
      <c r="B1350" s="11" t="str">
        <f t="shared" si="1"/>
        <v>NSE:KOTHARIPET</v>
      </c>
      <c r="C1350" s="12">
        <f>IFERROR(__xludf.DUMMYFUNCTION("GOOGLEFINANCE(B1350,""marketcap"")/10000000"),979.7335794)</f>
        <v>979.7335794</v>
      </c>
      <c r="D1350" s="13">
        <f>IFERROR(__xludf.DUMMYFUNCTION("GOOGLEFINANCE(B1350,""price"")"),166.56)</f>
        <v>166.56</v>
      </c>
      <c r="E1350" s="14">
        <f>IFERROR(__xludf.DUMMYFUNCTION("GOOGLEFINANCE(B1350,""Volume"")"),39322.0)</f>
        <v>39322</v>
      </c>
      <c r="F1350" s="14">
        <f t="array" ref="F1350">F1349</f>
        <v>14</v>
      </c>
      <c r="G1350" s="15" t="str">
        <f>IFERROR(__xludf.DUMMYFUNCTION("IF(E1350&gt;AVERAGE(INDEX(GOOGLEFINANCE(B1350,""volume"",WORKDAY(TODAY(),-$F$1),TODAY()),,2)),""Breakout"","""")"),"")</f>
        <v/>
      </c>
      <c r="H1350" s="16">
        <f>IFERROR(__xludf.DUMMYFUNCTION("GOOGLEFINANCE(B1350,""price"")"),166.56)</f>
        <v>166.56</v>
      </c>
      <c r="I1350" s="17">
        <f>IFERROR(__xludf.DUMMYFUNCTION("AVERAGE(QUERY(SORT(GOOGLEFINANCE(B1350,""price"",TODAY()-365,TODAY()),1,0),""select Col2 limit 10""))"),175.194)</f>
        <v>175.194</v>
      </c>
      <c r="J1350" s="17">
        <f>IFERROR(__xludf.DUMMYFUNCTION("AVERAGE(QUERY(SORT(GOOGLEFINANCE(B1350,""price"",TODAY()-365,TODAY()),1,0),""select Col2 limit 30""))"),178.44333333333333)</f>
        <v>178.4433333</v>
      </c>
      <c r="K1350" s="18">
        <f>IFERROR(__xludf.DUMMYFUNCTION("AVERAGE(QUERY(SORT(GOOGLEFINANCE(B1350,""price"",TODAY()-365,TODAY()),1,0),""select Col2 limit 60""))"),172.15600000000003)</f>
        <v>172.156</v>
      </c>
      <c r="L1350" s="17">
        <f>IFERROR(__xludf.DUMMYFUNCTION("AVERAGE(QUERY(SORT(GOOGLEFINANCE(B1350,""price"",TODAY()-365,TODAY()),1,0),""select Col2 limit 90""))"),167.9007777777778)</f>
        <v>167.9007778</v>
      </c>
      <c r="M1350" s="17">
        <f>IFERROR(__xludf.DUMMYFUNCTION("AVERAGE(QUERY(SORT(GOOGLEFINANCE(B1350,""price"",TODAY()-365,TODAY()),1,0),""select Col2 limit 120""))"),164.674)</f>
        <v>164.674</v>
      </c>
      <c r="N1350" s="19">
        <f>IFERROR(__xludf.DUMMYFUNCTION("AVERAGE(QUERY(SORT(GOOGLEFINANCE(B1350,""price"",TODAY()-365,TODAY()),1,0),""select Col2 limit 200""))"),179.09724999999997)</f>
        <v>179.09725</v>
      </c>
      <c r="O1350" s="20" t="str">
        <f t="shared" si="2"/>
        <v>Avoid</v>
      </c>
      <c r="P1350" s="21" t="str">
        <f t="shared" si="3"/>
        <v>90 DMA</v>
      </c>
      <c r="Q1350" s="21" t="str">
        <f t="shared" si="4"/>
        <v/>
      </c>
      <c r="R1350" s="22">
        <f>IFERROR(__xludf.DUMMYFUNCTION("GOOGLEFINANCE(B1350, ""pe"")
"),14.89)</f>
        <v>14.89</v>
      </c>
    </row>
    <row r="1351">
      <c r="A1351" s="9" t="s">
        <v>1361</v>
      </c>
      <c r="B1351" s="11" t="str">
        <f t="shared" si="1"/>
        <v>NSE:RATNAVEER</v>
      </c>
      <c r="C1351" s="12">
        <f>IFERROR(__xludf.DUMMYFUNCTION("GOOGLEFINANCE(B1351,""marketcap"")/10000000"),818.0745245)</f>
        <v>818.0745245</v>
      </c>
      <c r="D1351" s="13">
        <f>IFERROR(__xludf.DUMMYFUNCTION("GOOGLEFINANCE(B1351,""price"")"),154.02)</f>
        <v>154.02</v>
      </c>
      <c r="E1351" s="14">
        <f>IFERROR(__xludf.DUMMYFUNCTION("GOOGLEFINANCE(B1351,""Volume"")"),268912.0)</f>
        <v>268912</v>
      </c>
      <c r="F1351" s="14">
        <f t="array" ref="F1351">F1350</f>
        <v>14</v>
      </c>
      <c r="G1351" s="15" t="str">
        <f>IFERROR(__xludf.DUMMYFUNCTION("IF(E1351&gt;AVERAGE(INDEX(GOOGLEFINANCE(B1351,""volume"",WORKDAY(TODAY(),-$F$1),TODAY()),,2)),""Breakout"","""")"),"")</f>
        <v/>
      </c>
      <c r="H1351" s="16">
        <f>IFERROR(__xludf.DUMMYFUNCTION("GOOGLEFINANCE(B1351,""price"")"),154.02)</f>
        <v>154.02</v>
      </c>
      <c r="I1351" s="17">
        <f>IFERROR(__xludf.DUMMYFUNCTION("AVERAGE(QUERY(SORT(GOOGLEFINANCE(B1351,""price"",TODAY()-365,TODAY()),1,0),""select Col2 limit 10""))"),151.36200000000002)</f>
        <v>151.362</v>
      </c>
      <c r="J1351" s="17">
        <f>IFERROR(__xludf.DUMMYFUNCTION("AVERAGE(QUERY(SORT(GOOGLEFINANCE(B1351,""price"",TODAY()-365,TODAY()),1,0),""select Col2 limit 30""))"),153.15833333333333)</f>
        <v>153.1583333</v>
      </c>
      <c r="K1351" s="18">
        <f>IFERROR(__xludf.DUMMYFUNCTION("AVERAGE(QUERY(SORT(GOOGLEFINANCE(B1351,""price"",TODAY()-365,TODAY()),1,0),""select Col2 limit 60""))"),152.39166666666668)</f>
        <v>152.3916667</v>
      </c>
      <c r="L1351" s="17">
        <f>IFERROR(__xludf.DUMMYFUNCTION("AVERAGE(QUERY(SORT(GOOGLEFINANCE(B1351,""price"",TODAY()-365,TODAY()),1,0),""select Col2 limit 90""))"),147.19933333333333)</f>
        <v>147.1993333</v>
      </c>
      <c r="M1351" s="17">
        <f>IFERROR(__xludf.DUMMYFUNCTION("AVERAGE(QUERY(SORT(GOOGLEFINANCE(B1351,""price"",TODAY()-365,TODAY()),1,0),""select Col2 limit 120""))"),147.26450000000006)</f>
        <v>147.2645</v>
      </c>
      <c r="N1351" s="19">
        <f>IFERROR(__xludf.DUMMYFUNCTION("AVERAGE(QUERY(SORT(GOOGLEFINANCE(B1351,""price"",TODAY()-365,TODAY()),1,0),""select Col2 limit 200""))"),168.28885000000005)</f>
        <v>168.28885</v>
      </c>
      <c r="O1351" s="20" t="str">
        <f t="shared" si="2"/>
        <v>Buy Above 200 DMA</v>
      </c>
      <c r="P1351" s="21" t="str">
        <f t="shared" si="3"/>
        <v/>
      </c>
      <c r="Q1351" s="21" t="str">
        <f t="shared" si="4"/>
        <v/>
      </c>
      <c r="R1351" s="22">
        <f>IFERROR(__xludf.DUMMYFUNCTION("GOOGLEFINANCE(B1351, ""pe"")
"),16.56)</f>
        <v>16.56</v>
      </c>
    </row>
    <row r="1352">
      <c r="A1352" s="9" t="s">
        <v>1362</v>
      </c>
      <c r="B1352" s="11" t="str">
        <f t="shared" si="1"/>
        <v>NSE:SARVESHWAR</v>
      </c>
      <c r="C1352" s="12">
        <f>IFERROR(__xludf.DUMMYFUNCTION("GOOGLEFINANCE(B1352,""marketcap"")/10000000"),768.3594501)</f>
        <v>768.3594501</v>
      </c>
      <c r="D1352" s="13">
        <f>IFERROR(__xludf.DUMMYFUNCTION("GOOGLEFINANCE(B1352,""price"")"),7.82)</f>
        <v>7.82</v>
      </c>
      <c r="E1352" s="14">
        <f>IFERROR(__xludf.DUMMYFUNCTION("GOOGLEFINANCE(B1352,""Volume"")"),1454194.0)</f>
        <v>1454194</v>
      </c>
      <c r="F1352" s="14">
        <f t="array" ref="F1352">F1351</f>
        <v>14</v>
      </c>
      <c r="G1352" s="15" t="str">
        <f>IFERROR(__xludf.DUMMYFUNCTION("IF(E1352&gt;AVERAGE(INDEX(GOOGLEFINANCE(B1352,""volume"",WORKDAY(TODAY(),-$F$1),TODAY()),,2)),""Breakout"","""")"),"")</f>
        <v/>
      </c>
      <c r="H1352" s="16">
        <f>IFERROR(__xludf.DUMMYFUNCTION("GOOGLEFINANCE(B1352,""price"")"),7.82)</f>
        <v>7.82</v>
      </c>
      <c r="I1352" s="17">
        <f>IFERROR(__xludf.DUMMYFUNCTION("AVERAGE(QUERY(SORT(GOOGLEFINANCE(B1352,""price"",TODAY()-365,TODAY()),1,0),""select Col2 limit 10""))"),8.459999999999999)</f>
        <v>8.46</v>
      </c>
      <c r="J1352" s="17">
        <f>IFERROR(__xludf.DUMMYFUNCTION("AVERAGE(QUERY(SORT(GOOGLEFINANCE(B1352,""price"",TODAY()-365,TODAY()),1,0),""select Col2 limit 30""))"),7.894333333333333)</f>
        <v>7.894333333</v>
      </c>
      <c r="K1352" s="18">
        <f>IFERROR(__xludf.DUMMYFUNCTION("AVERAGE(QUERY(SORT(GOOGLEFINANCE(B1352,""price"",TODAY()-365,TODAY()),1,0),""select Col2 limit 60""))"),7.489833333333333)</f>
        <v>7.489833333</v>
      </c>
      <c r="L1352" s="17">
        <f>IFERROR(__xludf.DUMMYFUNCTION("AVERAGE(QUERY(SORT(GOOGLEFINANCE(B1352,""price"",TODAY()-365,TODAY()),1,0),""select Col2 limit 90""))"),7.255333333333332)</f>
        <v>7.255333333</v>
      </c>
      <c r="M1352" s="17">
        <f>IFERROR(__xludf.DUMMYFUNCTION("AVERAGE(QUERY(SORT(GOOGLEFINANCE(B1352,""price"",TODAY()-365,TODAY()),1,0),""select Col2 limit 120""))"),7.253666666666666)</f>
        <v>7.253666667</v>
      </c>
      <c r="N1352" s="19">
        <f>IFERROR(__xludf.DUMMYFUNCTION("AVERAGE(QUERY(SORT(GOOGLEFINANCE(B1352,""price"",TODAY()-365,TODAY()),1,0),""select Col2 limit 200""))"),8.07355)</f>
        <v>8.07355</v>
      </c>
      <c r="O1352" s="20" t="str">
        <f t="shared" si="2"/>
        <v>Avoid</v>
      </c>
      <c r="P1352" s="21" t="str">
        <f t="shared" si="3"/>
        <v>30 DMA</v>
      </c>
      <c r="Q1352" s="21" t="str">
        <f t="shared" si="4"/>
        <v/>
      </c>
      <c r="R1352" s="22" t="str">
        <f>IFERROR(__xludf.DUMMYFUNCTION("GOOGLEFINANCE(B1352, ""pe"")
"),"#N/A")</f>
        <v>#N/A</v>
      </c>
    </row>
    <row r="1353">
      <c r="A1353" s="9" t="s">
        <v>1363</v>
      </c>
      <c r="B1353" s="11" t="str">
        <f t="shared" si="1"/>
        <v>NSE:REPRO</v>
      </c>
      <c r="C1353" s="12">
        <f>IFERROR(__xludf.DUMMYFUNCTION("GOOGLEFINANCE(B1353,""marketcap"")/10000000"),766.3777799)</f>
        <v>766.3777799</v>
      </c>
      <c r="D1353" s="13">
        <f>IFERROR(__xludf.DUMMYFUNCTION("GOOGLEFINANCE(B1353,""price"")"),536.0)</f>
        <v>536</v>
      </c>
      <c r="E1353" s="14">
        <f>IFERROR(__xludf.DUMMYFUNCTION("GOOGLEFINANCE(B1353,""Volume"")"),2285.0)</f>
        <v>2285</v>
      </c>
      <c r="F1353" s="14">
        <f t="array" ref="F1353">F1352</f>
        <v>14</v>
      </c>
      <c r="G1353" s="15" t="str">
        <f>IFERROR(__xludf.DUMMYFUNCTION("IF(E1353&gt;AVERAGE(INDEX(GOOGLEFINANCE(B1353,""volume"",WORKDAY(TODAY(),-$F$1),TODAY()),,2)),""Breakout"","""")"),"")</f>
        <v/>
      </c>
      <c r="H1353" s="16">
        <f>IFERROR(__xludf.DUMMYFUNCTION("GOOGLEFINANCE(B1353,""price"")"),536.0)</f>
        <v>536</v>
      </c>
      <c r="I1353" s="17">
        <f>IFERROR(__xludf.DUMMYFUNCTION("AVERAGE(QUERY(SORT(GOOGLEFINANCE(B1353,""price"",TODAY()-365,TODAY()),1,0),""select Col2 limit 10""))"),562.105)</f>
        <v>562.105</v>
      </c>
      <c r="J1353" s="17">
        <f>IFERROR(__xludf.DUMMYFUNCTION("AVERAGE(QUERY(SORT(GOOGLEFINANCE(B1353,""price"",TODAY()-365,TODAY()),1,0),""select Col2 limit 30""))"),545.6116666666665)</f>
        <v>545.6116667</v>
      </c>
      <c r="K1353" s="18">
        <f>IFERROR(__xludf.DUMMYFUNCTION("AVERAGE(QUERY(SORT(GOOGLEFINANCE(B1353,""price"",TODAY()-365,TODAY()),1,0),""select Col2 limit 60""))"),539.8449999999998)</f>
        <v>539.845</v>
      </c>
      <c r="L1353" s="17">
        <f>IFERROR(__xludf.DUMMYFUNCTION("AVERAGE(QUERY(SORT(GOOGLEFINANCE(B1353,""price"",TODAY()-365,TODAY()),1,0),""select Col2 limit 90""))"),507.34999999999974)</f>
        <v>507.35</v>
      </c>
      <c r="M1353" s="17">
        <f>IFERROR(__xludf.DUMMYFUNCTION("AVERAGE(QUERY(SORT(GOOGLEFINANCE(B1353,""price"",TODAY()-365,TODAY()),1,0),""select Col2 limit 120""))"),497.11249999999995)</f>
        <v>497.1125</v>
      </c>
      <c r="N1353" s="19">
        <f>IFERROR(__xludf.DUMMYFUNCTION("AVERAGE(QUERY(SORT(GOOGLEFINANCE(B1353,""price"",TODAY()-365,TODAY()),1,0),""select Col2 limit 200""))"),518.7827499999999)</f>
        <v>518.78275</v>
      </c>
      <c r="O1353" s="20" t="str">
        <f t="shared" si="2"/>
        <v>Avoid</v>
      </c>
      <c r="P1353" s="21" t="str">
        <f t="shared" si="3"/>
        <v>60 DMA</v>
      </c>
      <c r="Q1353" s="21" t="str">
        <f t="shared" si="4"/>
        <v/>
      </c>
      <c r="R1353" s="22" t="str">
        <f>IFERROR(__xludf.DUMMYFUNCTION("GOOGLEFINANCE(B1353, ""pe"")
"),"#N/A")</f>
        <v>#N/A</v>
      </c>
    </row>
    <row r="1354">
      <c r="A1354" s="9" t="s">
        <v>1364</v>
      </c>
      <c r="B1354" s="11" t="str">
        <f t="shared" si="1"/>
        <v>NSE:THEINVEST</v>
      </c>
      <c r="C1354" s="12">
        <f>IFERROR(__xludf.DUMMYFUNCTION("GOOGLEFINANCE(B1354,""marketcap"")/10000000"),851.1383485)</f>
        <v>851.1383485</v>
      </c>
      <c r="D1354" s="13">
        <f>IFERROR(__xludf.DUMMYFUNCTION("GOOGLEFINANCE(B1354,""price"")"),162.32)</f>
        <v>162.32</v>
      </c>
      <c r="E1354" s="14">
        <f>IFERROR(__xludf.DUMMYFUNCTION("GOOGLEFINANCE(B1354,""Volume"")"),24213.0)</f>
        <v>24213</v>
      </c>
      <c r="F1354" s="14">
        <f t="array" ref="F1354">F1353</f>
        <v>14</v>
      </c>
      <c r="G1354" s="15" t="str">
        <f>IFERROR(__xludf.DUMMYFUNCTION("IF(E1354&gt;AVERAGE(INDEX(GOOGLEFINANCE(B1354,""volume"",WORKDAY(TODAY(),-$F$1),TODAY()),,2)),""Breakout"","""")"),"")</f>
        <v/>
      </c>
      <c r="H1354" s="16">
        <f>IFERROR(__xludf.DUMMYFUNCTION("GOOGLEFINANCE(B1354,""price"")"),162.32)</f>
        <v>162.32</v>
      </c>
      <c r="I1354" s="17">
        <f>IFERROR(__xludf.DUMMYFUNCTION("AVERAGE(QUERY(SORT(GOOGLEFINANCE(B1354,""price"",TODAY()-365,TODAY()),1,0),""select Col2 limit 10""))"),160.61999999999998)</f>
        <v>160.62</v>
      </c>
      <c r="J1354" s="17">
        <f>IFERROR(__xludf.DUMMYFUNCTION("AVERAGE(QUERY(SORT(GOOGLEFINANCE(B1354,""price"",TODAY()-365,TODAY()),1,0),""select Col2 limit 30""))"),152.8416666666667)</f>
        <v>152.8416667</v>
      </c>
      <c r="K1354" s="18">
        <f>IFERROR(__xludf.DUMMYFUNCTION("AVERAGE(QUERY(SORT(GOOGLEFINANCE(B1354,""price"",TODAY()-365,TODAY()),1,0),""select Col2 limit 60""))"),151.2448333333334)</f>
        <v>151.2448333</v>
      </c>
      <c r="L1354" s="17">
        <f>IFERROR(__xludf.DUMMYFUNCTION("AVERAGE(QUERY(SORT(GOOGLEFINANCE(B1354,""price"",TODAY()-365,TODAY()),1,0),""select Col2 limit 90""))"),145.35388888888897)</f>
        <v>145.3538889</v>
      </c>
      <c r="M1354" s="17">
        <f>IFERROR(__xludf.DUMMYFUNCTION("AVERAGE(QUERY(SORT(GOOGLEFINANCE(B1354,""price"",TODAY()-365,TODAY()),1,0),""select Col2 limit 120""))"),147.1545833333334)</f>
        <v>147.1545833</v>
      </c>
      <c r="N1354" s="19">
        <f>IFERROR(__xludf.DUMMYFUNCTION("AVERAGE(QUERY(SORT(GOOGLEFINANCE(B1354,""price"",TODAY()-365,TODAY()),1,0),""select Col2 limit 200""))"),167.85784999999998)</f>
        <v>167.85785</v>
      </c>
      <c r="O1354" s="20" t="str">
        <f t="shared" si="2"/>
        <v>Buy Above 200 DMA</v>
      </c>
      <c r="P1354" s="21" t="str">
        <f t="shared" si="3"/>
        <v/>
      </c>
      <c r="Q1354" s="21" t="str">
        <f t="shared" si="4"/>
        <v/>
      </c>
      <c r="R1354" s="22">
        <f>IFERROR(__xludf.DUMMYFUNCTION("GOOGLEFINANCE(B1354, ""pe"")
"),20.02)</f>
        <v>20.02</v>
      </c>
    </row>
    <row r="1355">
      <c r="A1355" s="9" t="s">
        <v>1365</v>
      </c>
      <c r="B1355" s="11" t="str">
        <f t="shared" si="1"/>
        <v>NSE:HPAL</v>
      </c>
      <c r="C1355" s="12">
        <f>IFERROR(__xludf.DUMMYFUNCTION("GOOGLEFINANCE(B1355,""marketcap"")/10000000"),452.8505525)</f>
        <v>452.8505525</v>
      </c>
      <c r="D1355" s="13">
        <f>IFERROR(__xludf.DUMMYFUNCTION("GOOGLEFINANCE(B1355,""price"")"),49.18)</f>
        <v>49.18</v>
      </c>
      <c r="E1355" s="14">
        <f>IFERROR(__xludf.DUMMYFUNCTION("GOOGLEFINANCE(B1355,""Volume"")"),29026.0)</f>
        <v>29026</v>
      </c>
      <c r="F1355" s="14">
        <f t="array" ref="F1355">F1354</f>
        <v>14</v>
      </c>
      <c r="G1355" s="15" t="str">
        <f>IFERROR(__xludf.DUMMYFUNCTION("IF(E1355&gt;AVERAGE(INDEX(GOOGLEFINANCE(B1355,""volume"",WORKDAY(TODAY(),-$F$1),TODAY()),,2)),""Breakout"","""")"),"")</f>
        <v/>
      </c>
      <c r="H1355" s="16">
        <f>IFERROR(__xludf.DUMMYFUNCTION("GOOGLEFINANCE(B1355,""price"")"),49.18)</f>
        <v>49.18</v>
      </c>
      <c r="I1355" s="17">
        <f>IFERROR(__xludf.DUMMYFUNCTION("AVERAGE(QUERY(SORT(GOOGLEFINANCE(B1355,""price"",TODAY()-365,TODAY()),1,0),""select Col2 limit 10""))"),50.866)</f>
        <v>50.866</v>
      </c>
      <c r="J1355" s="17">
        <f>IFERROR(__xludf.DUMMYFUNCTION("AVERAGE(QUERY(SORT(GOOGLEFINANCE(B1355,""price"",TODAY()-365,TODAY()),1,0),""select Col2 limit 30""))"),50.82866666666668)</f>
        <v>50.82866667</v>
      </c>
      <c r="K1355" s="18">
        <f>IFERROR(__xludf.DUMMYFUNCTION("AVERAGE(QUERY(SORT(GOOGLEFINANCE(B1355,""price"",TODAY()-365,TODAY()),1,0),""select Col2 limit 60""))"),51.26483333333335)</f>
        <v>51.26483333</v>
      </c>
      <c r="L1355" s="17">
        <f>IFERROR(__xludf.DUMMYFUNCTION("AVERAGE(QUERY(SORT(GOOGLEFINANCE(B1355,""price"",TODAY()-365,TODAY()),1,0),""select Col2 limit 90""))"),51.64266666666667)</f>
        <v>51.64266667</v>
      </c>
      <c r="M1355" s="17">
        <f>IFERROR(__xludf.DUMMYFUNCTION("AVERAGE(QUERY(SORT(GOOGLEFINANCE(B1355,""price"",TODAY()-365,TODAY()),1,0),""select Col2 limit 120""))"),52.58516666666669)</f>
        <v>52.58516667</v>
      </c>
      <c r="N1355" s="19">
        <f>IFERROR(__xludf.DUMMYFUNCTION("AVERAGE(QUERY(SORT(GOOGLEFINANCE(B1355,""price"",TODAY()-365,TODAY()),1,0),""select Col2 limit 200""))"),63.560649999999995)</f>
        <v>63.56065</v>
      </c>
      <c r="O1355" s="20" t="str">
        <f t="shared" si="2"/>
        <v>Avoid</v>
      </c>
      <c r="P1355" s="21" t="str">
        <f t="shared" si="3"/>
        <v/>
      </c>
      <c r="Q1355" s="21" t="str">
        <f t="shared" si="4"/>
        <v/>
      </c>
      <c r="R1355" s="22">
        <f>IFERROR(__xludf.DUMMYFUNCTION("GOOGLEFINANCE(B1355, ""pe"")
"),24.82)</f>
        <v>24.82</v>
      </c>
    </row>
    <row r="1356">
      <c r="A1356" s="9" t="s">
        <v>1366</v>
      </c>
      <c r="B1356" s="11" t="str">
        <f t="shared" si="1"/>
        <v>NSE:ELECTHERM</v>
      </c>
      <c r="C1356" s="12">
        <f>IFERROR(__xludf.DUMMYFUNCTION("GOOGLEFINANCE(B1356,""marketcap"")/10000000"),1368.7051909)</f>
        <v>1368.705191</v>
      </c>
      <c r="D1356" s="13">
        <f>IFERROR(__xludf.DUMMYFUNCTION("GOOGLEFINANCE(B1356,""price"")"),1074.1)</f>
        <v>1074.1</v>
      </c>
      <c r="E1356" s="14">
        <f>IFERROR(__xludf.DUMMYFUNCTION("GOOGLEFINANCE(B1356,""Volume"")"),6648.0)</f>
        <v>6648</v>
      </c>
      <c r="F1356" s="14">
        <f t="array" ref="F1356">F1355</f>
        <v>14</v>
      </c>
      <c r="G1356" s="15" t="str">
        <f>IFERROR(__xludf.DUMMYFUNCTION("IF(E1356&gt;AVERAGE(INDEX(GOOGLEFINANCE(B1356,""volume"",WORKDAY(TODAY(),-$F$1),TODAY()),,2)),""Breakout"","""")"),"")</f>
        <v/>
      </c>
      <c r="H1356" s="16">
        <f>IFERROR(__xludf.DUMMYFUNCTION("GOOGLEFINANCE(B1356,""price"")"),1074.1)</f>
        <v>1074.1</v>
      </c>
      <c r="I1356" s="17">
        <f>IFERROR(__xludf.DUMMYFUNCTION("AVERAGE(QUERY(SORT(GOOGLEFINANCE(B1356,""price"",TODAY()-365,TODAY()),1,0),""select Col2 limit 10""))"),1083.18)</f>
        <v>1083.18</v>
      </c>
      <c r="J1356" s="17">
        <f>IFERROR(__xludf.DUMMYFUNCTION("AVERAGE(QUERY(SORT(GOOGLEFINANCE(B1356,""price"",TODAY()-365,TODAY()),1,0),""select Col2 limit 30""))"),1134.26)</f>
        <v>1134.26</v>
      </c>
      <c r="K1356" s="18">
        <f>IFERROR(__xludf.DUMMYFUNCTION("AVERAGE(QUERY(SORT(GOOGLEFINANCE(B1356,""price"",TODAY()-365,TODAY()),1,0),""select Col2 limit 60""))"),1116.5866666666666)</f>
        <v>1116.586667</v>
      </c>
      <c r="L1356" s="17">
        <f>IFERROR(__xludf.DUMMYFUNCTION("AVERAGE(QUERY(SORT(GOOGLEFINANCE(B1356,""price"",TODAY()-365,TODAY()),1,0),""select Col2 limit 90""))"),1059.544444444444)</f>
        <v>1059.544444</v>
      </c>
      <c r="M1356" s="17">
        <f>IFERROR(__xludf.DUMMYFUNCTION("AVERAGE(QUERY(SORT(GOOGLEFINANCE(B1356,""price"",TODAY()-365,TODAY()),1,0),""select Col2 limit 120""))"),982.9391666666663)</f>
        <v>982.9391667</v>
      </c>
      <c r="N1356" s="19">
        <f>IFERROR(__xludf.DUMMYFUNCTION("AVERAGE(QUERY(SORT(GOOGLEFINANCE(B1356,""price"",TODAY()-365,TODAY()),1,0),""select Col2 limit 200""))"),1021.5244999999996)</f>
        <v>1021.5245</v>
      </c>
      <c r="O1356" s="20" t="str">
        <f t="shared" si="2"/>
        <v>Avoid</v>
      </c>
      <c r="P1356" s="21" t="str">
        <f t="shared" si="3"/>
        <v>10 DMA</v>
      </c>
      <c r="Q1356" s="21" t="str">
        <f t="shared" si="4"/>
        <v/>
      </c>
      <c r="R1356" s="22">
        <f>IFERROR(__xludf.DUMMYFUNCTION("GOOGLEFINANCE(B1356, ""pe"")
"),4.25)</f>
        <v>4.25</v>
      </c>
    </row>
    <row r="1357">
      <c r="A1357" s="9" t="s">
        <v>1367</v>
      </c>
      <c r="B1357" s="11" t="str">
        <f t="shared" si="1"/>
        <v>NSE:DIGISPICE</v>
      </c>
      <c r="C1357" s="12">
        <f>IFERROR(__xludf.DUMMYFUNCTION("GOOGLEFINANCE(B1357,""marketcap"")/10000000"),497.6661751)</f>
        <v>497.6661751</v>
      </c>
      <c r="D1357" s="13">
        <f>IFERROR(__xludf.DUMMYFUNCTION("GOOGLEFINANCE(B1357,""price"")"),21.3)</f>
        <v>21.3</v>
      </c>
      <c r="E1357" s="14">
        <f>IFERROR(__xludf.DUMMYFUNCTION("GOOGLEFINANCE(B1357,""Volume"")"),21917.0)</f>
        <v>21917</v>
      </c>
      <c r="F1357" s="14">
        <f t="array" ref="F1357">F1356</f>
        <v>14</v>
      </c>
      <c r="G1357" s="15" t="str">
        <f>IFERROR(__xludf.DUMMYFUNCTION("IF(E1357&gt;AVERAGE(INDEX(GOOGLEFINANCE(B1357,""volume"",WORKDAY(TODAY(),-$F$1),TODAY()),,2)),""Breakout"","""")"),"")</f>
        <v/>
      </c>
      <c r="H1357" s="16">
        <f>IFERROR(__xludf.DUMMYFUNCTION("GOOGLEFINANCE(B1357,""price"")"),21.3)</f>
        <v>21.3</v>
      </c>
      <c r="I1357" s="17">
        <f>IFERROR(__xludf.DUMMYFUNCTION("AVERAGE(QUERY(SORT(GOOGLEFINANCE(B1357,""price"",TODAY()-365,TODAY()),1,0),""select Col2 limit 10""))"),22.230999999999998)</f>
        <v>22.231</v>
      </c>
      <c r="J1357" s="17">
        <f>IFERROR(__xludf.DUMMYFUNCTION("AVERAGE(QUERY(SORT(GOOGLEFINANCE(B1357,""price"",TODAY()-365,TODAY()),1,0),""select Col2 limit 30""))"),22.772000000000002)</f>
        <v>22.772</v>
      </c>
      <c r="K1357" s="18">
        <f>IFERROR(__xludf.DUMMYFUNCTION("AVERAGE(QUERY(SORT(GOOGLEFINANCE(B1357,""price"",TODAY()-365,TODAY()),1,0),""select Col2 limit 60""))"),21.98816666666666)</f>
        <v>21.98816667</v>
      </c>
      <c r="L1357" s="17">
        <f>IFERROR(__xludf.DUMMYFUNCTION("AVERAGE(QUERY(SORT(GOOGLEFINANCE(B1357,""price"",TODAY()-365,TODAY()),1,0),""select Col2 limit 90""))"),21.119777777777777)</f>
        <v>21.11977778</v>
      </c>
      <c r="M1357" s="17">
        <f>IFERROR(__xludf.DUMMYFUNCTION("AVERAGE(QUERY(SORT(GOOGLEFINANCE(B1357,""price"",TODAY()-365,TODAY()),1,0),""select Col2 limit 120""))"),21.611833333333333)</f>
        <v>21.61183333</v>
      </c>
      <c r="N1357" s="19">
        <f>IFERROR(__xludf.DUMMYFUNCTION("AVERAGE(QUERY(SORT(GOOGLEFINANCE(B1357,""price"",TODAY()-365,TODAY()),1,0),""select Col2 limit 200""))"),24.663750000000007)</f>
        <v>24.66375</v>
      </c>
      <c r="O1357" s="20" t="str">
        <f t="shared" si="2"/>
        <v>Avoid</v>
      </c>
      <c r="P1357" s="21" t="str">
        <f t="shared" si="3"/>
        <v/>
      </c>
      <c r="Q1357" s="21" t="str">
        <f t="shared" si="4"/>
        <v/>
      </c>
      <c r="R1357" s="22" t="str">
        <f>IFERROR(__xludf.DUMMYFUNCTION("GOOGLEFINANCE(B1357, ""pe"")
"),"#N/A")</f>
        <v>#N/A</v>
      </c>
    </row>
    <row r="1358">
      <c r="A1358" s="9" t="s">
        <v>1368</v>
      </c>
      <c r="B1358" s="11" t="str">
        <f t="shared" si="1"/>
        <v>NSE:GLOSTERLTD</v>
      </c>
      <c r="C1358" s="12">
        <f>IFERROR(__xludf.DUMMYFUNCTION("GOOGLEFINANCE(B1358,""marketcap"")/10000000"),700.36864)</f>
        <v>700.36864</v>
      </c>
      <c r="D1358" s="13">
        <f>IFERROR(__xludf.DUMMYFUNCTION("GOOGLEFINANCE(B1358,""price"")"),642.0)</f>
        <v>642</v>
      </c>
      <c r="E1358" s="14">
        <f>IFERROR(__xludf.DUMMYFUNCTION("GOOGLEFINANCE(B1358,""Volume"")"),2046.0)</f>
        <v>2046</v>
      </c>
      <c r="F1358" s="14">
        <f t="array" ref="F1358">F1357</f>
        <v>14</v>
      </c>
      <c r="G1358" s="15" t="str">
        <f>IFERROR(__xludf.DUMMYFUNCTION("IF(E1358&gt;AVERAGE(INDEX(GOOGLEFINANCE(B1358,""volume"",WORKDAY(TODAY(),-$F$1),TODAY()),,2)),""Breakout"","""")"),"")</f>
        <v/>
      </c>
      <c r="H1358" s="16">
        <f>IFERROR(__xludf.DUMMYFUNCTION("GOOGLEFINANCE(B1358,""price"")"),642.0)</f>
        <v>642</v>
      </c>
      <c r="I1358" s="17">
        <f>IFERROR(__xludf.DUMMYFUNCTION("AVERAGE(QUERY(SORT(GOOGLEFINANCE(B1358,""price"",TODAY()-365,TODAY()),1,0),""select Col2 limit 10""))"),684.11)</f>
        <v>684.11</v>
      </c>
      <c r="J1358" s="17">
        <f>IFERROR(__xludf.DUMMYFUNCTION("AVERAGE(QUERY(SORT(GOOGLEFINANCE(B1358,""price"",TODAY()-365,TODAY()),1,0),""select Col2 limit 30""))"),716.7016666666664)</f>
        <v>716.7016667</v>
      </c>
      <c r="K1358" s="18">
        <f>IFERROR(__xludf.DUMMYFUNCTION("AVERAGE(QUERY(SORT(GOOGLEFINANCE(B1358,""price"",TODAY()-365,TODAY()),1,0),""select Col2 limit 60""))"),673.5349999999997)</f>
        <v>673.535</v>
      </c>
      <c r="L1358" s="17">
        <f>IFERROR(__xludf.DUMMYFUNCTION("AVERAGE(QUERY(SORT(GOOGLEFINANCE(B1358,""price"",TODAY()-365,TODAY()),1,0),""select Col2 limit 90""))"),644.916111111111)</f>
        <v>644.9161111</v>
      </c>
      <c r="M1358" s="17">
        <f>IFERROR(__xludf.DUMMYFUNCTION("AVERAGE(QUERY(SORT(GOOGLEFINANCE(B1358,""price"",TODAY()-365,TODAY()),1,0),""select Col2 limit 120""))"),635.1883333333335)</f>
        <v>635.1883333</v>
      </c>
      <c r="N1358" s="19">
        <f>IFERROR(__xludf.DUMMYFUNCTION("AVERAGE(QUERY(SORT(GOOGLEFINANCE(B1358,""price"",TODAY()-365,TODAY()),1,0),""select Col2 limit 200""))"),661.1337499999998)</f>
        <v>661.13375</v>
      </c>
      <c r="O1358" s="20" t="str">
        <f t="shared" si="2"/>
        <v>Avoid</v>
      </c>
      <c r="P1358" s="21" t="str">
        <f t="shared" si="3"/>
        <v>90 DMA</v>
      </c>
      <c r="Q1358" s="21" t="str">
        <f t="shared" si="4"/>
        <v/>
      </c>
      <c r="R1358" s="22" t="str">
        <f>IFERROR(__xludf.DUMMYFUNCTION("GOOGLEFINANCE(B1358, ""pe"")
"),"#N/A")</f>
        <v>#N/A</v>
      </c>
    </row>
    <row r="1359">
      <c r="A1359" s="9" t="s">
        <v>1369</v>
      </c>
      <c r="B1359" s="11" t="str">
        <f t="shared" si="1"/>
        <v>NSE:ACL</v>
      </c>
      <c r="C1359" s="12">
        <f>IFERROR(__xludf.DUMMYFUNCTION("GOOGLEFINANCE(B1359,""marketcap"")/10000000"),644.836283)</f>
        <v>644.836283</v>
      </c>
      <c r="D1359" s="13">
        <f>IFERROR(__xludf.DUMMYFUNCTION("GOOGLEFINANCE(B1359,""price"")"),69.8)</f>
        <v>69.8</v>
      </c>
      <c r="E1359" s="14">
        <f>IFERROR(__xludf.DUMMYFUNCTION("GOOGLEFINANCE(B1359,""Volume"")"),33455.0)</f>
        <v>33455</v>
      </c>
      <c r="F1359" s="14">
        <f t="array" ref="F1359">F1358</f>
        <v>14</v>
      </c>
      <c r="G1359" s="15" t="str">
        <f>IFERROR(__xludf.DUMMYFUNCTION("IF(E1359&gt;AVERAGE(INDEX(GOOGLEFINANCE(B1359,""volume"",WORKDAY(TODAY(),-$F$1),TODAY()),,2)),""Breakout"","""")"),"")</f>
        <v/>
      </c>
      <c r="H1359" s="16">
        <f>IFERROR(__xludf.DUMMYFUNCTION("GOOGLEFINANCE(B1359,""price"")"),69.8)</f>
        <v>69.8</v>
      </c>
      <c r="I1359" s="17">
        <f>IFERROR(__xludf.DUMMYFUNCTION("AVERAGE(QUERY(SORT(GOOGLEFINANCE(B1359,""price"",TODAY()-365,TODAY()),1,0),""select Col2 limit 10""))"),68.719)</f>
        <v>68.719</v>
      </c>
      <c r="J1359" s="17">
        <f>IFERROR(__xludf.DUMMYFUNCTION("AVERAGE(QUERY(SORT(GOOGLEFINANCE(B1359,""price"",TODAY()-365,TODAY()),1,0),""select Col2 limit 30""))"),67.44999999999999)</f>
        <v>67.45</v>
      </c>
      <c r="K1359" s="18">
        <f>IFERROR(__xludf.DUMMYFUNCTION("AVERAGE(QUERY(SORT(GOOGLEFINANCE(B1359,""price"",TODAY()-365,TODAY()),1,0),""select Col2 limit 60""))"),64.3275)</f>
        <v>64.3275</v>
      </c>
      <c r="L1359" s="17">
        <f>IFERROR(__xludf.DUMMYFUNCTION("AVERAGE(QUERY(SORT(GOOGLEFINANCE(B1359,""price"",TODAY()-365,TODAY()),1,0),""select Col2 limit 90""))"),61.4937777777778)</f>
        <v>61.49377778</v>
      </c>
      <c r="M1359" s="17">
        <f>IFERROR(__xludf.DUMMYFUNCTION("AVERAGE(QUERY(SORT(GOOGLEFINANCE(B1359,""price"",TODAY()-365,TODAY()),1,0),""select Col2 limit 120""))"),62.257)</f>
        <v>62.257</v>
      </c>
      <c r="N1359" s="19">
        <f>IFERROR(__xludf.DUMMYFUNCTION("AVERAGE(QUERY(SORT(GOOGLEFINANCE(B1359,""price"",TODAY()-365,TODAY()),1,0),""select Col2 limit 200""))"),70.48245)</f>
        <v>70.48245</v>
      </c>
      <c r="O1359" s="20" t="str">
        <f t="shared" si="2"/>
        <v>Buy Above 200 DMA</v>
      </c>
      <c r="P1359" s="21" t="str">
        <f t="shared" si="3"/>
        <v>200 DMA</v>
      </c>
      <c r="Q1359" s="21" t="str">
        <f t="shared" si="4"/>
        <v>200 DMA cross best</v>
      </c>
      <c r="R1359" s="22" t="str">
        <f>IFERROR(__xludf.DUMMYFUNCTION("GOOGLEFINANCE(B1359, ""pe"")
"),"#N/A")</f>
        <v>#N/A</v>
      </c>
    </row>
    <row r="1360">
      <c r="A1360" s="9" t="s">
        <v>1370</v>
      </c>
      <c r="B1360" s="11" t="str">
        <f t="shared" si="1"/>
        <v>NSE:KERNEX</v>
      </c>
      <c r="C1360" s="12">
        <f>IFERROR(__xludf.DUMMYFUNCTION("GOOGLEFINANCE(B1360,""marketcap"")/10000000"),1776.3309667)</f>
        <v>1776.330967</v>
      </c>
      <c r="D1360" s="13">
        <f>IFERROR(__xludf.DUMMYFUNCTION("GOOGLEFINANCE(B1360,""price"")"),1059.0)</f>
        <v>1059</v>
      </c>
      <c r="E1360" s="14">
        <f>IFERROR(__xludf.DUMMYFUNCTION("GOOGLEFINANCE(B1360,""Volume"")"),30668.0)</f>
        <v>30668</v>
      </c>
      <c r="F1360" s="14">
        <f t="array" ref="F1360">F1359</f>
        <v>14</v>
      </c>
      <c r="G1360" s="15" t="str">
        <f>IFERROR(__xludf.DUMMYFUNCTION("IF(E1360&gt;AVERAGE(INDEX(GOOGLEFINANCE(B1360,""volume"",WORKDAY(TODAY(),-$F$1),TODAY()),,2)),""Breakout"","""")"),"")</f>
        <v/>
      </c>
      <c r="H1360" s="16">
        <f>IFERROR(__xludf.DUMMYFUNCTION("GOOGLEFINANCE(B1360,""price"")"),1059.0)</f>
        <v>1059</v>
      </c>
      <c r="I1360" s="17">
        <f>IFERROR(__xludf.DUMMYFUNCTION("AVERAGE(QUERY(SORT(GOOGLEFINANCE(B1360,""price"",TODAY()-365,TODAY()),1,0),""select Col2 limit 10""))"),1102.75)</f>
        <v>1102.75</v>
      </c>
      <c r="J1360" s="17">
        <f>IFERROR(__xludf.DUMMYFUNCTION("AVERAGE(QUERY(SORT(GOOGLEFINANCE(B1360,""price"",TODAY()-365,TODAY()),1,0),""select Col2 limit 30""))"),1167.3433333333335)</f>
        <v>1167.343333</v>
      </c>
      <c r="K1360" s="18">
        <f>IFERROR(__xludf.DUMMYFUNCTION("AVERAGE(QUERY(SORT(GOOGLEFINANCE(B1360,""price"",TODAY()-365,TODAY()),1,0),""select Col2 limit 60""))"),1088.4150000000002)</f>
        <v>1088.415</v>
      </c>
      <c r="L1360" s="17">
        <f>IFERROR(__xludf.DUMMYFUNCTION("AVERAGE(QUERY(SORT(GOOGLEFINANCE(B1360,""price"",TODAY()-365,TODAY()),1,0),""select Col2 limit 90""))"),992.8227777777778)</f>
        <v>992.8227778</v>
      </c>
      <c r="M1360" s="17">
        <f>IFERROR(__xludf.DUMMYFUNCTION("AVERAGE(QUERY(SORT(GOOGLEFINANCE(B1360,""price"",TODAY()-365,TODAY()),1,0),""select Col2 limit 120""))"),986.2491666666667)</f>
        <v>986.2491667</v>
      </c>
      <c r="N1360" s="19">
        <f>IFERROR(__xludf.DUMMYFUNCTION("AVERAGE(QUERY(SORT(GOOGLEFINANCE(B1360,""price"",TODAY()-365,TODAY()),1,0),""select Col2 limit 200""))"),1017.5167499999992)</f>
        <v>1017.51675</v>
      </c>
      <c r="O1360" s="20" t="str">
        <f t="shared" si="2"/>
        <v>Avoid</v>
      </c>
      <c r="P1360" s="21" t="str">
        <f t="shared" si="3"/>
        <v/>
      </c>
      <c r="Q1360" s="21" t="str">
        <f t="shared" si="4"/>
        <v/>
      </c>
      <c r="R1360" s="22">
        <f>IFERROR(__xludf.DUMMYFUNCTION("GOOGLEFINANCE(B1360, ""pe"")
"),35.34)</f>
        <v>35.34</v>
      </c>
    </row>
    <row r="1361">
      <c r="A1361" s="9" t="s">
        <v>1371</v>
      </c>
      <c r="B1361" s="11" t="str">
        <f t="shared" si="1"/>
        <v>NSE:SARLAPOLY</v>
      </c>
      <c r="C1361" s="12">
        <f>IFERROR(__xludf.DUMMYFUNCTION("GOOGLEFINANCE(B1361,""marketcap"")/10000000"),950.5145504)</f>
        <v>950.5145504</v>
      </c>
      <c r="D1361" s="13">
        <f>IFERROR(__xludf.DUMMYFUNCTION("GOOGLEFINANCE(B1361,""price"")"),113.83)</f>
        <v>113.83</v>
      </c>
      <c r="E1361" s="14">
        <f>IFERROR(__xludf.DUMMYFUNCTION("GOOGLEFINANCE(B1361,""Volume"")"),49061.0)</f>
        <v>49061</v>
      </c>
      <c r="F1361" s="14">
        <f t="array" ref="F1361">F1360</f>
        <v>14</v>
      </c>
      <c r="G1361" s="15" t="str">
        <f>IFERROR(__xludf.DUMMYFUNCTION("IF(E1361&gt;AVERAGE(INDEX(GOOGLEFINANCE(B1361,""volume"",WORKDAY(TODAY(),-$F$1),TODAY()),,2)),""Breakout"","""")"),"")</f>
        <v/>
      </c>
      <c r="H1361" s="16">
        <f>IFERROR(__xludf.DUMMYFUNCTION("GOOGLEFINANCE(B1361,""price"")"),113.83)</f>
        <v>113.83</v>
      </c>
      <c r="I1361" s="17">
        <f>IFERROR(__xludf.DUMMYFUNCTION("AVERAGE(QUERY(SORT(GOOGLEFINANCE(B1361,""price"",TODAY()-365,TODAY()),1,0),""select Col2 limit 10""))"),116.949)</f>
        <v>116.949</v>
      </c>
      <c r="J1361" s="17">
        <f>IFERROR(__xludf.DUMMYFUNCTION("AVERAGE(QUERY(SORT(GOOGLEFINANCE(B1361,""price"",TODAY()-365,TODAY()),1,0),""select Col2 limit 30""))"),114.99533333333332)</f>
        <v>114.9953333</v>
      </c>
      <c r="K1361" s="18">
        <f>IFERROR(__xludf.DUMMYFUNCTION("AVERAGE(QUERY(SORT(GOOGLEFINANCE(B1361,""price"",TODAY()-365,TODAY()),1,0),""select Col2 limit 60""))"),112.06)</f>
        <v>112.06</v>
      </c>
      <c r="L1361" s="17">
        <f>IFERROR(__xludf.DUMMYFUNCTION("AVERAGE(QUERY(SORT(GOOGLEFINANCE(B1361,""price"",TODAY()-365,TODAY()),1,0),""select Col2 limit 90""))"),103.7612222222222)</f>
        <v>103.7612222</v>
      </c>
      <c r="M1361" s="17">
        <f>IFERROR(__xludf.DUMMYFUNCTION("AVERAGE(QUERY(SORT(GOOGLEFINANCE(B1361,""price"",TODAY()-365,TODAY()),1,0),""select Col2 limit 120""))"),97.6408333333333)</f>
        <v>97.64083333</v>
      </c>
      <c r="N1361" s="19">
        <f>IFERROR(__xludf.DUMMYFUNCTION("AVERAGE(QUERY(SORT(GOOGLEFINANCE(B1361,""price"",TODAY()-365,TODAY()),1,0),""select Col2 limit 200""))"),98.03194999999998)</f>
        <v>98.03195</v>
      </c>
      <c r="O1361" s="20" t="str">
        <f t="shared" si="2"/>
        <v>Avoid</v>
      </c>
      <c r="P1361" s="21" t="str">
        <f t="shared" si="3"/>
        <v/>
      </c>
      <c r="Q1361" s="21" t="str">
        <f t="shared" si="4"/>
        <v/>
      </c>
      <c r="R1361" s="22">
        <f>IFERROR(__xludf.DUMMYFUNCTION("GOOGLEFINANCE(B1361, ""pe"")
"),15.24)</f>
        <v>15.24</v>
      </c>
    </row>
    <row r="1362">
      <c r="A1362" s="9" t="s">
        <v>1372</v>
      </c>
      <c r="B1362" s="11" t="str">
        <f t="shared" si="1"/>
        <v>NSE:NINSYS</v>
      </c>
      <c r="C1362" s="12">
        <f>IFERROR(__xludf.DUMMYFUNCTION("GOOGLEFINANCE(B1362,""marketcap"")/10000000"),796.909971)</f>
        <v>796.909971</v>
      </c>
      <c r="D1362" s="13">
        <f>IFERROR(__xludf.DUMMYFUNCTION("GOOGLEFINANCE(B1362,""price"")"),429.0)</f>
        <v>429</v>
      </c>
      <c r="E1362" s="14">
        <f>IFERROR(__xludf.DUMMYFUNCTION("GOOGLEFINANCE(B1362,""Volume"")"),953.0)</f>
        <v>953</v>
      </c>
      <c r="F1362" s="14">
        <f t="array" ref="F1362">F1361</f>
        <v>14</v>
      </c>
      <c r="G1362" s="15" t="str">
        <f>IFERROR(__xludf.DUMMYFUNCTION("IF(E1362&gt;AVERAGE(INDEX(GOOGLEFINANCE(B1362,""volume"",WORKDAY(TODAY(),-$F$1),TODAY()),,2)),""Breakout"","""")"),"")</f>
        <v/>
      </c>
      <c r="H1362" s="16">
        <f>IFERROR(__xludf.DUMMYFUNCTION("GOOGLEFINANCE(B1362,""price"")"),429.0)</f>
        <v>429</v>
      </c>
      <c r="I1362" s="17">
        <f>IFERROR(__xludf.DUMMYFUNCTION("AVERAGE(QUERY(SORT(GOOGLEFINANCE(B1362,""price"",TODAY()-365,TODAY()),1,0),""select Col2 limit 10""))"),447.77)</f>
        <v>447.77</v>
      </c>
      <c r="J1362" s="17">
        <f>IFERROR(__xludf.DUMMYFUNCTION("AVERAGE(QUERY(SORT(GOOGLEFINANCE(B1362,""price"",TODAY()-365,TODAY()),1,0),""select Col2 limit 30""))"),455.53)</f>
        <v>455.53</v>
      </c>
      <c r="K1362" s="18">
        <f>IFERROR(__xludf.DUMMYFUNCTION("AVERAGE(QUERY(SORT(GOOGLEFINANCE(B1362,""price"",TODAY()-365,TODAY()),1,0),""select Col2 limit 60""))"),453.28416666666664)</f>
        <v>453.2841667</v>
      </c>
      <c r="L1362" s="17">
        <f>IFERROR(__xludf.DUMMYFUNCTION("AVERAGE(QUERY(SORT(GOOGLEFINANCE(B1362,""price"",TODAY()-365,TODAY()),1,0),""select Col2 limit 90""))"),457.1488888888891)</f>
        <v>457.1488889</v>
      </c>
      <c r="M1362" s="17">
        <f>IFERROR(__xludf.DUMMYFUNCTION("AVERAGE(QUERY(SORT(GOOGLEFINANCE(B1362,""price"",TODAY()-365,TODAY()),1,0),""select Col2 limit 120""))"),460.2129166666667)</f>
        <v>460.2129167</v>
      </c>
      <c r="N1362" s="19">
        <f>IFERROR(__xludf.DUMMYFUNCTION("AVERAGE(QUERY(SORT(GOOGLEFINANCE(B1362,""price"",TODAY()-365,TODAY()),1,0),""select Col2 limit 200""))"),496.82825000000025)</f>
        <v>496.82825</v>
      </c>
      <c r="O1362" s="20" t="str">
        <f t="shared" si="2"/>
        <v>Avoid</v>
      </c>
      <c r="P1362" s="21" t="str">
        <f t="shared" si="3"/>
        <v/>
      </c>
      <c r="Q1362" s="21" t="str">
        <f t="shared" si="4"/>
        <v/>
      </c>
      <c r="R1362" s="22">
        <f>IFERROR(__xludf.DUMMYFUNCTION("GOOGLEFINANCE(B1362, ""pe"")
"),30.28)</f>
        <v>30.28</v>
      </c>
    </row>
    <row r="1363">
      <c r="A1363" s="9" t="s">
        <v>1373</v>
      </c>
      <c r="B1363" s="11" t="str">
        <f t="shared" si="1"/>
        <v>NSE:GFLLIMITED</v>
      </c>
      <c r="C1363" s="12">
        <f>IFERROR(__xludf.DUMMYFUNCTION("GOOGLEFINANCE(B1363,""marketcap"")/10000000"),699.6346349)</f>
        <v>699.6346349</v>
      </c>
      <c r="D1363" s="13">
        <f>IFERROR(__xludf.DUMMYFUNCTION("GOOGLEFINANCE(B1363,""price"")"),63.69)</f>
        <v>63.69</v>
      </c>
      <c r="E1363" s="14">
        <f>IFERROR(__xludf.DUMMYFUNCTION("GOOGLEFINANCE(B1363,""Volume"")"),22152.0)</f>
        <v>22152</v>
      </c>
      <c r="F1363" s="14">
        <f t="array" ref="F1363">F1362</f>
        <v>14</v>
      </c>
      <c r="G1363" s="15" t="str">
        <f>IFERROR(__xludf.DUMMYFUNCTION("IF(E1363&gt;AVERAGE(INDEX(GOOGLEFINANCE(B1363,""volume"",WORKDAY(TODAY(),-$F$1),TODAY()),,2)),""Breakout"","""")"),"")</f>
        <v/>
      </c>
      <c r="H1363" s="16">
        <f>IFERROR(__xludf.DUMMYFUNCTION("GOOGLEFINANCE(B1363,""price"")"),63.69)</f>
        <v>63.69</v>
      </c>
      <c r="I1363" s="17">
        <f>IFERROR(__xludf.DUMMYFUNCTION("AVERAGE(QUERY(SORT(GOOGLEFINANCE(B1363,""price"",TODAY()-365,TODAY()),1,0),""select Col2 limit 10""))"),64.50999999999999)</f>
        <v>64.51</v>
      </c>
      <c r="J1363" s="17">
        <f>IFERROR(__xludf.DUMMYFUNCTION("AVERAGE(QUERY(SORT(GOOGLEFINANCE(B1363,""price"",TODAY()-365,TODAY()),1,0),""select Col2 limit 30""))"),64.249)</f>
        <v>64.249</v>
      </c>
      <c r="K1363" s="18">
        <f>IFERROR(__xludf.DUMMYFUNCTION("AVERAGE(QUERY(SORT(GOOGLEFINANCE(B1363,""price"",TODAY()-365,TODAY()),1,0),""select Col2 limit 60""))"),61.66183333333332)</f>
        <v>61.66183333</v>
      </c>
      <c r="L1363" s="17">
        <f>IFERROR(__xludf.DUMMYFUNCTION("AVERAGE(QUERY(SORT(GOOGLEFINANCE(B1363,""price"",TODAY()-365,TODAY()),1,0),""select Col2 limit 90""))"),59.458444444444446)</f>
        <v>59.45844444</v>
      </c>
      <c r="M1363" s="17">
        <f>IFERROR(__xludf.DUMMYFUNCTION("AVERAGE(QUERY(SORT(GOOGLEFINANCE(B1363,""price"",TODAY()-365,TODAY()),1,0),""select Col2 limit 120""))"),60.52583333333336)</f>
        <v>60.52583333</v>
      </c>
      <c r="N1363" s="19">
        <f>IFERROR(__xludf.DUMMYFUNCTION("AVERAGE(QUERY(SORT(GOOGLEFINANCE(B1363,""price"",TODAY()-365,TODAY()),1,0),""select Col2 limit 200""))"),72.77590000000001)</f>
        <v>72.7759</v>
      </c>
      <c r="O1363" s="20" t="str">
        <f t="shared" si="2"/>
        <v>Avoid</v>
      </c>
      <c r="P1363" s="21" t="str">
        <f t="shared" si="3"/>
        <v>30 DMA</v>
      </c>
      <c r="Q1363" s="21" t="str">
        <f t="shared" si="4"/>
        <v/>
      </c>
      <c r="R1363" s="22">
        <f>IFERROR(__xludf.DUMMYFUNCTION("GOOGLEFINANCE(B1363, ""pe"")
"),7.33)</f>
        <v>7.33</v>
      </c>
    </row>
    <row r="1364">
      <c r="A1364" s="9" t="s">
        <v>1374</v>
      </c>
      <c r="B1364" s="11" t="str">
        <f t="shared" si="1"/>
        <v>NSE:RADIANTCMS</v>
      </c>
      <c r="C1364" s="12">
        <f>IFERROR(__xludf.DUMMYFUNCTION("GOOGLEFINANCE(B1364,""marketcap"")/10000000"),595.4300738)</f>
        <v>595.4300738</v>
      </c>
      <c r="D1364" s="13">
        <f>IFERROR(__xludf.DUMMYFUNCTION("GOOGLEFINANCE(B1364,""price"")"),55.82)</f>
        <v>55.82</v>
      </c>
      <c r="E1364" s="14">
        <f>IFERROR(__xludf.DUMMYFUNCTION("GOOGLEFINANCE(B1364,""Volume"")"),113971.0)</f>
        <v>113971</v>
      </c>
      <c r="F1364" s="14">
        <f t="array" ref="F1364">F1363</f>
        <v>14</v>
      </c>
      <c r="G1364" s="15" t="str">
        <f>IFERROR(__xludf.DUMMYFUNCTION("IF(E1364&gt;AVERAGE(INDEX(GOOGLEFINANCE(B1364,""volume"",WORKDAY(TODAY(),-$F$1),TODAY()),,2)),""Breakout"","""")"),"")</f>
        <v/>
      </c>
      <c r="H1364" s="16">
        <f>IFERROR(__xludf.DUMMYFUNCTION("GOOGLEFINANCE(B1364,""price"")"),55.82)</f>
        <v>55.82</v>
      </c>
      <c r="I1364" s="17">
        <f>IFERROR(__xludf.DUMMYFUNCTION("AVERAGE(QUERY(SORT(GOOGLEFINANCE(B1364,""price"",TODAY()-365,TODAY()),1,0),""select Col2 limit 10""))"),59.41700000000001)</f>
        <v>59.417</v>
      </c>
      <c r="J1364" s="17">
        <f>IFERROR(__xludf.DUMMYFUNCTION("AVERAGE(QUERY(SORT(GOOGLEFINANCE(B1364,""price"",TODAY()-365,TODAY()),1,0),""select Col2 limit 30""))"),61.593333333333334)</f>
        <v>61.59333333</v>
      </c>
      <c r="K1364" s="18">
        <f>IFERROR(__xludf.DUMMYFUNCTION("AVERAGE(QUERY(SORT(GOOGLEFINANCE(B1364,""price"",TODAY()-365,TODAY()),1,0),""select Col2 limit 60""))"),64.04683333333332)</f>
        <v>64.04683333</v>
      </c>
      <c r="L1364" s="17">
        <f>IFERROR(__xludf.DUMMYFUNCTION("AVERAGE(QUERY(SORT(GOOGLEFINANCE(B1364,""price"",TODAY()-365,TODAY()),1,0),""select Col2 limit 90""))"),63.29855555555552)</f>
        <v>63.29855556</v>
      </c>
      <c r="M1364" s="17">
        <f>IFERROR(__xludf.DUMMYFUNCTION("AVERAGE(QUERY(SORT(GOOGLEFINANCE(B1364,""price"",TODAY()-365,TODAY()),1,0),""select Col2 limit 120""))"),63.048916666666635)</f>
        <v>63.04891667</v>
      </c>
      <c r="N1364" s="19">
        <f>IFERROR(__xludf.DUMMYFUNCTION("AVERAGE(QUERY(SORT(GOOGLEFINANCE(B1364,""price"",TODAY()-365,TODAY()),1,0),""select Col2 limit 200""))"),68.19879999999995)</f>
        <v>68.1988</v>
      </c>
      <c r="O1364" s="20" t="str">
        <f t="shared" si="2"/>
        <v>Avoid</v>
      </c>
      <c r="P1364" s="21" t="str">
        <f t="shared" si="3"/>
        <v/>
      </c>
      <c r="Q1364" s="21" t="str">
        <f t="shared" si="4"/>
        <v/>
      </c>
      <c r="R1364" s="22">
        <f>IFERROR(__xludf.DUMMYFUNCTION("GOOGLEFINANCE(B1364, ""pe"")
"),12.64)</f>
        <v>12.64</v>
      </c>
    </row>
    <row r="1365">
      <c r="A1365" s="9" t="s">
        <v>1375</v>
      </c>
      <c r="B1365" s="11" t="str">
        <f t="shared" si="1"/>
        <v>NSE:MUNJALAU</v>
      </c>
      <c r="C1365" s="12">
        <f>IFERROR(__xludf.DUMMYFUNCTION("GOOGLEFINANCE(B1365,""marketcap"")/10000000"),777.601075)</f>
        <v>777.601075</v>
      </c>
      <c r="D1365" s="13">
        <f>IFERROR(__xludf.DUMMYFUNCTION("GOOGLEFINANCE(B1365,""price"")"),77.75)</f>
        <v>77.75</v>
      </c>
      <c r="E1365" s="14">
        <f>IFERROR(__xludf.DUMMYFUNCTION("GOOGLEFINANCE(B1365,""Volume"")"),64382.0)</f>
        <v>64382</v>
      </c>
      <c r="F1365" s="14">
        <f t="array" ref="F1365">F1364</f>
        <v>14</v>
      </c>
      <c r="G1365" s="15" t="str">
        <f>IFERROR(__xludf.DUMMYFUNCTION("IF(E1365&gt;AVERAGE(INDEX(GOOGLEFINANCE(B1365,""volume"",WORKDAY(TODAY(),-$F$1),TODAY()),,2)),""Breakout"","""")"),"")</f>
        <v/>
      </c>
      <c r="H1365" s="16">
        <f>IFERROR(__xludf.DUMMYFUNCTION("GOOGLEFINANCE(B1365,""price"")"),77.75)</f>
        <v>77.75</v>
      </c>
      <c r="I1365" s="17">
        <f>IFERROR(__xludf.DUMMYFUNCTION("AVERAGE(QUERY(SORT(GOOGLEFINANCE(B1365,""price"",TODAY()-365,TODAY()),1,0),""select Col2 limit 10""))"),78.319)</f>
        <v>78.319</v>
      </c>
      <c r="J1365" s="17">
        <f>IFERROR(__xludf.DUMMYFUNCTION("AVERAGE(QUERY(SORT(GOOGLEFINANCE(B1365,""price"",TODAY()-365,TODAY()),1,0),""select Col2 limit 30""))"),76.84633333333333)</f>
        <v>76.84633333</v>
      </c>
      <c r="K1365" s="18">
        <f>IFERROR(__xludf.DUMMYFUNCTION("AVERAGE(QUERY(SORT(GOOGLEFINANCE(B1365,""price"",TODAY()-365,TODAY()),1,0),""select Col2 limit 60""))"),77.84349999999999)</f>
        <v>77.8435</v>
      </c>
      <c r="L1365" s="17">
        <f>IFERROR(__xludf.DUMMYFUNCTION("AVERAGE(QUERY(SORT(GOOGLEFINANCE(B1365,""price"",TODAY()-365,TODAY()),1,0),""select Col2 limit 90""))"),75.53888888888888)</f>
        <v>75.53888889</v>
      </c>
      <c r="M1365" s="17">
        <f>IFERROR(__xludf.DUMMYFUNCTION("AVERAGE(QUERY(SORT(GOOGLEFINANCE(B1365,""price"",TODAY()-365,TODAY()),1,0),""select Col2 limit 120""))"),76.01208333333332)</f>
        <v>76.01208333</v>
      </c>
      <c r="N1365" s="19">
        <f>IFERROR(__xludf.DUMMYFUNCTION("AVERAGE(QUERY(SORT(GOOGLEFINANCE(B1365,""price"",TODAY()-365,TODAY()),1,0),""select Col2 limit 200""))"),90.06054999999998)</f>
        <v>90.06055</v>
      </c>
      <c r="O1365" s="20" t="str">
        <f t="shared" si="2"/>
        <v>Avoid</v>
      </c>
      <c r="P1365" s="21" t="str">
        <f t="shared" si="3"/>
        <v>10 DMA</v>
      </c>
      <c r="Q1365" s="21" t="str">
        <f t="shared" si="4"/>
        <v/>
      </c>
      <c r="R1365" s="22">
        <f>IFERROR(__xludf.DUMMYFUNCTION("GOOGLEFINANCE(B1365, ""pe"")
"),21.43)</f>
        <v>21.43</v>
      </c>
    </row>
    <row r="1366">
      <c r="A1366" s="9" t="s">
        <v>1376</v>
      </c>
      <c r="B1366" s="11" t="str">
        <f t="shared" si="1"/>
        <v>NSE:MALLCOM</v>
      </c>
      <c r="C1366" s="12">
        <f>IFERROR(__xludf.DUMMYFUNCTION("GOOGLEFINANCE(B1366,""marketcap"")/10000000"),817.8143847)</f>
        <v>817.8143847</v>
      </c>
      <c r="D1366" s="13">
        <f>IFERROR(__xludf.DUMMYFUNCTION("GOOGLEFINANCE(B1366,""price"")"),1310.6)</f>
        <v>1310.6</v>
      </c>
      <c r="E1366" s="14">
        <f>IFERROR(__xludf.DUMMYFUNCTION("GOOGLEFINANCE(B1366,""Volume"")"),7798.0)</f>
        <v>7798</v>
      </c>
      <c r="F1366" s="14">
        <f t="array" ref="F1366">F1365</f>
        <v>14</v>
      </c>
      <c r="G1366" s="15" t="str">
        <f>IFERROR(__xludf.DUMMYFUNCTION("IF(E1366&gt;AVERAGE(INDEX(GOOGLEFINANCE(B1366,""volume"",WORKDAY(TODAY(),-$F$1),TODAY()),,2)),""Breakout"","""")"),"")</f>
        <v/>
      </c>
      <c r="H1366" s="16">
        <f>IFERROR(__xludf.DUMMYFUNCTION("GOOGLEFINANCE(B1366,""price"")"),1310.6)</f>
        <v>1310.6</v>
      </c>
      <c r="I1366" s="17">
        <f>IFERROR(__xludf.DUMMYFUNCTION("AVERAGE(QUERY(SORT(GOOGLEFINANCE(B1366,""price"",TODAY()-365,TODAY()),1,0),""select Col2 limit 10""))"),1288.4900000000002)</f>
        <v>1288.49</v>
      </c>
      <c r="J1366" s="17">
        <f>IFERROR(__xludf.DUMMYFUNCTION("AVERAGE(QUERY(SORT(GOOGLEFINANCE(B1366,""price"",TODAY()-365,TODAY()),1,0),""select Col2 limit 30""))"),1272.8566666666666)</f>
        <v>1272.856667</v>
      </c>
      <c r="K1366" s="18">
        <f>IFERROR(__xludf.DUMMYFUNCTION("AVERAGE(QUERY(SORT(GOOGLEFINANCE(B1366,""price"",TODAY()-365,TODAY()),1,0),""select Col2 limit 60""))"),1208.7533333333333)</f>
        <v>1208.753333</v>
      </c>
      <c r="L1366" s="17">
        <f>IFERROR(__xludf.DUMMYFUNCTION("AVERAGE(QUERY(SORT(GOOGLEFINANCE(B1366,""price"",TODAY()-365,TODAY()),1,0),""select Col2 limit 90""))"),1204.7699999999998)</f>
        <v>1204.77</v>
      </c>
      <c r="M1366" s="17">
        <f>IFERROR(__xludf.DUMMYFUNCTION("AVERAGE(QUERY(SORT(GOOGLEFINANCE(B1366,""price"",TODAY()-365,TODAY()),1,0),""select Col2 limit 120""))"),1218.8162499999996)</f>
        <v>1218.81625</v>
      </c>
      <c r="N1366" s="19">
        <f>IFERROR(__xludf.DUMMYFUNCTION("AVERAGE(QUERY(SORT(GOOGLEFINANCE(B1366,""price"",TODAY()-365,TODAY()),1,0),""select Col2 limit 200""))"),1330.8619999999999)</f>
        <v>1330.862</v>
      </c>
      <c r="O1366" s="20" t="str">
        <f t="shared" si="2"/>
        <v>Buy Above 200 DMA</v>
      </c>
      <c r="P1366" s="21" t="str">
        <f t="shared" si="3"/>
        <v/>
      </c>
      <c r="Q1366" s="21" t="str">
        <f t="shared" si="4"/>
        <v/>
      </c>
      <c r="R1366" s="22">
        <f>IFERROR(__xludf.DUMMYFUNCTION("GOOGLEFINANCE(B1366, ""pe"")
"),14.21)</f>
        <v>14.21</v>
      </c>
    </row>
    <row r="1367">
      <c r="A1367" s="9" t="s">
        <v>1377</v>
      </c>
      <c r="B1367" s="11" t="str">
        <f t="shared" si="1"/>
        <v>NSE:ARIHANTCAP</v>
      </c>
      <c r="C1367" s="12">
        <f>IFERROR(__xludf.DUMMYFUNCTION("GOOGLEFINANCE(B1367,""marketcap"")/10000000"),1059.9713732)</f>
        <v>1059.971373</v>
      </c>
      <c r="D1367" s="13">
        <f>IFERROR(__xludf.DUMMYFUNCTION("GOOGLEFINANCE(B1367,""price"")"),101.98)</f>
        <v>101.98</v>
      </c>
      <c r="E1367" s="14">
        <f>IFERROR(__xludf.DUMMYFUNCTION("GOOGLEFINANCE(B1367,""Volume"")"),512543.0)</f>
        <v>512543</v>
      </c>
      <c r="F1367" s="14">
        <f t="array" ref="F1367">F1366</f>
        <v>14</v>
      </c>
      <c r="G1367" s="15" t="str">
        <f>IFERROR(__xludf.DUMMYFUNCTION("IF(E1367&gt;AVERAGE(INDEX(GOOGLEFINANCE(B1367,""volume"",WORKDAY(TODAY(),-$F$1),TODAY()),,2)),""Breakout"","""")"),"")</f>
        <v/>
      </c>
      <c r="H1367" s="16">
        <f>IFERROR(__xludf.DUMMYFUNCTION("GOOGLEFINANCE(B1367,""price"")"),101.98)</f>
        <v>101.98</v>
      </c>
      <c r="I1367" s="17">
        <f>IFERROR(__xludf.DUMMYFUNCTION("AVERAGE(QUERY(SORT(GOOGLEFINANCE(B1367,""price"",TODAY()-365,TODAY()),1,0),""select Col2 limit 10""))"),93.49500000000002)</f>
        <v>93.495</v>
      </c>
      <c r="J1367" s="17">
        <f>IFERROR(__xludf.DUMMYFUNCTION("AVERAGE(QUERY(SORT(GOOGLEFINANCE(B1367,""price"",TODAY()-365,TODAY()),1,0),""select Col2 limit 30""))"),86.61333333333333)</f>
        <v>86.61333333</v>
      </c>
      <c r="K1367" s="18">
        <f>IFERROR(__xludf.DUMMYFUNCTION("AVERAGE(QUERY(SORT(GOOGLEFINANCE(B1367,""price"",TODAY()-365,TODAY()),1,0),""select Col2 limit 60""))"),78.55733333333333)</f>
        <v>78.55733333</v>
      </c>
      <c r="L1367" s="17">
        <f>IFERROR(__xludf.DUMMYFUNCTION("AVERAGE(QUERY(SORT(GOOGLEFINANCE(B1367,""price"",TODAY()-365,TODAY()),1,0),""select Col2 limit 90""))"),76.01433333333334)</f>
        <v>76.01433333</v>
      </c>
      <c r="M1367" s="17">
        <f>IFERROR(__xludf.DUMMYFUNCTION("AVERAGE(QUERY(SORT(GOOGLEFINANCE(B1367,""price"",TODAY()-365,TODAY()),1,0),""select Col2 limit 120""))"),76.02116666666666)</f>
        <v>76.02116667</v>
      </c>
      <c r="N1367" s="19">
        <f>IFERROR(__xludf.DUMMYFUNCTION("AVERAGE(QUERY(SORT(GOOGLEFINANCE(B1367,""price"",TODAY()-365,TODAY()),1,0),""select Col2 limit 200""))"),87.00945000000003)</f>
        <v>87.00945</v>
      </c>
      <c r="O1367" s="20" t="str">
        <f t="shared" si="2"/>
        <v>Avoid</v>
      </c>
      <c r="P1367" s="21" t="str">
        <f t="shared" si="3"/>
        <v/>
      </c>
      <c r="Q1367" s="21" t="str">
        <f t="shared" si="4"/>
        <v/>
      </c>
      <c r="R1367" s="22">
        <f>IFERROR(__xludf.DUMMYFUNCTION("GOOGLEFINANCE(B1367, ""pe"")
"),21.2)</f>
        <v>21.2</v>
      </c>
    </row>
    <row r="1368">
      <c r="A1368" s="9" t="s">
        <v>1378</v>
      </c>
      <c r="B1368" s="11" t="str">
        <f t="shared" si="1"/>
        <v>NSE:NRAIL</v>
      </c>
      <c r="C1368" s="12">
        <f>IFERROR(__xludf.DUMMYFUNCTION("GOOGLEFINANCE(B1368,""marketcap"")/10000000"),577.1173522)</f>
        <v>577.1173522</v>
      </c>
      <c r="D1368" s="13">
        <f>IFERROR(__xludf.DUMMYFUNCTION("GOOGLEFINANCE(B1368,""price"")"),339.1)</f>
        <v>339.1</v>
      </c>
      <c r="E1368" s="14">
        <f>IFERROR(__xludf.DUMMYFUNCTION("GOOGLEFINANCE(B1368,""Volume"")"),347.0)</f>
        <v>347</v>
      </c>
      <c r="F1368" s="14">
        <f t="array" ref="F1368">F1367</f>
        <v>14</v>
      </c>
      <c r="G1368" s="15" t="str">
        <f>IFERROR(__xludf.DUMMYFUNCTION("IF(E1368&gt;AVERAGE(INDEX(GOOGLEFINANCE(B1368,""volume"",WORKDAY(TODAY(),-$F$1),TODAY()),,2)),""Breakout"","""")"),"")</f>
        <v/>
      </c>
      <c r="H1368" s="16">
        <f>IFERROR(__xludf.DUMMYFUNCTION("GOOGLEFINANCE(B1368,""price"")"),339.1)</f>
        <v>339.1</v>
      </c>
      <c r="I1368" s="17">
        <f>IFERROR(__xludf.DUMMYFUNCTION("AVERAGE(QUERY(SORT(GOOGLEFINANCE(B1368,""price"",TODAY()-365,TODAY()),1,0),""select Col2 limit 10""))"),352.59499999999997)</f>
        <v>352.595</v>
      </c>
      <c r="J1368" s="17">
        <f>IFERROR(__xludf.DUMMYFUNCTION("AVERAGE(QUERY(SORT(GOOGLEFINANCE(B1368,""price"",TODAY()-365,TODAY()),1,0),""select Col2 limit 30""))"),354.9816666666666)</f>
        <v>354.9816667</v>
      </c>
      <c r="K1368" s="18">
        <f>IFERROR(__xludf.DUMMYFUNCTION("AVERAGE(QUERY(SORT(GOOGLEFINANCE(B1368,""price"",TODAY()-365,TODAY()),1,0),""select Col2 limit 60""))"),310.42333333333323)</f>
        <v>310.4233333</v>
      </c>
      <c r="L1368" s="17">
        <f>IFERROR(__xludf.DUMMYFUNCTION("AVERAGE(QUERY(SORT(GOOGLEFINANCE(B1368,""price"",TODAY()-365,TODAY()),1,0),""select Col2 limit 90""))"),287.986)</f>
        <v>287.986</v>
      </c>
      <c r="M1368" s="17">
        <f>IFERROR(__xludf.DUMMYFUNCTION("AVERAGE(QUERY(SORT(GOOGLEFINANCE(B1368,""price"",TODAY()-365,TODAY()),1,0),""select Col2 limit 120""))"),286.7182499999999)</f>
        <v>286.71825</v>
      </c>
      <c r="N1368" s="19">
        <f>IFERROR(__xludf.DUMMYFUNCTION("AVERAGE(QUERY(SORT(GOOGLEFINANCE(B1368,""price"",TODAY()-365,TODAY()),1,0),""select Col2 limit 200""))"),313.51294999999976)</f>
        <v>313.51295</v>
      </c>
      <c r="O1368" s="20" t="str">
        <f t="shared" si="2"/>
        <v>Avoid</v>
      </c>
      <c r="P1368" s="21" t="str">
        <f t="shared" si="3"/>
        <v/>
      </c>
      <c r="Q1368" s="21" t="str">
        <f t="shared" si="4"/>
        <v/>
      </c>
      <c r="R1368" s="22">
        <f>IFERROR(__xludf.DUMMYFUNCTION("GOOGLEFINANCE(B1368, ""pe"")
"),32.7)</f>
        <v>32.7</v>
      </c>
    </row>
    <row r="1369">
      <c r="A1369" s="9" t="s">
        <v>1379</v>
      </c>
      <c r="B1369" s="11" t="str">
        <f t="shared" si="1"/>
        <v>NSE:ARROWGREEN</v>
      </c>
      <c r="C1369" s="12">
        <f>IFERROR(__xludf.DUMMYFUNCTION("GOOGLEFINANCE(B1369,""marketcap"")/10000000"),1127.3708952)</f>
        <v>1127.370895</v>
      </c>
      <c r="D1369" s="13">
        <f>IFERROR(__xludf.DUMMYFUNCTION("GOOGLEFINANCE(B1369,""price"")"),748.45)</f>
        <v>748.45</v>
      </c>
      <c r="E1369" s="14">
        <f>IFERROR(__xludf.DUMMYFUNCTION("GOOGLEFINANCE(B1369,""Volume"")"),32607.0)</f>
        <v>32607</v>
      </c>
      <c r="F1369" s="14">
        <f t="array" ref="F1369">F1368</f>
        <v>14</v>
      </c>
      <c r="G1369" s="15" t="str">
        <f>IFERROR(__xludf.DUMMYFUNCTION("IF(E1369&gt;AVERAGE(INDEX(GOOGLEFINANCE(B1369,""volume"",WORKDAY(TODAY(),-$F$1),TODAY()),,2)),""Breakout"","""")"),"Breakout")</f>
        <v>Breakout</v>
      </c>
      <c r="H1369" s="16">
        <f>IFERROR(__xludf.DUMMYFUNCTION("GOOGLEFINANCE(B1369,""price"")"),748.45)</f>
        <v>748.45</v>
      </c>
      <c r="I1369" s="17">
        <f>IFERROR(__xludf.DUMMYFUNCTION("AVERAGE(QUERY(SORT(GOOGLEFINANCE(B1369,""price"",TODAY()-365,TODAY()),1,0),""select Col2 limit 10""))"),680.66)</f>
        <v>680.66</v>
      </c>
      <c r="J1369" s="17">
        <f>IFERROR(__xludf.DUMMYFUNCTION("AVERAGE(QUERY(SORT(GOOGLEFINANCE(B1369,""price"",TODAY()-365,TODAY()),1,0),""select Col2 limit 30""))"),644.22)</f>
        <v>644.22</v>
      </c>
      <c r="K1369" s="18">
        <f>IFERROR(__xludf.DUMMYFUNCTION("AVERAGE(QUERY(SORT(GOOGLEFINANCE(B1369,""price"",TODAY()-365,TODAY()),1,0),""select Col2 limit 60""))"),628.8675000000002)</f>
        <v>628.8675</v>
      </c>
      <c r="L1369" s="17">
        <f>IFERROR(__xludf.DUMMYFUNCTION("AVERAGE(QUERY(SORT(GOOGLEFINANCE(B1369,""price"",TODAY()-365,TODAY()),1,0),""select Col2 limit 90""))"),613.9977777777779)</f>
        <v>613.9977778</v>
      </c>
      <c r="M1369" s="17">
        <f>IFERROR(__xludf.DUMMYFUNCTION("AVERAGE(QUERY(SORT(GOOGLEFINANCE(B1369,""price"",TODAY()-365,TODAY()),1,0),""select Col2 limit 120""))"),614.0604166666667)</f>
        <v>614.0604167</v>
      </c>
      <c r="N1369" s="19">
        <f>IFERROR(__xludf.DUMMYFUNCTION("AVERAGE(QUERY(SORT(GOOGLEFINANCE(B1369,""price"",TODAY()-365,TODAY()),1,0),""select Col2 limit 200""))"),699.2529999999999)</f>
        <v>699.253</v>
      </c>
      <c r="O1369" s="20" t="str">
        <f t="shared" si="2"/>
        <v>Avoid</v>
      </c>
      <c r="P1369" s="21" t="str">
        <f t="shared" si="3"/>
        <v/>
      </c>
      <c r="Q1369" s="21" t="str">
        <f t="shared" si="4"/>
        <v/>
      </c>
      <c r="R1369" s="22">
        <f>IFERROR(__xludf.DUMMYFUNCTION("GOOGLEFINANCE(B1369, ""pe"")
"),17.94)</f>
        <v>17.94</v>
      </c>
    </row>
    <row r="1370">
      <c r="A1370" s="9" t="s">
        <v>1380</v>
      </c>
      <c r="B1370" s="11" t="str">
        <f t="shared" si="1"/>
        <v>NSE:SIMPLEXINF</v>
      </c>
      <c r="C1370" s="12">
        <f>IFERROR(__xludf.DUMMYFUNCTION("GOOGLEFINANCE(B1370,""marketcap"")/10000000"),2389.1614924)</f>
        <v>2389.161492</v>
      </c>
      <c r="D1370" s="13">
        <f>IFERROR(__xludf.DUMMYFUNCTION("GOOGLEFINANCE(B1370,""price"")"),310.05)</f>
        <v>310.05</v>
      </c>
      <c r="E1370" s="14">
        <f>IFERROR(__xludf.DUMMYFUNCTION("GOOGLEFINANCE(B1370,""Volume"")"),132815.0)</f>
        <v>132815</v>
      </c>
      <c r="F1370" s="14">
        <f t="array" ref="F1370">F1369</f>
        <v>14</v>
      </c>
      <c r="G1370" s="15" t="str">
        <f>IFERROR(__xludf.DUMMYFUNCTION("IF(E1370&gt;AVERAGE(INDEX(GOOGLEFINANCE(B1370,""volume"",WORKDAY(TODAY(),-$F$1),TODAY()),,2)),""Breakout"","""")"),"")</f>
        <v/>
      </c>
      <c r="H1370" s="16">
        <f>IFERROR(__xludf.DUMMYFUNCTION("GOOGLEFINANCE(B1370,""price"")"),310.05)</f>
        <v>310.05</v>
      </c>
      <c r="I1370" s="17">
        <f>IFERROR(__xludf.DUMMYFUNCTION("AVERAGE(QUERY(SORT(GOOGLEFINANCE(B1370,""price"",TODAY()-365,TODAY()),1,0),""select Col2 limit 10""))"),298.1)</f>
        <v>298.1</v>
      </c>
      <c r="J1370" s="17">
        <f>IFERROR(__xludf.DUMMYFUNCTION("AVERAGE(QUERY(SORT(GOOGLEFINANCE(B1370,""price"",TODAY()-365,TODAY()),1,0),""select Col2 limit 30""))"),279.0166666666667)</f>
        <v>279.0166667</v>
      </c>
      <c r="K1370" s="18">
        <f>IFERROR(__xludf.DUMMYFUNCTION("AVERAGE(QUERY(SORT(GOOGLEFINANCE(B1370,""price"",TODAY()-365,TODAY()),1,0),""select Col2 limit 60""))"),281.9624999999999)</f>
        <v>281.9625</v>
      </c>
      <c r="L1370" s="17">
        <f>IFERROR(__xludf.DUMMYFUNCTION("AVERAGE(QUERY(SORT(GOOGLEFINANCE(B1370,""price"",TODAY()-365,TODAY()),1,0),""select Col2 limit 90""))"),289.0683333333333)</f>
        <v>289.0683333</v>
      </c>
      <c r="M1370" s="17">
        <f>IFERROR(__xludf.DUMMYFUNCTION("AVERAGE(QUERY(SORT(GOOGLEFINANCE(B1370,""price"",TODAY()-365,TODAY()),1,0),""select Col2 limit 120""))"),283.1541666666666)</f>
        <v>283.1541667</v>
      </c>
      <c r="N1370" s="19">
        <f>IFERROR(__xludf.DUMMYFUNCTION("AVERAGE(QUERY(SORT(GOOGLEFINANCE(B1370,""price"",TODAY()-365,TODAY()),1,0),""select Col2 limit 200""))"),281.9954499999998)</f>
        <v>281.99545</v>
      </c>
      <c r="O1370" s="20" t="str">
        <f t="shared" si="2"/>
        <v>Avoid</v>
      </c>
      <c r="P1370" s="21" t="str">
        <f t="shared" si="3"/>
        <v/>
      </c>
      <c r="Q1370" s="21" t="str">
        <f t="shared" si="4"/>
        <v/>
      </c>
      <c r="R1370" s="22">
        <f>IFERROR(__xludf.DUMMYFUNCTION("GOOGLEFINANCE(B1370, ""pe"")
"),153.96)</f>
        <v>153.96</v>
      </c>
    </row>
    <row r="1371">
      <c r="A1371" s="9" t="s">
        <v>1381</v>
      </c>
      <c r="B1371" s="11" t="str">
        <f t="shared" si="1"/>
        <v>NSE:GHCLTEXTIL</v>
      </c>
      <c r="C1371" s="12">
        <f>IFERROR(__xludf.DUMMYFUNCTION("GOOGLEFINANCE(B1371,""marketcap"")/10000000"),870.308556)</f>
        <v>870.308556</v>
      </c>
      <c r="D1371" s="13">
        <f>IFERROR(__xludf.DUMMYFUNCTION("GOOGLEFINANCE(B1371,""price"")"),91.15)</f>
        <v>91.15</v>
      </c>
      <c r="E1371" s="14">
        <f>IFERROR(__xludf.DUMMYFUNCTION("GOOGLEFINANCE(B1371,""Volume"")"),47787.0)</f>
        <v>47787</v>
      </c>
      <c r="F1371" s="14">
        <f t="array" ref="F1371">F1370</f>
        <v>14</v>
      </c>
      <c r="G1371" s="15" t="str">
        <f>IFERROR(__xludf.DUMMYFUNCTION("IF(E1371&gt;AVERAGE(INDEX(GOOGLEFINANCE(B1371,""volume"",WORKDAY(TODAY(),-$F$1),TODAY()),,2)),""Breakout"","""")"),"")</f>
        <v/>
      </c>
      <c r="H1371" s="16">
        <f>IFERROR(__xludf.DUMMYFUNCTION("GOOGLEFINANCE(B1371,""price"")"),91.15)</f>
        <v>91.15</v>
      </c>
      <c r="I1371" s="17">
        <f>IFERROR(__xludf.DUMMYFUNCTION("AVERAGE(QUERY(SORT(GOOGLEFINANCE(B1371,""price"",TODAY()-365,TODAY()),1,0),""select Col2 limit 10""))"),92.743)</f>
        <v>92.743</v>
      </c>
      <c r="J1371" s="17">
        <f>IFERROR(__xludf.DUMMYFUNCTION("AVERAGE(QUERY(SORT(GOOGLEFINANCE(B1371,""price"",TODAY()-365,TODAY()),1,0),""select Col2 limit 30""))"),93.06066666666669)</f>
        <v>93.06066667</v>
      </c>
      <c r="K1371" s="18">
        <f>IFERROR(__xludf.DUMMYFUNCTION("AVERAGE(QUERY(SORT(GOOGLEFINANCE(B1371,""price"",TODAY()-365,TODAY()),1,0),""select Col2 limit 60""))"),90.8345)</f>
        <v>90.8345</v>
      </c>
      <c r="L1371" s="17">
        <f>IFERROR(__xludf.DUMMYFUNCTION("AVERAGE(QUERY(SORT(GOOGLEFINANCE(B1371,""price"",TODAY()-365,TODAY()),1,0),""select Col2 limit 90""))"),86.43544444444446)</f>
        <v>86.43544444</v>
      </c>
      <c r="M1371" s="17">
        <f>IFERROR(__xludf.DUMMYFUNCTION("AVERAGE(QUERY(SORT(GOOGLEFINANCE(B1371,""price"",TODAY()-365,TODAY()),1,0),""select Col2 limit 120""))"),85.91216666666674)</f>
        <v>85.91216667</v>
      </c>
      <c r="N1371" s="19">
        <f>IFERROR(__xludf.DUMMYFUNCTION("AVERAGE(QUERY(SORT(GOOGLEFINANCE(B1371,""price"",TODAY()-365,TODAY()),1,0),""select Col2 limit 200""))"),90.83960000000005)</f>
        <v>90.8396</v>
      </c>
      <c r="O1371" s="20" t="str">
        <f t="shared" si="2"/>
        <v>Avoid</v>
      </c>
      <c r="P1371" s="21" t="str">
        <f t="shared" si="3"/>
        <v/>
      </c>
      <c r="Q1371" s="21" t="str">
        <f t="shared" si="4"/>
        <v/>
      </c>
      <c r="R1371" s="22">
        <f>IFERROR(__xludf.DUMMYFUNCTION("GOOGLEFINANCE(B1371, ""pe"")
"),15.54)</f>
        <v>15.54</v>
      </c>
    </row>
    <row r="1372">
      <c r="A1372" s="9" t="s">
        <v>1382</v>
      </c>
      <c r="B1372" s="11" t="str">
        <f t="shared" si="1"/>
        <v>NSE:SCHAND</v>
      </c>
      <c r="C1372" s="12">
        <f>IFERROR(__xludf.DUMMYFUNCTION("GOOGLEFINANCE(B1372,""marketcap"")/10000000"),782.541786)</f>
        <v>782.541786</v>
      </c>
      <c r="D1372" s="13">
        <f>IFERROR(__xludf.DUMMYFUNCTION("GOOGLEFINANCE(B1372,""price"")"),222.0)</f>
        <v>222</v>
      </c>
      <c r="E1372" s="14">
        <f>IFERROR(__xludf.DUMMYFUNCTION("GOOGLEFINANCE(B1372,""Volume"")"),22264.0)</f>
        <v>22264</v>
      </c>
      <c r="F1372" s="14">
        <f t="array" ref="F1372">F1371</f>
        <v>14</v>
      </c>
      <c r="G1372" s="15" t="str">
        <f>IFERROR(__xludf.DUMMYFUNCTION("IF(E1372&gt;AVERAGE(INDEX(GOOGLEFINANCE(B1372,""volume"",WORKDAY(TODAY(),-$F$1),TODAY()),,2)),""Breakout"","""")"),"")</f>
        <v/>
      </c>
      <c r="H1372" s="16">
        <f>IFERROR(__xludf.DUMMYFUNCTION("GOOGLEFINANCE(B1372,""price"")"),222.0)</f>
        <v>222</v>
      </c>
      <c r="I1372" s="17">
        <f>IFERROR(__xludf.DUMMYFUNCTION("AVERAGE(QUERY(SORT(GOOGLEFINANCE(B1372,""price"",TODAY()-365,TODAY()),1,0),""select Col2 limit 10""))"),225.45600000000005)</f>
        <v>225.456</v>
      </c>
      <c r="J1372" s="17">
        <f>IFERROR(__xludf.DUMMYFUNCTION("AVERAGE(QUERY(SORT(GOOGLEFINANCE(B1372,""price"",TODAY()-365,TODAY()),1,0),""select Col2 limit 30""))"),230.91433333333333)</f>
        <v>230.9143333</v>
      </c>
      <c r="K1372" s="18">
        <f>IFERROR(__xludf.DUMMYFUNCTION("AVERAGE(QUERY(SORT(GOOGLEFINANCE(B1372,""price"",TODAY()-365,TODAY()),1,0),""select Col2 limit 60""))"),223.97483333333346)</f>
        <v>223.9748333</v>
      </c>
      <c r="L1372" s="17">
        <f>IFERROR(__xludf.DUMMYFUNCTION("AVERAGE(QUERY(SORT(GOOGLEFINANCE(B1372,""price"",TODAY()-365,TODAY()),1,0),""select Col2 limit 90""))"),212.4377777777778)</f>
        <v>212.4377778</v>
      </c>
      <c r="M1372" s="17">
        <f>IFERROR(__xludf.DUMMYFUNCTION("AVERAGE(QUERY(SORT(GOOGLEFINANCE(B1372,""price"",TODAY()-365,TODAY()),1,0),""select Col2 limit 120""))"),203.69475000000003)</f>
        <v>203.69475</v>
      </c>
      <c r="N1372" s="19">
        <f>IFERROR(__xludf.DUMMYFUNCTION("AVERAGE(QUERY(SORT(GOOGLEFINANCE(B1372,""price"",TODAY()-365,TODAY()),1,0),""select Col2 limit 200""))"),207.04225000000005)</f>
        <v>207.04225</v>
      </c>
      <c r="O1372" s="20" t="str">
        <f t="shared" si="2"/>
        <v>Avoid</v>
      </c>
      <c r="P1372" s="21" t="str">
        <f t="shared" si="3"/>
        <v>60 DMA</v>
      </c>
      <c r="Q1372" s="21" t="str">
        <f t="shared" si="4"/>
        <v/>
      </c>
      <c r="R1372" s="22">
        <f>IFERROR(__xludf.DUMMYFUNCTION("GOOGLEFINANCE(B1372, ""pe"")
"),12.31)</f>
        <v>12.31</v>
      </c>
    </row>
    <row r="1373">
      <c r="A1373" s="9" t="s">
        <v>1383</v>
      </c>
      <c r="B1373" s="11" t="str">
        <f t="shared" si="1"/>
        <v>NSE:PRIMESECU</v>
      </c>
      <c r="C1373" s="12">
        <f>IFERROR(__xludf.DUMMYFUNCTION("GOOGLEFINANCE(B1373,""marketcap"")/10000000"),979.6008812)</f>
        <v>979.6008812</v>
      </c>
      <c r="D1373" s="13">
        <f>IFERROR(__xludf.DUMMYFUNCTION("GOOGLEFINANCE(B1373,""price"")"),289.5)</f>
        <v>289.5</v>
      </c>
      <c r="E1373" s="14">
        <f>IFERROR(__xludf.DUMMYFUNCTION("GOOGLEFINANCE(B1373,""Volume"")"),40777.0)</f>
        <v>40777</v>
      </c>
      <c r="F1373" s="14">
        <f t="array" ref="F1373">F1372</f>
        <v>14</v>
      </c>
      <c r="G1373" s="15" t="str">
        <f>IFERROR(__xludf.DUMMYFUNCTION("IF(E1373&gt;AVERAGE(INDEX(GOOGLEFINANCE(B1373,""volume"",WORKDAY(TODAY(),-$F$1),TODAY()),,2)),""Breakout"","""")"),"")</f>
        <v/>
      </c>
      <c r="H1373" s="16">
        <f>IFERROR(__xludf.DUMMYFUNCTION("GOOGLEFINANCE(B1373,""price"")"),289.5)</f>
        <v>289.5</v>
      </c>
      <c r="I1373" s="17">
        <f>IFERROR(__xludf.DUMMYFUNCTION("AVERAGE(QUERY(SORT(GOOGLEFINANCE(B1373,""price"",TODAY()-365,TODAY()),1,0),""select Col2 limit 10""))"),293.895)</f>
        <v>293.895</v>
      </c>
      <c r="J1373" s="17">
        <f>IFERROR(__xludf.DUMMYFUNCTION("AVERAGE(QUERY(SORT(GOOGLEFINANCE(B1373,""price"",TODAY()-365,TODAY()),1,0),""select Col2 limit 30""))"),282.419)</f>
        <v>282.419</v>
      </c>
      <c r="K1373" s="18">
        <f>IFERROR(__xludf.DUMMYFUNCTION("AVERAGE(QUERY(SORT(GOOGLEFINANCE(B1373,""price"",TODAY()-365,TODAY()),1,0),""select Col2 limit 60""))"),264.84816666666666)</f>
        <v>264.8481667</v>
      </c>
      <c r="L1373" s="17">
        <f>IFERROR(__xludf.DUMMYFUNCTION("AVERAGE(QUERY(SORT(GOOGLEFINANCE(B1373,""price"",TODAY()-365,TODAY()),1,0),""select Col2 limit 90""))"),255.32377777777785)</f>
        <v>255.3237778</v>
      </c>
      <c r="M1373" s="17">
        <f>IFERROR(__xludf.DUMMYFUNCTION("AVERAGE(QUERY(SORT(GOOGLEFINANCE(B1373,""price"",TODAY()-365,TODAY()),1,0),""select Col2 limit 120""))"),247.60900000000004)</f>
        <v>247.609</v>
      </c>
      <c r="N1373" s="19">
        <f>IFERROR(__xludf.DUMMYFUNCTION("AVERAGE(QUERY(SORT(GOOGLEFINANCE(B1373,""price"",TODAY()-365,TODAY()),1,0),""select Col2 limit 200""))"),264.3306500000001)</f>
        <v>264.33065</v>
      </c>
      <c r="O1373" s="20" t="str">
        <f t="shared" si="2"/>
        <v>Avoid</v>
      </c>
      <c r="P1373" s="21" t="str">
        <f t="shared" si="3"/>
        <v/>
      </c>
      <c r="Q1373" s="21" t="str">
        <f t="shared" si="4"/>
        <v/>
      </c>
      <c r="R1373" s="22">
        <f>IFERROR(__xludf.DUMMYFUNCTION("GOOGLEFINANCE(B1373, ""pe"")
"),26.93)</f>
        <v>26.93</v>
      </c>
    </row>
    <row r="1374">
      <c r="A1374" s="9" t="s">
        <v>1384</v>
      </c>
      <c r="B1374" s="11" t="str">
        <f t="shared" si="1"/>
        <v>NSE:EMAMIPAP</v>
      </c>
      <c r="C1374" s="12">
        <f>IFERROR(__xludf.DUMMYFUNCTION("GOOGLEFINANCE(B1374,""marketcap"")/10000000"),590.116361)</f>
        <v>590.116361</v>
      </c>
      <c r="D1374" s="13">
        <f>IFERROR(__xludf.DUMMYFUNCTION("GOOGLEFINANCE(B1374,""price"")"),97.84)</f>
        <v>97.84</v>
      </c>
      <c r="E1374" s="14">
        <f>IFERROR(__xludf.DUMMYFUNCTION("GOOGLEFINANCE(B1374,""Volume"")"),8120.0)</f>
        <v>8120</v>
      </c>
      <c r="F1374" s="14">
        <f t="array" ref="F1374">F1373</f>
        <v>14</v>
      </c>
      <c r="G1374" s="15" t="str">
        <f>IFERROR(__xludf.DUMMYFUNCTION("IF(E1374&gt;AVERAGE(INDEX(GOOGLEFINANCE(B1374,""volume"",WORKDAY(TODAY(),-$F$1),TODAY()),,2)),""Breakout"","""")"),"")</f>
        <v/>
      </c>
      <c r="H1374" s="16">
        <f>IFERROR(__xludf.DUMMYFUNCTION("GOOGLEFINANCE(B1374,""price"")"),97.84)</f>
        <v>97.84</v>
      </c>
      <c r="I1374" s="17">
        <f>IFERROR(__xludf.DUMMYFUNCTION("AVERAGE(QUERY(SORT(GOOGLEFINANCE(B1374,""price"",TODAY()-365,TODAY()),1,0),""select Col2 limit 10""))"),100.62500000000001)</f>
        <v>100.625</v>
      </c>
      <c r="J1374" s="17">
        <f>IFERROR(__xludf.DUMMYFUNCTION("AVERAGE(QUERY(SORT(GOOGLEFINANCE(B1374,""price"",TODAY()-365,TODAY()),1,0),""select Col2 limit 30""))"),99.52233333333331)</f>
        <v>99.52233333</v>
      </c>
      <c r="K1374" s="18">
        <f>IFERROR(__xludf.DUMMYFUNCTION("AVERAGE(QUERY(SORT(GOOGLEFINANCE(B1374,""price"",TODAY()-365,TODAY()),1,0),""select Col2 limit 60""))"),97.84833333333333)</f>
        <v>97.84833333</v>
      </c>
      <c r="L1374" s="17">
        <f>IFERROR(__xludf.DUMMYFUNCTION("AVERAGE(QUERY(SORT(GOOGLEFINANCE(B1374,""price"",TODAY()-365,TODAY()),1,0),""select Col2 limit 90""))"),95.65766666666666)</f>
        <v>95.65766667</v>
      </c>
      <c r="M1374" s="17">
        <f>IFERROR(__xludf.DUMMYFUNCTION("AVERAGE(QUERY(SORT(GOOGLEFINANCE(B1374,""price"",TODAY()-365,TODAY()),1,0),""select Col2 limit 120""))"),95.6395)</f>
        <v>95.6395</v>
      </c>
      <c r="N1374" s="19">
        <f>IFERROR(__xludf.DUMMYFUNCTION("AVERAGE(QUERY(SORT(GOOGLEFINANCE(B1374,""price"",TODAY()-365,TODAY()),1,0),""select Col2 limit 200""))"),100.85654999999998)</f>
        <v>100.85655</v>
      </c>
      <c r="O1374" s="20" t="str">
        <f t="shared" si="2"/>
        <v>Avoid</v>
      </c>
      <c r="P1374" s="21" t="str">
        <f t="shared" si="3"/>
        <v>60 DMA</v>
      </c>
      <c r="Q1374" s="21" t="str">
        <f t="shared" si="4"/>
        <v/>
      </c>
      <c r="R1374" s="22">
        <f>IFERROR(__xludf.DUMMYFUNCTION("GOOGLEFINANCE(B1374, ""pe"")
"),29.47)</f>
        <v>29.47</v>
      </c>
    </row>
    <row r="1375">
      <c r="A1375" s="9" t="s">
        <v>1385</v>
      </c>
      <c r="B1375" s="11" t="str">
        <f t="shared" si="1"/>
        <v>NSE:HINDCOMPOS</v>
      </c>
      <c r="C1375" s="12">
        <f>IFERROR(__xludf.DUMMYFUNCTION("GOOGLEFINANCE(B1375,""marketcap"")/10000000"),721.022598)</f>
        <v>721.022598</v>
      </c>
      <c r="D1375" s="13">
        <f>IFERROR(__xludf.DUMMYFUNCTION("GOOGLEFINANCE(B1375,""price"")"),487.55)</f>
        <v>487.55</v>
      </c>
      <c r="E1375" s="14">
        <f>IFERROR(__xludf.DUMMYFUNCTION("GOOGLEFINANCE(B1375,""Volume"")"),1569.0)</f>
        <v>1569</v>
      </c>
      <c r="F1375" s="14">
        <f t="array" ref="F1375">F1374</f>
        <v>14</v>
      </c>
      <c r="G1375" s="15" t="str">
        <f>IFERROR(__xludf.DUMMYFUNCTION("IF(E1375&gt;AVERAGE(INDEX(GOOGLEFINANCE(B1375,""volume"",WORKDAY(TODAY(),-$F$1),TODAY()),,2)),""Breakout"","""")"),"")</f>
        <v/>
      </c>
      <c r="H1375" s="16">
        <f>IFERROR(__xludf.DUMMYFUNCTION("GOOGLEFINANCE(B1375,""price"")"),487.55)</f>
        <v>487.55</v>
      </c>
      <c r="I1375" s="17">
        <f>IFERROR(__xludf.DUMMYFUNCTION("AVERAGE(QUERY(SORT(GOOGLEFINANCE(B1375,""price"",TODAY()-365,TODAY()),1,0),""select Col2 limit 10""))"),489.1)</f>
        <v>489.1</v>
      </c>
      <c r="J1375" s="17">
        <f>IFERROR(__xludf.DUMMYFUNCTION("AVERAGE(QUERY(SORT(GOOGLEFINANCE(B1375,""price"",TODAY()-365,TODAY()),1,0),""select Col2 limit 30""))"),486.1866666666667)</f>
        <v>486.1866667</v>
      </c>
      <c r="K1375" s="18">
        <f>IFERROR(__xludf.DUMMYFUNCTION("AVERAGE(QUERY(SORT(GOOGLEFINANCE(B1375,""price"",TODAY()-365,TODAY()),1,0),""select Col2 limit 60""))"),476.6125)</f>
        <v>476.6125</v>
      </c>
      <c r="L1375" s="17">
        <f>IFERROR(__xludf.DUMMYFUNCTION("AVERAGE(QUERY(SORT(GOOGLEFINANCE(B1375,""price"",TODAY()-365,TODAY()),1,0),""select Col2 limit 90""))"),463.1972222222223)</f>
        <v>463.1972222</v>
      </c>
      <c r="M1375" s="17">
        <f>IFERROR(__xludf.DUMMYFUNCTION("AVERAGE(QUERY(SORT(GOOGLEFINANCE(B1375,""price"",TODAY()-365,TODAY()),1,0),""select Col2 limit 120""))"),458.40833333333336)</f>
        <v>458.4083333</v>
      </c>
      <c r="N1375" s="19">
        <f>IFERROR(__xludf.DUMMYFUNCTION("AVERAGE(QUERY(SORT(GOOGLEFINANCE(B1375,""price"",TODAY()-365,TODAY()),1,0),""select Col2 limit 200""))"),475.55174999999974)</f>
        <v>475.55175</v>
      </c>
      <c r="O1375" s="20" t="str">
        <f t="shared" si="2"/>
        <v>Avoid</v>
      </c>
      <c r="P1375" s="21" t="str">
        <f t="shared" si="3"/>
        <v>10 DMA</v>
      </c>
      <c r="Q1375" s="21" t="str">
        <f t="shared" si="4"/>
        <v/>
      </c>
      <c r="R1375" s="22">
        <f>IFERROR(__xludf.DUMMYFUNCTION("GOOGLEFINANCE(B1375, ""pe"")
"),20.6)</f>
        <v>20.6</v>
      </c>
    </row>
    <row r="1376">
      <c r="A1376" s="9" t="s">
        <v>1386</v>
      </c>
      <c r="B1376" s="11" t="str">
        <f t="shared" si="1"/>
        <v>NSE:CHEMBOND</v>
      </c>
      <c r="C1376" s="12">
        <f>IFERROR(__xludf.DUMMYFUNCTION("GOOGLEFINANCE(B1376,""marketcap"")/10000000"),256.0350884)</f>
        <v>256.0350884</v>
      </c>
      <c r="D1376" s="13">
        <f>IFERROR(__xludf.DUMMYFUNCTION("GOOGLEFINANCE(B1376,""price"")"),190.5)</f>
        <v>190.5</v>
      </c>
      <c r="E1376" s="14">
        <f>IFERROR(__xludf.DUMMYFUNCTION("GOOGLEFINANCE(B1376,""Volume"")"),36102.0)</f>
        <v>36102</v>
      </c>
      <c r="F1376" s="14">
        <f t="array" ref="F1376">F1375</f>
        <v>14</v>
      </c>
      <c r="G1376" s="15" t="str">
        <f>IFERROR(__xludf.DUMMYFUNCTION("IF(E1376&gt;AVERAGE(INDEX(GOOGLEFINANCE(B1376,""volume"",WORKDAY(TODAY(),-$F$1),TODAY()),,2)),""Breakout"","""")"),"Breakout")</f>
        <v>Breakout</v>
      </c>
      <c r="H1376" s="16">
        <f>IFERROR(__xludf.DUMMYFUNCTION("GOOGLEFINANCE(B1376,""price"")"),190.5)</f>
        <v>190.5</v>
      </c>
      <c r="I1376" s="17">
        <f>IFERROR(__xludf.DUMMYFUNCTION("AVERAGE(QUERY(SORT(GOOGLEFINANCE(B1376,""price"",TODAY()-365,TODAY()),1,0),""select Col2 limit 10""))"),217.266)</f>
        <v>217.266</v>
      </c>
      <c r="J1376" s="17">
        <f>IFERROR(__xludf.DUMMYFUNCTION("AVERAGE(QUERY(SORT(GOOGLEFINANCE(B1376,""price"",TODAY()-365,TODAY()),1,0),""select Col2 limit 30""))"),224.62833333333336)</f>
        <v>224.6283333</v>
      </c>
      <c r="K1376" s="18">
        <f>IFERROR(__xludf.DUMMYFUNCTION("AVERAGE(QUERY(SORT(GOOGLEFINANCE(B1376,""price"",TODAY()-365,TODAY()),1,0),""select Col2 limit 60""))"),264.022)</f>
        <v>264.022</v>
      </c>
      <c r="L1376" s="17">
        <f>IFERROR(__xludf.DUMMYFUNCTION("AVERAGE(QUERY(SORT(GOOGLEFINANCE(B1376,""price"",TODAY()-365,TODAY()),1,0),""select Col2 limit 90""))"),349.63800000000003)</f>
        <v>349.638</v>
      </c>
      <c r="M1376" s="17">
        <f>IFERROR(__xludf.DUMMYFUNCTION("AVERAGE(QUERY(SORT(GOOGLEFINANCE(B1376,""price"",TODAY()-365,TODAY()),1,0),""select Col2 limit 120""))"),402.37100000000004)</f>
        <v>402.371</v>
      </c>
      <c r="N1376" s="19">
        <f>IFERROR(__xludf.DUMMYFUNCTION("AVERAGE(QUERY(SORT(GOOGLEFINANCE(B1376,""price"",TODAY()-365,TODAY()),1,0),""select Col2 limit 200""))"),472.97284999999994)</f>
        <v>472.97285</v>
      </c>
      <c r="O1376" s="20" t="str">
        <f t="shared" si="2"/>
        <v>Avoid</v>
      </c>
      <c r="P1376" s="21" t="str">
        <f t="shared" si="3"/>
        <v/>
      </c>
      <c r="Q1376" s="21" t="str">
        <f t="shared" si="4"/>
        <v/>
      </c>
      <c r="R1376" s="22">
        <f>IFERROR(__xludf.DUMMYFUNCTION("GOOGLEFINANCE(B1376, ""pe"")
"),14.59)</f>
        <v>14.59</v>
      </c>
    </row>
    <row r="1377">
      <c r="A1377" s="9" t="s">
        <v>1387</v>
      </c>
      <c r="B1377" s="11" t="str">
        <f t="shared" si="1"/>
        <v>NSE:SPECIALITY</v>
      </c>
      <c r="C1377" s="12">
        <f>IFERROR(__xludf.DUMMYFUNCTION("GOOGLEFINANCE(B1377,""marketcap"")/10000000"),637.6752782)</f>
        <v>637.6752782</v>
      </c>
      <c r="D1377" s="13">
        <f>IFERROR(__xludf.DUMMYFUNCTION("GOOGLEFINANCE(B1377,""price"")"),132.2)</f>
        <v>132.2</v>
      </c>
      <c r="E1377" s="14">
        <f>IFERROR(__xludf.DUMMYFUNCTION("GOOGLEFINANCE(B1377,""Volume"")"),7934.0)</f>
        <v>7934</v>
      </c>
      <c r="F1377" s="14">
        <f t="array" ref="F1377">F1376</f>
        <v>14</v>
      </c>
      <c r="G1377" s="15" t="str">
        <f>IFERROR(__xludf.DUMMYFUNCTION("IF(E1377&gt;AVERAGE(INDEX(GOOGLEFINANCE(B1377,""volume"",WORKDAY(TODAY(),-$F$1),TODAY()),,2)),""Breakout"","""")"),"")</f>
        <v/>
      </c>
      <c r="H1377" s="16">
        <f>IFERROR(__xludf.DUMMYFUNCTION("GOOGLEFINANCE(B1377,""price"")"),132.2)</f>
        <v>132.2</v>
      </c>
      <c r="I1377" s="17">
        <f>IFERROR(__xludf.DUMMYFUNCTION("AVERAGE(QUERY(SORT(GOOGLEFINANCE(B1377,""price"",TODAY()-365,TODAY()),1,0),""select Col2 limit 10""))"),135.31300000000002)</f>
        <v>135.313</v>
      </c>
      <c r="J1377" s="17">
        <f>IFERROR(__xludf.DUMMYFUNCTION("AVERAGE(QUERY(SORT(GOOGLEFINANCE(B1377,""price"",TODAY()-365,TODAY()),1,0),""select Col2 limit 30""))"),129.71566666666664)</f>
        <v>129.7156667</v>
      </c>
      <c r="K1377" s="18">
        <f>IFERROR(__xludf.DUMMYFUNCTION("AVERAGE(QUERY(SORT(GOOGLEFINANCE(B1377,""price"",TODAY()-365,TODAY()),1,0),""select Col2 limit 60""))"),130.86766666666665)</f>
        <v>130.8676667</v>
      </c>
      <c r="L1377" s="17">
        <f>IFERROR(__xludf.DUMMYFUNCTION("AVERAGE(QUERY(SORT(GOOGLEFINANCE(B1377,""price"",TODAY()-365,TODAY()),1,0),""select Col2 limit 90""))"),133.60966666666667)</f>
        <v>133.6096667</v>
      </c>
      <c r="M1377" s="17">
        <f>IFERROR(__xludf.DUMMYFUNCTION("AVERAGE(QUERY(SORT(GOOGLEFINANCE(B1377,""price"",TODAY()-365,TODAY()),1,0),""select Col2 limit 120""))"),134.0225833333333)</f>
        <v>134.0225833</v>
      </c>
      <c r="N1377" s="19">
        <f>IFERROR(__xludf.DUMMYFUNCTION("AVERAGE(QUERY(SORT(GOOGLEFINANCE(B1377,""price"",TODAY()-365,TODAY()),1,0),""select Col2 limit 200""))"),141.65399999999994)</f>
        <v>141.654</v>
      </c>
      <c r="O1377" s="20" t="str">
        <f t="shared" si="2"/>
        <v>Avoid</v>
      </c>
      <c r="P1377" s="21" t="str">
        <f t="shared" si="3"/>
        <v/>
      </c>
      <c r="Q1377" s="21" t="str">
        <f t="shared" si="4"/>
        <v/>
      </c>
      <c r="R1377" s="22">
        <f>IFERROR(__xludf.DUMMYFUNCTION("GOOGLEFINANCE(B1377, ""pe"")
"),29.31)</f>
        <v>29.31</v>
      </c>
    </row>
    <row r="1378">
      <c r="A1378" s="9" t="s">
        <v>1388</v>
      </c>
      <c r="B1378" s="11" t="str">
        <f t="shared" si="1"/>
        <v>NSE:ZEEMEDIA</v>
      </c>
      <c r="C1378" s="12">
        <f>IFERROR(__xludf.DUMMYFUNCTION("GOOGLEFINANCE(B1378,""marketcap"")/10000000"),857.4626129)</f>
        <v>857.4626129</v>
      </c>
      <c r="D1378" s="13">
        <f>IFERROR(__xludf.DUMMYFUNCTION("GOOGLEFINANCE(B1378,""price"")"),13.78)</f>
        <v>13.78</v>
      </c>
      <c r="E1378" s="14">
        <f>IFERROR(__xludf.DUMMYFUNCTION("GOOGLEFINANCE(B1378,""Volume"")"),1255526.0)</f>
        <v>1255526</v>
      </c>
      <c r="F1378" s="14">
        <f t="array" ref="F1378">F1377</f>
        <v>14</v>
      </c>
      <c r="G1378" s="15" t="str">
        <f>IFERROR(__xludf.DUMMYFUNCTION("IF(E1378&gt;AVERAGE(INDEX(GOOGLEFINANCE(B1378,""volume"",WORKDAY(TODAY(),-$F$1),TODAY()),,2)),""Breakout"","""")"),"")</f>
        <v/>
      </c>
      <c r="H1378" s="16">
        <f>IFERROR(__xludf.DUMMYFUNCTION("GOOGLEFINANCE(B1378,""price"")"),13.78)</f>
        <v>13.78</v>
      </c>
      <c r="I1378" s="17">
        <f>IFERROR(__xludf.DUMMYFUNCTION("AVERAGE(QUERY(SORT(GOOGLEFINANCE(B1378,""price"",TODAY()-365,TODAY()),1,0),""select Col2 limit 10""))"),14.187000000000001)</f>
        <v>14.187</v>
      </c>
      <c r="J1378" s="17">
        <f>IFERROR(__xludf.DUMMYFUNCTION("AVERAGE(QUERY(SORT(GOOGLEFINANCE(B1378,""price"",TODAY()-365,TODAY()),1,0),""select Col2 limit 30""))"),14.357666666666667)</f>
        <v>14.35766667</v>
      </c>
      <c r="K1378" s="18">
        <f>IFERROR(__xludf.DUMMYFUNCTION("AVERAGE(QUERY(SORT(GOOGLEFINANCE(B1378,""price"",TODAY()-365,TODAY()),1,0),""select Col2 limit 60""))"),14.251833333333332)</f>
        <v>14.25183333</v>
      </c>
      <c r="L1378" s="17">
        <f>IFERROR(__xludf.DUMMYFUNCTION("AVERAGE(QUERY(SORT(GOOGLEFINANCE(B1378,""price"",TODAY()-365,TODAY()),1,0),""select Col2 limit 90""))"),14.064222222222222)</f>
        <v>14.06422222</v>
      </c>
      <c r="M1378" s="17">
        <f>IFERROR(__xludf.DUMMYFUNCTION("AVERAGE(QUERY(SORT(GOOGLEFINANCE(B1378,""price"",TODAY()-365,TODAY()),1,0),""select Col2 limit 120""))"),14.17108333333333)</f>
        <v>14.17108333</v>
      </c>
      <c r="N1378" s="19">
        <f>IFERROR(__xludf.DUMMYFUNCTION("AVERAGE(QUERY(SORT(GOOGLEFINANCE(B1378,""price"",TODAY()-365,TODAY()),1,0),""select Col2 limit 200""))"),16.343549999999983)</f>
        <v>16.34355</v>
      </c>
      <c r="O1378" s="20" t="str">
        <f t="shared" si="2"/>
        <v>Avoid</v>
      </c>
      <c r="P1378" s="21" t="str">
        <f t="shared" si="3"/>
        <v/>
      </c>
      <c r="Q1378" s="21" t="str">
        <f t="shared" si="4"/>
        <v/>
      </c>
      <c r="R1378" s="22" t="str">
        <f>IFERROR(__xludf.DUMMYFUNCTION("GOOGLEFINANCE(B1378, ""pe"")
"),"#N/A")</f>
        <v>#N/A</v>
      </c>
    </row>
    <row r="1379">
      <c r="A1379" s="9" t="s">
        <v>1389</v>
      </c>
      <c r="B1379" s="11" t="str">
        <f t="shared" si="1"/>
        <v>NSE:SHREYAS</v>
      </c>
      <c r="C1379" s="12" t="str">
        <f>IFERROR(__xludf.DUMMYFUNCTION("GOOGLEFINANCE(B1379,""marketcap"")/10000000"),"#N/A")</f>
        <v>#N/A</v>
      </c>
      <c r="D1379" s="13" t="str">
        <f>IFERROR(__xludf.DUMMYFUNCTION("GOOGLEFINANCE(B1379,""price"")"),"#N/A")</f>
        <v>#N/A</v>
      </c>
      <c r="E1379" s="14" t="str">
        <f>IFERROR(__xludf.DUMMYFUNCTION("GOOGLEFINANCE(B1379,""Volume"")"),"#N/A")</f>
        <v>#N/A</v>
      </c>
      <c r="F1379" s="14">
        <f t="array" ref="F1379">F1378</f>
        <v>14</v>
      </c>
      <c r="G1379" s="15" t="str">
        <f>IFERROR(__xludf.DUMMYFUNCTION("IF(E1379&gt;AVERAGE(INDEX(GOOGLEFINANCE(B1379,""volume"",WORKDAY(TODAY(),-$F$1),TODAY()),,2)),""Breakout"","""")"),"#N/A")</f>
        <v>#N/A</v>
      </c>
      <c r="H1379" s="16" t="str">
        <f>IFERROR(__xludf.DUMMYFUNCTION("GOOGLEFINANCE(B1379,""price"")"),"#N/A")</f>
        <v>#N/A</v>
      </c>
      <c r="I1379" s="17" t="str">
        <f>IFERROR(__xludf.DUMMYFUNCTION("AVERAGE(QUERY(SORT(GOOGLEFINANCE(B1379,""price"",TODAY()-365,TODAY()),1,0),""select Col2 limit 10""))"),"#N/A")</f>
        <v>#N/A</v>
      </c>
      <c r="J1379" s="17" t="str">
        <f>IFERROR(__xludf.DUMMYFUNCTION("AVERAGE(QUERY(SORT(GOOGLEFINANCE(B1379,""price"",TODAY()-365,TODAY()),1,0),""select Col2 limit 30""))"),"#N/A")</f>
        <v>#N/A</v>
      </c>
      <c r="K1379" s="18" t="str">
        <f>IFERROR(__xludf.DUMMYFUNCTION("AVERAGE(QUERY(SORT(GOOGLEFINANCE(B1379,""price"",TODAY()-365,TODAY()),1,0),""select Col2 limit 60""))"),"#N/A")</f>
        <v>#N/A</v>
      </c>
      <c r="L1379" s="17" t="str">
        <f>IFERROR(__xludf.DUMMYFUNCTION("AVERAGE(QUERY(SORT(GOOGLEFINANCE(B1379,""price"",TODAY()-365,TODAY()),1,0),""select Col2 limit 90""))"),"#N/A")</f>
        <v>#N/A</v>
      </c>
      <c r="M1379" s="17" t="str">
        <f>IFERROR(__xludf.DUMMYFUNCTION("AVERAGE(QUERY(SORT(GOOGLEFINANCE(B1379,""price"",TODAY()-365,TODAY()),1,0),""select Col2 limit 120""))"),"#N/A")</f>
        <v>#N/A</v>
      </c>
      <c r="N1379" s="19" t="str">
        <f>IFERROR(__xludf.DUMMYFUNCTION("AVERAGE(QUERY(SORT(GOOGLEFINANCE(B1379,""price"",TODAY()-365,TODAY()),1,0),""select Col2 limit 200""))"),"#N/A")</f>
        <v>#N/A</v>
      </c>
      <c r="O1379" s="20" t="str">
        <f t="shared" si="2"/>
        <v>#N/A</v>
      </c>
      <c r="P1379" s="21" t="str">
        <f t="shared" si="3"/>
        <v>#N/A</v>
      </c>
      <c r="Q1379" s="21" t="str">
        <f t="shared" si="4"/>
        <v>#N/A</v>
      </c>
      <c r="R1379" s="22" t="str">
        <f>IFERROR(__xludf.DUMMYFUNCTION("GOOGLEFINANCE(B1379, ""pe"")
"),"#N/A")</f>
        <v>#N/A</v>
      </c>
    </row>
    <row r="1380">
      <c r="A1380" s="9" t="s">
        <v>1390</v>
      </c>
      <c r="B1380" s="11" t="str">
        <f t="shared" si="1"/>
        <v>NSE:ASHIMASYN</v>
      </c>
      <c r="C1380" s="12">
        <f>IFERROR(__xludf.DUMMYFUNCTION("GOOGLEFINANCE(B1380,""marketcap"")/10000000"),482.6034506)</f>
        <v>482.6034506</v>
      </c>
      <c r="D1380" s="13">
        <f>IFERROR(__xludf.DUMMYFUNCTION("GOOGLEFINANCE(B1380,""price"")"),25.35)</f>
        <v>25.35</v>
      </c>
      <c r="E1380" s="14">
        <f>IFERROR(__xludf.DUMMYFUNCTION("GOOGLEFINANCE(B1380,""Volume"")"),43547.0)</f>
        <v>43547</v>
      </c>
      <c r="F1380" s="14">
        <f t="array" ref="F1380">F1379</f>
        <v>14</v>
      </c>
      <c r="G1380" s="15" t="str">
        <f>IFERROR(__xludf.DUMMYFUNCTION("IF(E1380&gt;AVERAGE(INDEX(GOOGLEFINANCE(B1380,""volume"",WORKDAY(TODAY(),-$F$1),TODAY()),,2)),""Breakout"","""")"),"")</f>
        <v/>
      </c>
      <c r="H1380" s="16">
        <f>IFERROR(__xludf.DUMMYFUNCTION("GOOGLEFINANCE(B1380,""price"")"),25.35)</f>
        <v>25.35</v>
      </c>
      <c r="I1380" s="17">
        <f>IFERROR(__xludf.DUMMYFUNCTION("AVERAGE(QUERY(SORT(GOOGLEFINANCE(B1380,""price"",TODAY()-365,TODAY()),1,0),""select Col2 limit 10""))"),27.29)</f>
        <v>27.29</v>
      </c>
      <c r="J1380" s="17">
        <f>IFERROR(__xludf.DUMMYFUNCTION("AVERAGE(QUERY(SORT(GOOGLEFINANCE(B1380,""price"",TODAY()-365,TODAY()),1,0),""select Col2 limit 30""))"),27.94433333333333)</f>
        <v>27.94433333</v>
      </c>
      <c r="K1380" s="18">
        <f>IFERROR(__xludf.DUMMYFUNCTION("AVERAGE(QUERY(SORT(GOOGLEFINANCE(B1380,""price"",TODAY()-365,TODAY()),1,0),""select Col2 limit 60""))"),29.86266666666667)</f>
        <v>29.86266667</v>
      </c>
      <c r="L1380" s="17">
        <f>IFERROR(__xludf.DUMMYFUNCTION("AVERAGE(QUERY(SORT(GOOGLEFINANCE(B1380,""price"",TODAY()-365,TODAY()),1,0),""select Col2 limit 90""))"),27.649000000000008)</f>
        <v>27.649</v>
      </c>
      <c r="M1380" s="17">
        <f>IFERROR(__xludf.DUMMYFUNCTION("AVERAGE(QUERY(SORT(GOOGLEFINANCE(B1380,""price"",TODAY()-365,TODAY()),1,0),""select Col2 limit 120""))"),26.862833333333338)</f>
        <v>26.86283333</v>
      </c>
      <c r="N1380" s="19">
        <f>IFERROR(__xludf.DUMMYFUNCTION("AVERAGE(QUERY(SORT(GOOGLEFINANCE(B1380,""price"",TODAY()-365,TODAY()),1,0),""select Col2 limit 200""))"),29.403150000000018)</f>
        <v>29.40315</v>
      </c>
      <c r="O1380" s="20" t="str">
        <f t="shared" si="2"/>
        <v>Avoid</v>
      </c>
      <c r="P1380" s="21" t="str">
        <f t="shared" si="3"/>
        <v/>
      </c>
      <c r="Q1380" s="21" t="str">
        <f t="shared" si="4"/>
        <v/>
      </c>
      <c r="R1380" s="22" t="str">
        <f>IFERROR(__xludf.DUMMYFUNCTION("GOOGLEFINANCE(B1380, ""pe"")
"),"#N/A")</f>
        <v>#N/A</v>
      </c>
    </row>
    <row r="1381">
      <c r="A1381" s="9" t="s">
        <v>1391</v>
      </c>
      <c r="B1381" s="11" t="str">
        <f t="shared" si="1"/>
        <v>NSE:SABTNL</v>
      </c>
      <c r="C1381" s="12">
        <f>IFERROR(__xludf.DUMMYFUNCTION("GOOGLEFINANCE(B1381,""marketcap"")/10000000"),2157.7250843)</f>
        <v>2157.725084</v>
      </c>
      <c r="D1381" s="13">
        <f>IFERROR(__xludf.DUMMYFUNCTION("GOOGLEFINANCE(B1381,""price"")"),850.4)</f>
        <v>850.4</v>
      </c>
      <c r="E1381" s="14">
        <f>IFERROR(__xludf.DUMMYFUNCTION("GOOGLEFINANCE(B1381,""Volume"")"),10412.0)</f>
        <v>10412</v>
      </c>
      <c r="F1381" s="14">
        <f t="array" ref="F1381">F1380</f>
        <v>14</v>
      </c>
      <c r="G1381" s="15" t="str">
        <f>IFERROR(__xludf.DUMMYFUNCTION("IF(E1381&gt;AVERAGE(INDEX(GOOGLEFINANCE(B1381,""volume"",WORKDAY(TODAY(),-$F$1),TODAY()),,2)),""Breakout"","""")"),"#N/A")</f>
        <v>#N/A</v>
      </c>
      <c r="H1381" s="16">
        <f>IFERROR(__xludf.DUMMYFUNCTION("GOOGLEFINANCE(B1381,""price"")"),850.4)</f>
        <v>850.4</v>
      </c>
      <c r="I1381" s="17">
        <f>IFERROR(__xludf.DUMMYFUNCTION("AVERAGE(QUERY(SORT(GOOGLEFINANCE(B1381,""price"",TODAY()-365,TODAY()),1,0),""select Col2 limit 10""))"),1031.205)</f>
        <v>1031.205</v>
      </c>
      <c r="J1381" s="17">
        <f>IFERROR(__xludf.DUMMYFUNCTION("AVERAGE(QUERY(SORT(GOOGLEFINANCE(B1381,""price"",TODAY()-365,TODAY()),1,0),""select Col2 limit 30""))"),991.0733333333334)</f>
        <v>991.0733333</v>
      </c>
      <c r="K1381" s="18">
        <f>IFERROR(__xludf.DUMMYFUNCTION("AVERAGE(QUERY(SORT(GOOGLEFINANCE(B1381,""price"",TODAY()-365,TODAY()),1,0),""select Col2 limit 60""))"),790.0058333333333)</f>
        <v>790.0058333</v>
      </c>
      <c r="L1381" s="17">
        <f>IFERROR(__xludf.DUMMYFUNCTION("AVERAGE(QUERY(SORT(GOOGLEFINANCE(B1381,""price"",TODAY()-365,TODAY()),1,0),""select Col2 limit 90""))"),716.593888888889)</f>
        <v>716.5938889</v>
      </c>
      <c r="M1381" s="17">
        <f>IFERROR(__xludf.DUMMYFUNCTION("AVERAGE(QUERY(SORT(GOOGLEFINANCE(B1381,""price"",TODAY()-365,TODAY()),1,0),""select Col2 limit 120""))"),654.3)</f>
        <v>654.3</v>
      </c>
      <c r="N1381" s="19">
        <f>IFERROR(__xludf.DUMMYFUNCTION("AVERAGE(QUERY(SORT(GOOGLEFINANCE(B1381,""price"",TODAY()-365,TODAY()),1,0),""select Col2 limit 200""))"),951.7615)</f>
        <v>951.7615</v>
      </c>
      <c r="O1381" s="20" t="str">
        <f t="shared" si="2"/>
        <v>Avoid</v>
      </c>
      <c r="P1381" s="21" t="str">
        <f t="shared" si="3"/>
        <v/>
      </c>
      <c r="Q1381" s="21" t="str">
        <f t="shared" si="4"/>
        <v/>
      </c>
      <c r="R1381" s="22" t="str">
        <f>IFERROR(__xludf.DUMMYFUNCTION("GOOGLEFINANCE(B1381, ""pe"")
"),"#N/A")</f>
        <v>#N/A</v>
      </c>
    </row>
    <row r="1382">
      <c r="A1382" s="9" t="s">
        <v>1392</v>
      </c>
      <c r="B1382" s="11" t="str">
        <f t="shared" si="1"/>
        <v>NSE:PLASTIBLEN</v>
      </c>
      <c r="C1382" s="12">
        <f>IFERROR(__xludf.DUMMYFUNCTION("GOOGLEFINANCE(B1382,""marketcap"")/10000000"),498.7067572)</f>
        <v>498.7067572</v>
      </c>
      <c r="D1382" s="13">
        <f>IFERROR(__xludf.DUMMYFUNCTION("GOOGLEFINANCE(B1382,""price"")"),191.89)</f>
        <v>191.89</v>
      </c>
      <c r="E1382" s="14">
        <f>IFERROR(__xludf.DUMMYFUNCTION("GOOGLEFINANCE(B1382,""Volume"")"),15967.0)</f>
        <v>15967</v>
      </c>
      <c r="F1382" s="14">
        <f t="array" ref="F1382">F1381</f>
        <v>14</v>
      </c>
      <c r="G1382" s="15" t="str">
        <f>IFERROR(__xludf.DUMMYFUNCTION("IF(E1382&gt;AVERAGE(INDEX(GOOGLEFINANCE(B1382,""volume"",WORKDAY(TODAY(),-$F$1),TODAY()),,2)),""Breakout"","""")"),"")</f>
        <v/>
      </c>
      <c r="H1382" s="16">
        <f>IFERROR(__xludf.DUMMYFUNCTION("GOOGLEFINANCE(B1382,""price"")"),191.89)</f>
        <v>191.89</v>
      </c>
      <c r="I1382" s="17">
        <f>IFERROR(__xludf.DUMMYFUNCTION("AVERAGE(QUERY(SORT(GOOGLEFINANCE(B1382,""price"",TODAY()-365,TODAY()),1,0),""select Col2 limit 10""))"),199.464)</f>
        <v>199.464</v>
      </c>
      <c r="J1382" s="17">
        <f>IFERROR(__xludf.DUMMYFUNCTION("AVERAGE(QUERY(SORT(GOOGLEFINANCE(B1382,""price"",TODAY()-365,TODAY()),1,0),""select Col2 limit 30""))"),206.25900000000001)</f>
        <v>206.259</v>
      </c>
      <c r="K1382" s="18">
        <f>IFERROR(__xludf.DUMMYFUNCTION("AVERAGE(QUERY(SORT(GOOGLEFINANCE(B1382,""price"",TODAY()-365,TODAY()),1,0),""select Col2 limit 60""))"),202.80683333333334)</f>
        <v>202.8068333</v>
      </c>
      <c r="L1382" s="17">
        <f>IFERROR(__xludf.DUMMYFUNCTION("AVERAGE(QUERY(SORT(GOOGLEFINANCE(B1382,""price"",TODAY()-365,TODAY()),1,0),""select Col2 limit 90""))"),197.7013333333333)</f>
        <v>197.7013333</v>
      </c>
      <c r="M1382" s="17">
        <f>IFERROR(__xludf.DUMMYFUNCTION("AVERAGE(QUERY(SORT(GOOGLEFINANCE(B1382,""price"",TODAY()-365,TODAY()),1,0),""select Col2 limit 120""))"),199.86449999999996)</f>
        <v>199.8645</v>
      </c>
      <c r="N1382" s="19">
        <f>IFERROR(__xludf.DUMMYFUNCTION("AVERAGE(QUERY(SORT(GOOGLEFINANCE(B1382,""price"",TODAY()-365,TODAY()),1,0),""select Col2 limit 200""))"),221.0380999999999)</f>
        <v>221.0381</v>
      </c>
      <c r="O1382" s="20" t="str">
        <f t="shared" si="2"/>
        <v>Avoid</v>
      </c>
      <c r="P1382" s="21" t="str">
        <f t="shared" si="3"/>
        <v/>
      </c>
      <c r="Q1382" s="21" t="str">
        <f t="shared" si="4"/>
        <v/>
      </c>
      <c r="R1382" s="22">
        <f>IFERROR(__xludf.DUMMYFUNCTION("GOOGLEFINANCE(B1382, ""pe"")
"),15.84)</f>
        <v>15.84</v>
      </c>
    </row>
    <row r="1383">
      <c r="A1383" s="9" t="s">
        <v>1393</v>
      </c>
      <c r="B1383" s="11" t="str">
        <f t="shared" si="1"/>
        <v>NSE:PANACEABIO</v>
      </c>
      <c r="C1383" s="12">
        <f>IFERROR(__xludf.DUMMYFUNCTION("GOOGLEFINANCE(B1383,""marketcap"")/10000000"),2499.6431448)</f>
        <v>2499.643145</v>
      </c>
      <c r="D1383" s="13">
        <f>IFERROR(__xludf.DUMMYFUNCTION("GOOGLEFINANCE(B1383,""price"")"),410.0)</f>
        <v>410</v>
      </c>
      <c r="E1383" s="14">
        <f>IFERROR(__xludf.DUMMYFUNCTION("GOOGLEFINANCE(B1383,""Volume"")"),86402.0)</f>
        <v>86402</v>
      </c>
      <c r="F1383" s="14">
        <f t="array" ref="F1383">F1382</f>
        <v>14</v>
      </c>
      <c r="G1383" s="15" t="str">
        <f>IFERROR(__xludf.DUMMYFUNCTION("IF(E1383&gt;AVERAGE(INDEX(GOOGLEFINANCE(B1383,""volume"",WORKDAY(TODAY(),-$F$1),TODAY()),,2)),""Breakout"","""")"),"")</f>
        <v/>
      </c>
      <c r="H1383" s="16">
        <f>IFERROR(__xludf.DUMMYFUNCTION("GOOGLEFINANCE(B1383,""price"")"),410.0)</f>
        <v>410</v>
      </c>
      <c r="I1383" s="17">
        <f>IFERROR(__xludf.DUMMYFUNCTION("AVERAGE(QUERY(SORT(GOOGLEFINANCE(B1383,""price"",TODAY()-365,TODAY()),1,0),""select Col2 limit 10""))"),429.08500000000004)</f>
        <v>429.085</v>
      </c>
      <c r="J1383" s="17">
        <f>IFERROR(__xludf.DUMMYFUNCTION("AVERAGE(QUERY(SORT(GOOGLEFINANCE(B1383,""price"",TODAY()-365,TODAY()),1,0),""select Col2 limit 30""))"),422.38)</f>
        <v>422.38</v>
      </c>
      <c r="K1383" s="18">
        <f>IFERROR(__xludf.DUMMYFUNCTION("AVERAGE(QUERY(SORT(GOOGLEFINANCE(B1383,""price"",TODAY()-365,TODAY()),1,0),""select Col2 limit 60""))"),462.8624999999999)</f>
        <v>462.8625</v>
      </c>
      <c r="L1383" s="17">
        <f>IFERROR(__xludf.DUMMYFUNCTION("AVERAGE(QUERY(SORT(GOOGLEFINANCE(B1383,""price"",TODAY()-365,TODAY()),1,0),""select Col2 limit 90""))"),466.6272222222221)</f>
        <v>466.6272222</v>
      </c>
      <c r="M1383" s="17">
        <f>IFERROR(__xludf.DUMMYFUNCTION("AVERAGE(QUERY(SORT(GOOGLEFINANCE(B1383,""price"",TODAY()-365,TODAY()),1,0),""select Col2 limit 120""))"),437.45916666666665)</f>
        <v>437.4591667</v>
      </c>
      <c r="N1383" s="19">
        <f>IFERROR(__xludf.DUMMYFUNCTION("AVERAGE(QUERY(SORT(GOOGLEFINANCE(B1383,""price"",TODAY()-365,TODAY()),1,0),""select Col2 limit 200""))"),418.88524999999987)</f>
        <v>418.88525</v>
      </c>
      <c r="O1383" s="20" t="str">
        <f t="shared" si="2"/>
        <v>Avoid</v>
      </c>
      <c r="P1383" s="21" t="str">
        <f t="shared" si="3"/>
        <v/>
      </c>
      <c r="Q1383" s="21" t="str">
        <f t="shared" si="4"/>
        <v/>
      </c>
      <c r="R1383" s="22" t="str">
        <f>IFERROR(__xludf.DUMMYFUNCTION("GOOGLEFINANCE(B1383, ""pe"")
"),"#N/A")</f>
        <v>#N/A</v>
      </c>
    </row>
    <row r="1384">
      <c r="A1384" s="9" t="s">
        <v>1394</v>
      </c>
      <c r="B1384" s="11" t="str">
        <f t="shared" si="1"/>
        <v>NSE:RACE</v>
      </c>
      <c r="C1384" s="12">
        <f>IFERROR(__xludf.DUMMYFUNCTION("GOOGLEFINANCE(B1384,""marketcap"")/10000000"),413.965722)</f>
        <v>413.965722</v>
      </c>
      <c r="D1384" s="13">
        <f>IFERROR(__xludf.DUMMYFUNCTION("GOOGLEFINANCE(B1384,""price"")"),239.88)</f>
        <v>239.88</v>
      </c>
      <c r="E1384" s="14">
        <f>IFERROR(__xludf.DUMMYFUNCTION("GOOGLEFINANCE(B1384,""Volume"")"),3459.0)</f>
        <v>3459</v>
      </c>
      <c r="F1384" s="14">
        <f t="array" ref="F1384">F1383</f>
        <v>14</v>
      </c>
      <c r="G1384" s="15" t="str">
        <f>IFERROR(__xludf.DUMMYFUNCTION("IF(E1384&gt;AVERAGE(INDEX(GOOGLEFINANCE(B1384,""volume"",WORKDAY(TODAY(),-$F$1),TODAY()),,2)),""Breakout"","""")"),"")</f>
        <v/>
      </c>
      <c r="H1384" s="16">
        <f>IFERROR(__xludf.DUMMYFUNCTION("GOOGLEFINANCE(B1384,""price"")"),239.88)</f>
        <v>239.88</v>
      </c>
      <c r="I1384" s="17">
        <f>IFERROR(__xludf.DUMMYFUNCTION("AVERAGE(QUERY(SORT(GOOGLEFINANCE(B1384,""price"",TODAY()-365,TODAY()),1,0),""select Col2 limit 10""))"),240.10299999999998)</f>
        <v>240.103</v>
      </c>
      <c r="J1384" s="17">
        <f>IFERROR(__xludf.DUMMYFUNCTION("AVERAGE(QUERY(SORT(GOOGLEFINANCE(B1384,""price"",TODAY()-365,TODAY()),1,0),""select Col2 limit 30""))"),243.31333333333333)</f>
        <v>243.3133333</v>
      </c>
      <c r="K1384" s="18">
        <f>IFERROR(__xludf.DUMMYFUNCTION("AVERAGE(QUERY(SORT(GOOGLEFINANCE(B1384,""price"",TODAY()-365,TODAY()),1,0),""select Col2 limit 60""))"),251.4650000000001)</f>
        <v>251.465</v>
      </c>
      <c r="L1384" s="17">
        <f>IFERROR(__xludf.DUMMYFUNCTION("AVERAGE(QUERY(SORT(GOOGLEFINANCE(B1384,""price"",TODAY()-365,TODAY()),1,0),""select Col2 limit 90""))"),254.64666666666668)</f>
        <v>254.6466667</v>
      </c>
      <c r="M1384" s="17">
        <f>IFERROR(__xludf.DUMMYFUNCTION("AVERAGE(QUERY(SORT(GOOGLEFINANCE(B1384,""price"",TODAY()-365,TODAY()),1,0),""select Col2 limit 120""))"),263.0204166666667)</f>
        <v>263.0204167</v>
      </c>
      <c r="N1384" s="19">
        <f>IFERROR(__xludf.DUMMYFUNCTION("AVERAGE(QUERY(SORT(GOOGLEFINANCE(B1384,""price"",TODAY()-365,TODAY()),1,0),""select Col2 limit 200""))"),302.98724999999996)</f>
        <v>302.98725</v>
      </c>
      <c r="O1384" s="20" t="str">
        <f t="shared" si="2"/>
        <v>Avoid</v>
      </c>
      <c r="P1384" s="21" t="str">
        <f t="shared" si="3"/>
        <v>10 DMA</v>
      </c>
      <c r="Q1384" s="21" t="str">
        <f t="shared" si="4"/>
        <v>10 DMA cross best</v>
      </c>
      <c r="R1384" s="22">
        <f>IFERROR(__xludf.DUMMYFUNCTION("GOOGLEFINANCE(B1384, ""pe"")
"),106.34)</f>
        <v>106.34</v>
      </c>
    </row>
    <row r="1385">
      <c r="A1385" s="9" t="s">
        <v>1395</v>
      </c>
      <c r="B1385" s="11" t="str">
        <f t="shared" si="1"/>
        <v>NSE:DHUNINV</v>
      </c>
      <c r="C1385" s="12">
        <f>IFERROR(__xludf.DUMMYFUNCTION("GOOGLEFINANCE(B1385,""marketcap"")/10000000"),909.5768946)</f>
        <v>909.5768946</v>
      </c>
      <c r="D1385" s="13">
        <f>IFERROR(__xludf.DUMMYFUNCTION("GOOGLEFINANCE(B1385,""price"")"),1491.8)</f>
        <v>1491.8</v>
      </c>
      <c r="E1385" s="14">
        <f>IFERROR(__xludf.DUMMYFUNCTION("GOOGLEFINANCE(B1385,""Volume"")"),311.0)</f>
        <v>311</v>
      </c>
      <c r="F1385" s="14">
        <f t="array" ref="F1385">F1384</f>
        <v>14</v>
      </c>
      <c r="G1385" s="15" t="str">
        <f>IFERROR(__xludf.DUMMYFUNCTION("IF(E1385&gt;AVERAGE(INDEX(GOOGLEFINANCE(B1385,""volume"",WORKDAY(TODAY(),-$F$1),TODAY()),,2)),""Breakout"","""")"),"")</f>
        <v/>
      </c>
      <c r="H1385" s="16">
        <f>IFERROR(__xludf.DUMMYFUNCTION("GOOGLEFINANCE(B1385,""price"")"),1491.8)</f>
        <v>1491.8</v>
      </c>
      <c r="I1385" s="17">
        <f>IFERROR(__xludf.DUMMYFUNCTION("AVERAGE(QUERY(SORT(GOOGLEFINANCE(B1385,""price"",TODAY()-365,TODAY()),1,0),""select Col2 limit 10""))"),1499.65)</f>
        <v>1499.65</v>
      </c>
      <c r="J1385" s="17">
        <f>IFERROR(__xludf.DUMMYFUNCTION("AVERAGE(QUERY(SORT(GOOGLEFINANCE(B1385,""price"",TODAY()-365,TODAY()),1,0),""select Col2 limit 30""))"),1486.9633333333334)</f>
        <v>1486.963333</v>
      </c>
      <c r="K1385" s="18">
        <f>IFERROR(__xludf.DUMMYFUNCTION("AVERAGE(QUERY(SORT(GOOGLEFINANCE(B1385,""price"",TODAY()-365,TODAY()),1,0),""select Col2 limit 60""))"),1492.7483333333334)</f>
        <v>1492.748333</v>
      </c>
      <c r="L1385" s="17">
        <f>IFERROR(__xludf.DUMMYFUNCTION("AVERAGE(QUERY(SORT(GOOGLEFINANCE(B1385,""price"",TODAY()-365,TODAY()),1,0),""select Col2 limit 90""))"),1504.592222222222)</f>
        <v>1504.592222</v>
      </c>
      <c r="M1385" s="17">
        <f>IFERROR(__xludf.DUMMYFUNCTION("AVERAGE(QUERY(SORT(GOOGLEFINANCE(B1385,""price"",TODAY()-365,TODAY()),1,0),""select Col2 limit 120""))"),1544.1087499999999)</f>
        <v>1544.10875</v>
      </c>
      <c r="N1385" s="19">
        <f>IFERROR(__xludf.DUMMYFUNCTION("AVERAGE(QUERY(SORT(GOOGLEFINANCE(B1385,""price"",TODAY()-365,TODAY()),1,0),""select Col2 limit 200""))"),1783.4482499999992)</f>
        <v>1783.44825</v>
      </c>
      <c r="O1385" s="20" t="str">
        <f t="shared" si="2"/>
        <v>Avoid</v>
      </c>
      <c r="P1385" s="21" t="str">
        <f t="shared" si="3"/>
        <v>10 DMA</v>
      </c>
      <c r="Q1385" s="21" t="str">
        <f t="shared" si="4"/>
        <v/>
      </c>
      <c r="R1385" s="22">
        <f>IFERROR(__xludf.DUMMYFUNCTION("GOOGLEFINANCE(B1385, ""pe"")
"),10.02)</f>
        <v>10.02</v>
      </c>
    </row>
    <row r="1386">
      <c r="A1386" s="9" t="s">
        <v>1396</v>
      </c>
      <c r="B1386" s="11" t="str">
        <f t="shared" si="1"/>
        <v>NSE:INDSWFTLAB</v>
      </c>
      <c r="C1386" s="12">
        <f>IFERROR(__xludf.DUMMYFUNCTION("GOOGLEFINANCE(B1386,""marketcap"")/10000000"),762.9575154)</f>
        <v>762.9575154</v>
      </c>
      <c r="D1386" s="13">
        <f>IFERROR(__xludf.DUMMYFUNCTION("GOOGLEFINANCE(B1386,""price"")"),105.4)</f>
        <v>105.4</v>
      </c>
      <c r="E1386" s="14">
        <f>IFERROR(__xludf.DUMMYFUNCTION("GOOGLEFINANCE(B1386,""Volume"")"),40978.0)</f>
        <v>40978</v>
      </c>
      <c r="F1386" s="14">
        <f t="array" ref="F1386">F1385</f>
        <v>14</v>
      </c>
      <c r="G1386" s="15" t="str">
        <f>IFERROR(__xludf.DUMMYFUNCTION("IF(E1386&gt;AVERAGE(INDEX(GOOGLEFINANCE(B1386,""volume"",WORKDAY(TODAY(),-$F$1),TODAY()),,2)),""Breakout"","""")"),"")</f>
        <v/>
      </c>
      <c r="H1386" s="16">
        <f>IFERROR(__xludf.DUMMYFUNCTION("GOOGLEFINANCE(B1386,""price"")"),105.4)</f>
        <v>105.4</v>
      </c>
      <c r="I1386" s="17">
        <f>IFERROR(__xludf.DUMMYFUNCTION("AVERAGE(QUERY(SORT(GOOGLEFINANCE(B1386,""price"",TODAY()-365,TODAY()),1,0),""select Col2 limit 10""))"),106.172)</f>
        <v>106.172</v>
      </c>
      <c r="J1386" s="17">
        <f>IFERROR(__xludf.DUMMYFUNCTION("AVERAGE(QUERY(SORT(GOOGLEFINANCE(B1386,""price"",TODAY()-365,TODAY()),1,0),""select Col2 limit 30""))"),108.54866666666666)</f>
        <v>108.5486667</v>
      </c>
      <c r="K1386" s="18">
        <f>IFERROR(__xludf.DUMMYFUNCTION("AVERAGE(QUERY(SORT(GOOGLEFINANCE(B1386,""price"",TODAY()-365,TODAY()),1,0),""select Col2 limit 60""))"),95.38833333333334)</f>
        <v>95.38833333</v>
      </c>
      <c r="L1386" s="17">
        <f>IFERROR(__xludf.DUMMYFUNCTION("AVERAGE(QUERY(SORT(GOOGLEFINANCE(B1386,""price"",TODAY()-365,TODAY()),1,0),""select Col2 limit 90""))"),92.06555555555553)</f>
        <v>92.06555556</v>
      </c>
      <c r="M1386" s="17">
        <f>IFERROR(__xludf.DUMMYFUNCTION("AVERAGE(QUERY(SORT(GOOGLEFINANCE(B1386,""price"",TODAY()-365,TODAY()),1,0),""select Col2 limit 120""))"),92.87158333333332)</f>
        <v>92.87158333</v>
      </c>
      <c r="N1386" s="19">
        <f>IFERROR(__xludf.DUMMYFUNCTION("AVERAGE(QUERY(SORT(GOOGLEFINANCE(B1386,""price"",TODAY()-365,TODAY()),1,0),""select Col2 limit 200""))"),99.68264999999994)</f>
        <v>99.68265</v>
      </c>
      <c r="O1386" s="20" t="str">
        <f t="shared" si="2"/>
        <v>Avoid</v>
      </c>
      <c r="P1386" s="21" t="str">
        <f t="shared" si="3"/>
        <v>10 DMA</v>
      </c>
      <c r="Q1386" s="21" t="str">
        <f t="shared" si="4"/>
        <v/>
      </c>
      <c r="R1386" s="22">
        <f>IFERROR(__xludf.DUMMYFUNCTION("GOOGLEFINANCE(B1386, ""pe"")
"),1.76)</f>
        <v>1.76</v>
      </c>
    </row>
    <row r="1387">
      <c r="A1387" s="9" t="s">
        <v>1397</v>
      </c>
      <c r="B1387" s="11" t="str">
        <f t="shared" si="1"/>
        <v>NSE:CAREERP</v>
      </c>
      <c r="C1387" s="12" t="str">
        <f>IFERROR(__xludf.DUMMYFUNCTION("GOOGLEFINANCE(B1387,""marketcap"")/10000000"),"#N/A")</f>
        <v>#N/A</v>
      </c>
      <c r="D1387" s="13" t="str">
        <f>IFERROR(__xludf.DUMMYFUNCTION("GOOGLEFINANCE(B1387,""price"")"),"#N/A")</f>
        <v>#N/A</v>
      </c>
      <c r="E1387" s="14" t="str">
        <f>IFERROR(__xludf.DUMMYFUNCTION("GOOGLEFINANCE(B1387,""Volume"")"),"#N/A")</f>
        <v>#N/A</v>
      </c>
      <c r="F1387" s="14">
        <f t="array" ref="F1387">F1386</f>
        <v>14</v>
      </c>
      <c r="G1387" s="15" t="str">
        <f>IFERROR(__xludf.DUMMYFUNCTION("IF(E1387&gt;AVERAGE(INDEX(GOOGLEFINANCE(B1387,""volume"",WORKDAY(TODAY(),-$F$1),TODAY()),,2)),""Breakout"","""")"),"#N/A")</f>
        <v>#N/A</v>
      </c>
      <c r="H1387" s="16" t="str">
        <f>IFERROR(__xludf.DUMMYFUNCTION("GOOGLEFINANCE(B1387,""price"")"),"#N/A")</f>
        <v>#N/A</v>
      </c>
      <c r="I1387" s="17" t="str">
        <f>IFERROR(__xludf.DUMMYFUNCTION("AVERAGE(QUERY(SORT(GOOGLEFINANCE(B1387,""price"",TODAY()-365,TODAY()),1,0),""select Col2 limit 10""))"),"#N/A")</f>
        <v>#N/A</v>
      </c>
      <c r="J1387" s="17" t="str">
        <f>IFERROR(__xludf.DUMMYFUNCTION("AVERAGE(QUERY(SORT(GOOGLEFINANCE(B1387,""price"",TODAY()-365,TODAY()),1,0),""select Col2 limit 30""))"),"#N/A")</f>
        <v>#N/A</v>
      </c>
      <c r="K1387" s="18" t="str">
        <f>IFERROR(__xludf.DUMMYFUNCTION("AVERAGE(QUERY(SORT(GOOGLEFINANCE(B1387,""price"",TODAY()-365,TODAY()),1,0),""select Col2 limit 60""))"),"#N/A")</f>
        <v>#N/A</v>
      </c>
      <c r="L1387" s="17" t="str">
        <f>IFERROR(__xludf.DUMMYFUNCTION("AVERAGE(QUERY(SORT(GOOGLEFINANCE(B1387,""price"",TODAY()-365,TODAY()),1,0),""select Col2 limit 90""))"),"#N/A")</f>
        <v>#N/A</v>
      </c>
      <c r="M1387" s="17" t="str">
        <f>IFERROR(__xludf.DUMMYFUNCTION("AVERAGE(QUERY(SORT(GOOGLEFINANCE(B1387,""price"",TODAY()-365,TODAY()),1,0),""select Col2 limit 120""))"),"#N/A")</f>
        <v>#N/A</v>
      </c>
      <c r="N1387" s="19" t="str">
        <f>IFERROR(__xludf.DUMMYFUNCTION("AVERAGE(QUERY(SORT(GOOGLEFINANCE(B1387,""price"",TODAY()-365,TODAY()),1,0),""select Col2 limit 200""))"),"#N/A")</f>
        <v>#N/A</v>
      </c>
      <c r="O1387" s="20" t="str">
        <f t="shared" si="2"/>
        <v>#N/A</v>
      </c>
      <c r="P1387" s="21" t="str">
        <f t="shared" si="3"/>
        <v>#N/A</v>
      </c>
      <c r="Q1387" s="21" t="str">
        <f t="shared" si="4"/>
        <v>#N/A</v>
      </c>
      <c r="R1387" s="22" t="str">
        <f>IFERROR(__xludf.DUMMYFUNCTION("GOOGLEFINANCE(B1387, ""pe"")
"),"#N/A")</f>
        <v>#N/A</v>
      </c>
    </row>
    <row r="1388">
      <c r="A1388" s="9" t="s">
        <v>1398</v>
      </c>
      <c r="B1388" s="11" t="str">
        <f t="shared" si="1"/>
        <v>NSE:KAYA</v>
      </c>
      <c r="C1388" s="12">
        <f>IFERROR(__xludf.DUMMYFUNCTION("GOOGLEFINANCE(B1388,""marketcap"")/10000000"),560.21002)</f>
        <v>560.21002</v>
      </c>
      <c r="D1388" s="13">
        <f>IFERROR(__xludf.DUMMYFUNCTION("GOOGLEFINANCE(B1388,""price"")"),425.05)</f>
        <v>425.05</v>
      </c>
      <c r="E1388" s="14">
        <f>IFERROR(__xludf.DUMMYFUNCTION("GOOGLEFINANCE(B1388,""Volume"")"),16623.0)</f>
        <v>16623</v>
      </c>
      <c r="F1388" s="14">
        <f t="array" ref="F1388">F1387</f>
        <v>14</v>
      </c>
      <c r="G1388" s="15" t="str">
        <f>IFERROR(__xludf.DUMMYFUNCTION("IF(E1388&gt;AVERAGE(INDEX(GOOGLEFINANCE(B1388,""volume"",WORKDAY(TODAY(),-$F$1),TODAY()),,2)),""Breakout"","""")"),"Breakout")</f>
        <v>Breakout</v>
      </c>
      <c r="H1388" s="16">
        <f>IFERROR(__xludf.DUMMYFUNCTION("GOOGLEFINANCE(B1388,""price"")"),425.05)</f>
        <v>425.05</v>
      </c>
      <c r="I1388" s="17">
        <f>IFERROR(__xludf.DUMMYFUNCTION("AVERAGE(QUERY(SORT(GOOGLEFINANCE(B1388,""price"",TODAY()-365,TODAY()),1,0),""select Col2 limit 10""))"),435.84499999999997)</f>
        <v>435.845</v>
      </c>
      <c r="J1388" s="17">
        <f>IFERROR(__xludf.DUMMYFUNCTION("AVERAGE(QUERY(SORT(GOOGLEFINANCE(B1388,""price"",TODAY()-365,TODAY()),1,0),""select Col2 limit 30""))"),412.4766666666667)</f>
        <v>412.4766667</v>
      </c>
      <c r="K1388" s="18">
        <f>IFERROR(__xludf.DUMMYFUNCTION("AVERAGE(QUERY(SORT(GOOGLEFINANCE(B1388,""price"",TODAY()-365,TODAY()),1,0),""select Col2 limit 60""))"),361.2675)</f>
        <v>361.2675</v>
      </c>
      <c r="L1388" s="17">
        <f>IFERROR(__xludf.DUMMYFUNCTION("AVERAGE(QUERY(SORT(GOOGLEFINANCE(B1388,""price"",TODAY()-365,TODAY()),1,0),""select Col2 limit 90""))"),324.3524444444445)</f>
        <v>324.3524444</v>
      </c>
      <c r="M1388" s="17">
        <f>IFERROR(__xludf.DUMMYFUNCTION("AVERAGE(QUERY(SORT(GOOGLEFINANCE(B1388,""price"",TODAY()-365,TODAY()),1,0),""select Col2 limit 120""))"),308.50308333333356)</f>
        <v>308.5030833</v>
      </c>
      <c r="N1388" s="19">
        <f>IFERROR(__xludf.DUMMYFUNCTION("AVERAGE(QUERY(SORT(GOOGLEFINANCE(B1388,""price"",TODAY()-365,TODAY()),1,0),""select Col2 limit 200""))"),333.65885000000014)</f>
        <v>333.65885</v>
      </c>
      <c r="O1388" s="20" t="str">
        <f t="shared" si="2"/>
        <v>Avoid</v>
      </c>
      <c r="P1388" s="21" t="str">
        <f t="shared" si="3"/>
        <v/>
      </c>
      <c r="Q1388" s="21" t="str">
        <f t="shared" si="4"/>
        <v/>
      </c>
      <c r="R1388" s="22" t="str">
        <f>IFERROR(__xludf.DUMMYFUNCTION("GOOGLEFINANCE(B1388, ""pe"")
"),"#N/A")</f>
        <v>#N/A</v>
      </c>
    </row>
    <row r="1389">
      <c r="A1389" s="9" t="s">
        <v>1399</v>
      </c>
      <c r="B1389" s="11" t="str">
        <f t="shared" si="1"/>
        <v>NSE:GEECEE</v>
      </c>
      <c r="C1389" s="12">
        <f>IFERROR(__xludf.DUMMYFUNCTION("GOOGLEFINANCE(B1389,""marketcap"")/10000000"),775.824812)</f>
        <v>775.824812</v>
      </c>
      <c r="D1389" s="13">
        <f>IFERROR(__xludf.DUMMYFUNCTION("GOOGLEFINANCE(B1389,""price"")"),371.0)</f>
        <v>371</v>
      </c>
      <c r="E1389" s="14">
        <f>IFERROR(__xludf.DUMMYFUNCTION("GOOGLEFINANCE(B1389,""Volume"")"),2296.0)</f>
        <v>2296</v>
      </c>
      <c r="F1389" s="14">
        <f t="array" ref="F1389">F1388</f>
        <v>14</v>
      </c>
      <c r="G1389" s="15" t="str">
        <f>IFERROR(__xludf.DUMMYFUNCTION("IF(E1389&gt;AVERAGE(INDEX(GOOGLEFINANCE(B1389,""volume"",WORKDAY(TODAY(),-$F$1),TODAY()),,2)),""Breakout"","""")"),"")</f>
        <v/>
      </c>
      <c r="H1389" s="16">
        <f>IFERROR(__xludf.DUMMYFUNCTION("GOOGLEFINANCE(B1389,""price"")"),371.0)</f>
        <v>371</v>
      </c>
      <c r="I1389" s="17">
        <f>IFERROR(__xludf.DUMMYFUNCTION("AVERAGE(QUERY(SORT(GOOGLEFINANCE(B1389,""price"",TODAY()-365,TODAY()),1,0),""select Col2 limit 10""))"),375.94499999999994)</f>
        <v>375.945</v>
      </c>
      <c r="J1389" s="17">
        <f>IFERROR(__xludf.DUMMYFUNCTION("AVERAGE(QUERY(SORT(GOOGLEFINANCE(B1389,""price"",TODAY()-365,TODAY()),1,0),""select Col2 limit 30""))"),381.3516666666667)</f>
        <v>381.3516667</v>
      </c>
      <c r="K1389" s="18">
        <f>IFERROR(__xludf.DUMMYFUNCTION("AVERAGE(QUERY(SORT(GOOGLEFINANCE(B1389,""price"",TODAY()-365,TODAY()),1,0),""select Col2 limit 60""))"),386.0866666666668)</f>
        <v>386.0866667</v>
      </c>
      <c r="L1389" s="17">
        <f>IFERROR(__xludf.DUMMYFUNCTION("AVERAGE(QUERY(SORT(GOOGLEFINANCE(B1389,""price"",TODAY()-365,TODAY()),1,0),""select Col2 limit 90""))"),386.29055555555567)</f>
        <v>386.2905556</v>
      </c>
      <c r="M1389" s="17">
        <f>IFERROR(__xludf.DUMMYFUNCTION("AVERAGE(QUERY(SORT(GOOGLEFINANCE(B1389,""price"",TODAY()-365,TODAY()),1,0),""select Col2 limit 120""))"),389.17208333333343)</f>
        <v>389.1720833</v>
      </c>
      <c r="N1389" s="19">
        <f>IFERROR(__xludf.DUMMYFUNCTION("AVERAGE(QUERY(SORT(GOOGLEFINANCE(B1389,""price"",TODAY()-365,TODAY()),1,0),""select Col2 limit 200""))"),399.629)</f>
        <v>399.629</v>
      </c>
      <c r="O1389" s="20" t="str">
        <f t="shared" si="2"/>
        <v>Avoid</v>
      </c>
      <c r="P1389" s="21" t="str">
        <f t="shared" si="3"/>
        <v/>
      </c>
      <c r="Q1389" s="21" t="str">
        <f t="shared" si="4"/>
        <v/>
      </c>
      <c r="R1389" s="22">
        <f>IFERROR(__xludf.DUMMYFUNCTION("GOOGLEFINANCE(B1389, ""pe"")
"),16.59)</f>
        <v>16.59</v>
      </c>
    </row>
    <row r="1390">
      <c r="A1390" s="9" t="s">
        <v>1400</v>
      </c>
      <c r="B1390" s="11" t="str">
        <f t="shared" si="1"/>
        <v>NSE:VRAJ</v>
      </c>
      <c r="C1390" s="12">
        <f>IFERROR(__xludf.DUMMYFUNCTION("GOOGLEFINANCE(B1390,""marketcap"")/10000000"),550.8755663)</f>
        <v>550.8755663</v>
      </c>
      <c r="D1390" s="13">
        <f>IFERROR(__xludf.DUMMYFUNCTION("GOOGLEFINANCE(B1390,""price"")"),167.02)</f>
        <v>167.02</v>
      </c>
      <c r="E1390" s="14">
        <f>IFERROR(__xludf.DUMMYFUNCTION("GOOGLEFINANCE(B1390,""Volume"")"),6468.0)</f>
        <v>6468</v>
      </c>
      <c r="F1390" s="14">
        <f t="array" ref="F1390">F1389</f>
        <v>14</v>
      </c>
      <c r="G1390" s="15" t="str">
        <f>IFERROR(__xludf.DUMMYFUNCTION("IF(E1390&gt;AVERAGE(INDEX(GOOGLEFINANCE(B1390,""volume"",WORKDAY(TODAY(),-$F$1),TODAY()),,2)),""Breakout"","""")"),"")</f>
        <v/>
      </c>
      <c r="H1390" s="16">
        <f>IFERROR(__xludf.DUMMYFUNCTION("GOOGLEFINANCE(B1390,""price"")"),167.02)</f>
        <v>167.02</v>
      </c>
      <c r="I1390" s="17">
        <f>IFERROR(__xludf.DUMMYFUNCTION("AVERAGE(QUERY(SORT(GOOGLEFINANCE(B1390,""price"",TODAY()-365,TODAY()),1,0),""select Col2 limit 10""))"),170.198)</f>
        <v>170.198</v>
      </c>
      <c r="J1390" s="17">
        <f>IFERROR(__xludf.DUMMYFUNCTION("AVERAGE(QUERY(SORT(GOOGLEFINANCE(B1390,""price"",TODAY()-365,TODAY()),1,0),""select Col2 limit 30""))"),173.03666666666672)</f>
        <v>173.0366667</v>
      </c>
      <c r="K1390" s="18">
        <f>IFERROR(__xludf.DUMMYFUNCTION("AVERAGE(QUERY(SORT(GOOGLEFINANCE(B1390,""price"",TODAY()-365,TODAY()),1,0),""select Col2 limit 60""))"),173.35733333333334)</f>
        <v>173.3573333</v>
      </c>
      <c r="L1390" s="17">
        <f>IFERROR(__xludf.DUMMYFUNCTION("AVERAGE(QUERY(SORT(GOOGLEFINANCE(B1390,""price"",TODAY()-365,TODAY()),1,0),""select Col2 limit 90""))"),168.96099999999998)</f>
        <v>168.961</v>
      </c>
      <c r="M1390" s="17">
        <f>IFERROR(__xludf.DUMMYFUNCTION("AVERAGE(QUERY(SORT(GOOGLEFINANCE(B1390,""price"",TODAY()-365,TODAY()),1,0),""select Col2 limit 120""))"),169.7110833333334)</f>
        <v>169.7110833</v>
      </c>
      <c r="N1390" s="19">
        <f>IFERROR(__xludf.DUMMYFUNCTION("AVERAGE(QUERY(SORT(GOOGLEFINANCE(B1390,""price"",TODAY()-365,TODAY()),1,0),""select Col2 limit 200""))"),191.07575000000006)</f>
        <v>191.07575</v>
      </c>
      <c r="O1390" s="20" t="str">
        <f t="shared" si="2"/>
        <v>Avoid</v>
      </c>
      <c r="P1390" s="21" t="str">
        <f t="shared" si="3"/>
        <v/>
      </c>
      <c r="Q1390" s="21" t="str">
        <f t="shared" si="4"/>
        <v/>
      </c>
      <c r="R1390" s="22">
        <f>IFERROR(__xludf.DUMMYFUNCTION("GOOGLEFINANCE(B1390, ""pe"")
"),11.7)</f>
        <v>11.7</v>
      </c>
    </row>
    <row r="1391">
      <c r="A1391" s="9" t="s">
        <v>1401</v>
      </c>
      <c r="B1391" s="11" t="str">
        <f t="shared" si="1"/>
        <v>NSE:KHAICHEM</v>
      </c>
      <c r="C1391" s="12">
        <f>IFERROR(__xludf.DUMMYFUNCTION("GOOGLEFINANCE(B1391,""marketcap"")/10000000"),1093.218112)</f>
        <v>1093.218112</v>
      </c>
      <c r="D1391" s="13">
        <f>IFERROR(__xludf.DUMMYFUNCTION("GOOGLEFINANCE(B1391,""price"")"),112.7)</f>
        <v>112.7</v>
      </c>
      <c r="E1391" s="14">
        <f>IFERROR(__xludf.DUMMYFUNCTION("GOOGLEFINANCE(B1391,""Volume"")"),34256.0)</f>
        <v>34256</v>
      </c>
      <c r="F1391" s="14">
        <f t="array" ref="F1391">F1390</f>
        <v>14</v>
      </c>
      <c r="G1391" s="15" t="str">
        <f>IFERROR(__xludf.DUMMYFUNCTION("IF(E1391&gt;AVERAGE(INDEX(GOOGLEFINANCE(B1391,""volume"",WORKDAY(TODAY(),-$F$1),TODAY()),,2)),""Breakout"","""")"),"")</f>
        <v/>
      </c>
      <c r="H1391" s="16">
        <f>IFERROR(__xludf.DUMMYFUNCTION("GOOGLEFINANCE(B1391,""price"")"),112.7)</f>
        <v>112.7</v>
      </c>
      <c r="I1391" s="17" t="str">
        <f>IFERROR(__xludf.DUMMYFUNCTION("AVERAGE(QUERY(SORT(GOOGLEFINANCE(B1391,""price"",TODAY()-365,TODAY()),1,0),""select Col2 limit 10""))"),"#N/A")</f>
        <v>#N/A</v>
      </c>
      <c r="J1391" s="17" t="str">
        <f>IFERROR(__xludf.DUMMYFUNCTION("AVERAGE(QUERY(SORT(GOOGLEFINANCE(B1391,""price"",TODAY()-365,TODAY()),1,0),""select Col2 limit 30""))"),"#N/A")</f>
        <v>#N/A</v>
      </c>
      <c r="K1391" s="18" t="str">
        <f>IFERROR(__xludf.DUMMYFUNCTION("AVERAGE(QUERY(SORT(GOOGLEFINANCE(B1391,""price"",TODAY()-365,TODAY()),1,0),""select Col2 limit 60""))"),"#N/A")</f>
        <v>#N/A</v>
      </c>
      <c r="L1391" s="17" t="str">
        <f>IFERROR(__xludf.DUMMYFUNCTION("AVERAGE(QUERY(SORT(GOOGLEFINANCE(B1391,""price"",TODAY()-365,TODAY()),1,0),""select Col2 limit 90""))"),"#N/A")</f>
        <v>#N/A</v>
      </c>
      <c r="M1391" s="17" t="str">
        <f>IFERROR(__xludf.DUMMYFUNCTION("AVERAGE(QUERY(SORT(GOOGLEFINANCE(B1391,""price"",TODAY()-365,TODAY()),1,0),""select Col2 limit 120""))"),"#N/A")</f>
        <v>#N/A</v>
      </c>
      <c r="N1391" s="19" t="str">
        <f>IFERROR(__xludf.DUMMYFUNCTION("AVERAGE(QUERY(SORT(GOOGLEFINANCE(B1391,""price"",TODAY()-365,TODAY()),1,0),""select Col2 limit 200""))"),"#N/A")</f>
        <v>#N/A</v>
      </c>
      <c r="O1391" s="20" t="str">
        <f t="shared" si="2"/>
        <v>#N/A</v>
      </c>
      <c r="P1391" s="21" t="str">
        <f t="shared" si="3"/>
        <v>#N/A</v>
      </c>
      <c r="Q1391" s="21" t="str">
        <f t="shared" si="4"/>
        <v>#N/A</v>
      </c>
      <c r="R1391" s="22">
        <f>IFERROR(__xludf.DUMMYFUNCTION("GOOGLEFINANCE(B1391, ""pe"")
"),27.69)</f>
        <v>27.69</v>
      </c>
    </row>
    <row r="1392">
      <c r="A1392" s="9" t="s">
        <v>1402</v>
      </c>
      <c r="B1392" s="11" t="str">
        <f t="shared" si="1"/>
        <v>NSE:STEL</v>
      </c>
      <c r="C1392" s="12">
        <f>IFERROR(__xludf.DUMMYFUNCTION("GOOGLEFINANCE(B1392,""marketcap"")/10000000"),743.1989805)</f>
        <v>743.1989805</v>
      </c>
      <c r="D1392" s="13">
        <f>IFERROR(__xludf.DUMMYFUNCTION("GOOGLEFINANCE(B1392,""price"")"),401.9)</f>
        <v>401.9</v>
      </c>
      <c r="E1392" s="14">
        <f>IFERROR(__xludf.DUMMYFUNCTION("GOOGLEFINANCE(B1392,""Volume"")"),636.0)</f>
        <v>636</v>
      </c>
      <c r="F1392" s="14">
        <f t="array" ref="F1392">F1391</f>
        <v>14</v>
      </c>
      <c r="G1392" s="15" t="str">
        <f>IFERROR(__xludf.DUMMYFUNCTION("IF(E1392&gt;AVERAGE(INDEX(GOOGLEFINANCE(B1392,""volume"",WORKDAY(TODAY(),-$F$1),TODAY()),,2)),""Breakout"","""")"),"")</f>
        <v/>
      </c>
      <c r="H1392" s="16">
        <f>IFERROR(__xludf.DUMMYFUNCTION("GOOGLEFINANCE(B1392,""price"")"),401.9)</f>
        <v>401.9</v>
      </c>
      <c r="I1392" s="17">
        <f>IFERROR(__xludf.DUMMYFUNCTION("AVERAGE(QUERY(SORT(GOOGLEFINANCE(B1392,""price"",TODAY()-365,TODAY()),1,0),""select Col2 limit 10""))"),409.11)</f>
        <v>409.11</v>
      </c>
      <c r="J1392" s="17">
        <f>IFERROR(__xludf.DUMMYFUNCTION("AVERAGE(QUERY(SORT(GOOGLEFINANCE(B1392,""price"",TODAY()-365,TODAY()),1,0),""select Col2 limit 30""))"),411.0983333333334)</f>
        <v>411.0983333</v>
      </c>
      <c r="K1392" s="18">
        <f>IFERROR(__xludf.DUMMYFUNCTION("AVERAGE(QUERY(SORT(GOOGLEFINANCE(B1392,""price"",TODAY()-365,TODAY()),1,0),""select Col2 limit 60""))"),414.5816666666669)</f>
        <v>414.5816667</v>
      </c>
      <c r="L1392" s="17">
        <f>IFERROR(__xludf.DUMMYFUNCTION("AVERAGE(QUERY(SORT(GOOGLEFINANCE(B1392,""price"",TODAY()-365,TODAY()),1,0),""select Col2 limit 90""))"),410.1600000000002)</f>
        <v>410.16</v>
      </c>
      <c r="M1392" s="17">
        <f>IFERROR(__xludf.DUMMYFUNCTION("AVERAGE(QUERY(SORT(GOOGLEFINANCE(B1392,""price"",TODAY()-365,TODAY()),1,0),""select Col2 limit 120""))"),401.5912500000002)</f>
        <v>401.59125</v>
      </c>
      <c r="N1392" s="19">
        <f>IFERROR(__xludf.DUMMYFUNCTION("AVERAGE(QUERY(SORT(GOOGLEFINANCE(B1392,""price"",TODAY()-365,TODAY()),1,0),""select Col2 limit 200""))"),427.95775000000015)</f>
        <v>427.95775</v>
      </c>
      <c r="O1392" s="20" t="str">
        <f t="shared" si="2"/>
        <v>Avoid</v>
      </c>
      <c r="P1392" s="21" t="str">
        <f t="shared" si="3"/>
        <v/>
      </c>
      <c r="Q1392" s="21" t="str">
        <f t="shared" si="4"/>
        <v/>
      </c>
      <c r="R1392" s="22">
        <f>IFERROR(__xludf.DUMMYFUNCTION("GOOGLEFINANCE(B1392, ""pe"")
"),46.02)</f>
        <v>46.02</v>
      </c>
    </row>
    <row r="1393">
      <c r="A1393" s="9" t="s">
        <v>1403</v>
      </c>
      <c r="B1393" s="11" t="str">
        <f t="shared" si="1"/>
        <v>NSE:LOKESHMACH</v>
      </c>
      <c r="C1393" s="12">
        <f>IFERROR(__xludf.DUMMYFUNCTION("GOOGLEFINANCE(B1393,""marketcap"")/10000000"),408.9939343)</f>
        <v>408.9939343</v>
      </c>
      <c r="D1393" s="13">
        <f>IFERROR(__xludf.DUMMYFUNCTION("GOOGLEFINANCE(B1393,""price"")"),204.53)</f>
        <v>204.53</v>
      </c>
      <c r="E1393" s="14">
        <f>IFERROR(__xludf.DUMMYFUNCTION("GOOGLEFINANCE(B1393,""Volume"")"),17895.0)</f>
        <v>17895</v>
      </c>
      <c r="F1393" s="14">
        <f t="array" ref="F1393">F1392</f>
        <v>14</v>
      </c>
      <c r="G1393" s="15" t="str">
        <f>IFERROR(__xludf.DUMMYFUNCTION("IF(E1393&gt;AVERAGE(INDEX(GOOGLEFINANCE(B1393,""volume"",WORKDAY(TODAY(),-$F$1),TODAY()),,2)),""Breakout"","""")"),"")</f>
        <v/>
      </c>
      <c r="H1393" s="16">
        <f>IFERROR(__xludf.DUMMYFUNCTION("GOOGLEFINANCE(B1393,""price"")"),204.53)</f>
        <v>204.53</v>
      </c>
      <c r="I1393" s="17">
        <f>IFERROR(__xludf.DUMMYFUNCTION("AVERAGE(QUERY(SORT(GOOGLEFINANCE(B1393,""price"",TODAY()-365,TODAY()),1,0),""select Col2 limit 10""))"),212.733)</f>
        <v>212.733</v>
      </c>
      <c r="J1393" s="17">
        <f>IFERROR(__xludf.DUMMYFUNCTION("AVERAGE(QUERY(SORT(GOOGLEFINANCE(B1393,""price"",TODAY()-365,TODAY()),1,0),""select Col2 limit 30""))"),199.64333333333335)</f>
        <v>199.6433333</v>
      </c>
      <c r="K1393" s="18">
        <f>IFERROR(__xludf.DUMMYFUNCTION("AVERAGE(QUERY(SORT(GOOGLEFINANCE(B1393,""price"",TODAY()-365,TODAY()),1,0),""select Col2 limit 60""))"),186.17783333333335)</f>
        <v>186.1778333</v>
      </c>
      <c r="L1393" s="17">
        <f>IFERROR(__xludf.DUMMYFUNCTION("AVERAGE(QUERY(SORT(GOOGLEFINANCE(B1393,""price"",TODAY()-365,TODAY()),1,0),""select Col2 limit 90""))"),177.95966666666666)</f>
        <v>177.9596667</v>
      </c>
      <c r="M1393" s="17">
        <f>IFERROR(__xludf.DUMMYFUNCTION("AVERAGE(QUERY(SORT(GOOGLEFINANCE(B1393,""price"",TODAY()-365,TODAY()),1,0),""select Col2 limit 120""))"),186.15391666666667)</f>
        <v>186.1539167</v>
      </c>
      <c r="N1393" s="19">
        <f>IFERROR(__xludf.DUMMYFUNCTION("AVERAGE(QUERY(SORT(GOOGLEFINANCE(B1393,""price"",TODAY()-365,TODAY()),1,0),""select Col2 limit 200""))"),250.88385000000002)</f>
        <v>250.88385</v>
      </c>
      <c r="O1393" s="20" t="str">
        <f t="shared" si="2"/>
        <v>Avoid</v>
      </c>
      <c r="P1393" s="21" t="str">
        <f t="shared" si="3"/>
        <v/>
      </c>
      <c r="Q1393" s="21" t="str">
        <f t="shared" si="4"/>
        <v/>
      </c>
      <c r="R1393" s="22">
        <f>IFERROR(__xludf.DUMMYFUNCTION("GOOGLEFINANCE(B1393, ""pe"")
"),730.46)</f>
        <v>730.46</v>
      </c>
    </row>
    <row r="1394">
      <c r="A1394" s="9" t="s">
        <v>1404</v>
      </c>
      <c r="B1394" s="11" t="str">
        <f t="shared" si="1"/>
        <v>NSE:20MICRONS</v>
      </c>
      <c r="C1394" s="12">
        <f>IFERROR(__xludf.DUMMYFUNCTION("GOOGLEFINANCE(B1394,""marketcap"")/10000000"),895.1832271)</f>
        <v>895.1832271</v>
      </c>
      <c r="D1394" s="13">
        <f>IFERROR(__xludf.DUMMYFUNCTION("GOOGLEFINANCE(B1394,""price"")"),256.01)</f>
        <v>256.01</v>
      </c>
      <c r="E1394" s="14">
        <f>IFERROR(__xludf.DUMMYFUNCTION("GOOGLEFINANCE(B1394,""Volume"")"),110198.0)</f>
        <v>110198</v>
      </c>
      <c r="F1394" s="14">
        <f t="array" ref="F1394">F1393</f>
        <v>14</v>
      </c>
      <c r="G1394" s="15" t="str">
        <f>IFERROR(__xludf.DUMMYFUNCTION("IF(E1394&gt;AVERAGE(INDEX(GOOGLEFINANCE(B1394,""volume"",WORKDAY(TODAY(),-$F$1),TODAY()),,2)),""Breakout"","""")"),"")</f>
        <v/>
      </c>
      <c r="H1394" s="16">
        <f>IFERROR(__xludf.DUMMYFUNCTION("GOOGLEFINANCE(B1394,""price"")"),256.01)</f>
        <v>256.01</v>
      </c>
      <c r="I1394" s="17">
        <f>IFERROR(__xludf.DUMMYFUNCTION("AVERAGE(QUERY(SORT(GOOGLEFINANCE(B1394,""price"",TODAY()-365,TODAY()),1,0),""select Col2 limit 10""))"),257.782)</f>
        <v>257.782</v>
      </c>
      <c r="J1394" s="17">
        <f>IFERROR(__xludf.DUMMYFUNCTION("AVERAGE(QUERY(SORT(GOOGLEFINANCE(B1394,""price"",TODAY()-365,TODAY()),1,0),""select Col2 limit 30""))"),238.0826666666666)</f>
        <v>238.0826667</v>
      </c>
      <c r="K1394" s="18">
        <f>IFERROR(__xludf.DUMMYFUNCTION("AVERAGE(QUERY(SORT(GOOGLEFINANCE(B1394,""price"",TODAY()-365,TODAY()),1,0),""select Col2 limit 60""))"),232.26833333333335)</f>
        <v>232.2683333</v>
      </c>
      <c r="L1394" s="17">
        <f>IFERROR(__xludf.DUMMYFUNCTION("AVERAGE(QUERY(SORT(GOOGLEFINANCE(B1394,""price"",TODAY()-365,TODAY()),1,0),""select Col2 limit 90""))"),223.57522222222224)</f>
        <v>223.5752222</v>
      </c>
      <c r="M1394" s="17">
        <f>IFERROR(__xludf.DUMMYFUNCTION("AVERAGE(QUERY(SORT(GOOGLEFINANCE(B1394,""price"",TODAY()-365,TODAY()),1,0),""select Col2 limit 120""))"),213.89049999999992)</f>
        <v>213.8905</v>
      </c>
      <c r="N1394" s="19">
        <f>IFERROR(__xludf.DUMMYFUNCTION("AVERAGE(QUERY(SORT(GOOGLEFINANCE(B1394,""price"",TODAY()-365,TODAY()),1,0),""select Col2 limit 200""))"),227.7188)</f>
        <v>227.7188</v>
      </c>
      <c r="O1394" s="20" t="str">
        <f t="shared" si="2"/>
        <v>Avoid</v>
      </c>
      <c r="P1394" s="21" t="str">
        <f t="shared" si="3"/>
        <v>10 DMA</v>
      </c>
      <c r="Q1394" s="21" t="str">
        <f t="shared" si="4"/>
        <v/>
      </c>
      <c r="R1394" s="22">
        <f>IFERROR(__xludf.DUMMYFUNCTION("GOOGLEFINANCE(B1394, ""pe"")
"),14.45)</f>
        <v>14.45</v>
      </c>
    </row>
    <row r="1395">
      <c r="A1395" s="9" t="s">
        <v>1405</v>
      </c>
      <c r="B1395" s="11" t="str">
        <f t="shared" si="1"/>
        <v>NSE:DAVANGERE</v>
      </c>
      <c r="C1395" s="12">
        <f>IFERROR(__xludf.DUMMYFUNCTION("GOOGLEFINANCE(B1395,""marketcap"")/10000000"),325.5322351)</f>
        <v>325.5322351</v>
      </c>
      <c r="D1395" s="13">
        <f>IFERROR(__xludf.DUMMYFUNCTION("GOOGLEFINANCE(B1395,""price"")"),3.45)</f>
        <v>3.45</v>
      </c>
      <c r="E1395" s="14">
        <f>IFERROR(__xludf.DUMMYFUNCTION("GOOGLEFINANCE(B1395,""Volume"")"),361570.0)</f>
        <v>361570</v>
      </c>
      <c r="F1395" s="14">
        <f t="array" ref="F1395">F1394</f>
        <v>14</v>
      </c>
      <c r="G1395" s="15" t="str">
        <f>IFERROR(__xludf.DUMMYFUNCTION("IF(E1395&gt;AVERAGE(INDEX(GOOGLEFINANCE(B1395,""volume"",WORKDAY(TODAY(),-$F$1),TODAY()),,2)),""Breakout"","""")"),"")</f>
        <v/>
      </c>
      <c r="H1395" s="16">
        <f>IFERROR(__xludf.DUMMYFUNCTION("GOOGLEFINANCE(B1395,""price"")"),3.45)</f>
        <v>3.45</v>
      </c>
      <c r="I1395" s="17">
        <f>IFERROR(__xludf.DUMMYFUNCTION("AVERAGE(QUERY(SORT(GOOGLEFINANCE(B1395,""price"",TODAY()-365,TODAY()),1,0),""select Col2 limit 10""))"),3.5419999999999994)</f>
        <v>3.542</v>
      </c>
      <c r="J1395" s="17">
        <f>IFERROR(__xludf.DUMMYFUNCTION("AVERAGE(QUERY(SORT(GOOGLEFINANCE(B1395,""price"",TODAY()-365,TODAY()),1,0),""select Col2 limit 30""))"),3.4873333333333325)</f>
        <v>3.487333333</v>
      </c>
      <c r="K1395" s="18">
        <f>IFERROR(__xludf.DUMMYFUNCTION("AVERAGE(QUERY(SORT(GOOGLEFINANCE(B1395,""price"",TODAY()-365,TODAY()),1,0),""select Col2 limit 60""))"),3.632499999999999)</f>
        <v>3.6325</v>
      </c>
      <c r="L1395" s="17">
        <f>IFERROR(__xludf.DUMMYFUNCTION("AVERAGE(QUERY(SORT(GOOGLEFINANCE(B1395,""price"",TODAY()-365,TODAY()),1,0),""select Col2 limit 90""))"),3.7164444444444436)</f>
        <v>3.716444444</v>
      </c>
      <c r="M1395" s="17">
        <f>IFERROR(__xludf.DUMMYFUNCTION("AVERAGE(QUERY(SORT(GOOGLEFINANCE(B1395,""price"",TODAY()-365,TODAY()),1,0),""select Col2 limit 120""))"),4.078499999999999)</f>
        <v>4.0785</v>
      </c>
      <c r="N1395" s="19">
        <f>IFERROR(__xludf.DUMMYFUNCTION("AVERAGE(QUERY(SORT(GOOGLEFINANCE(B1395,""price"",TODAY()-365,TODAY()),1,0),""select Col2 limit 200""))"),4.868399999999999)</f>
        <v>4.8684</v>
      </c>
      <c r="O1395" s="20" t="str">
        <f t="shared" si="2"/>
        <v>Avoid</v>
      </c>
      <c r="P1395" s="21" t="str">
        <f t="shared" si="3"/>
        <v/>
      </c>
      <c r="Q1395" s="21" t="str">
        <f t="shared" si="4"/>
        <v/>
      </c>
      <c r="R1395" s="22">
        <f>IFERROR(__xludf.DUMMYFUNCTION("GOOGLEFINANCE(B1395, ""pe"")
"),29.76)</f>
        <v>29.76</v>
      </c>
    </row>
    <row r="1396">
      <c r="A1396" s="9" t="s">
        <v>1406</v>
      </c>
      <c r="B1396" s="11" t="str">
        <f t="shared" si="1"/>
        <v>NSE:MMP</v>
      </c>
      <c r="C1396" s="12">
        <f>IFERROR(__xludf.DUMMYFUNCTION("GOOGLEFINANCE(B1396,""marketcap"")/10000000"),678.7577702)</f>
        <v>678.7577702</v>
      </c>
      <c r="D1396" s="13">
        <f>IFERROR(__xludf.DUMMYFUNCTION("GOOGLEFINANCE(B1396,""price"")"),268.1)</f>
        <v>268.1</v>
      </c>
      <c r="E1396" s="14">
        <f>IFERROR(__xludf.DUMMYFUNCTION("GOOGLEFINANCE(B1396,""Volume"")"),5095.0)</f>
        <v>5095</v>
      </c>
      <c r="F1396" s="14">
        <f t="array" ref="F1396">F1395</f>
        <v>14</v>
      </c>
      <c r="G1396" s="15" t="str">
        <f>IFERROR(__xludf.DUMMYFUNCTION("IF(E1396&gt;AVERAGE(INDEX(GOOGLEFINANCE(B1396,""volume"",WORKDAY(TODAY(),-$F$1),TODAY()),,2)),""Breakout"","""")"),"")</f>
        <v/>
      </c>
      <c r="H1396" s="16">
        <f>IFERROR(__xludf.DUMMYFUNCTION("GOOGLEFINANCE(B1396,""price"")"),268.1)</f>
        <v>268.1</v>
      </c>
      <c r="I1396" s="17">
        <f>IFERROR(__xludf.DUMMYFUNCTION("AVERAGE(QUERY(SORT(GOOGLEFINANCE(B1396,""price"",TODAY()-365,TODAY()),1,0),""select Col2 limit 10""))"),285.41999999999996)</f>
        <v>285.42</v>
      </c>
      <c r="J1396" s="17">
        <f>IFERROR(__xludf.DUMMYFUNCTION("AVERAGE(QUERY(SORT(GOOGLEFINANCE(B1396,""price"",TODAY()-365,TODAY()),1,0),""select Col2 limit 30""))"),280.1863333333334)</f>
        <v>280.1863333</v>
      </c>
      <c r="K1396" s="18">
        <f>IFERROR(__xludf.DUMMYFUNCTION("AVERAGE(QUERY(SORT(GOOGLEFINANCE(B1396,""price"",TODAY()-365,TODAY()),1,0),""select Col2 limit 60""))"),264.9721666666667)</f>
        <v>264.9721667</v>
      </c>
      <c r="L1396" s="17">
        <f>IFERROR(__xludf.DUMMYFUNCTION("AVERAGE(QUERY(SORT(GOOGLEFINANCE(B1396,""price"",TODAY()-365,TODAY()),1,0),""select Col2 limit 90""))"),260.63322222222206)</f>
        <v>260.6332222</v>
      </c>
      <c r="M1396" s="17">
        <f>IFERROR(__xludf.DUMMYFUNCTION("AVERAGE(QUERY(SORT(GOOGLEFINANCE(B1396,""price"",TODAY()-365,TODAY()),1,0),""select Col2 limit 120""))"),261.3988333333332)</f>
        <v>261.3988333</v>
      </c>
      <c r="N1396" s="19">
        <f>IFERROR(__xludf.DUMMYFUNCTION("AVERAGE(QUERY(SORT(GOOGLEFINANCE(B1396,""price"",TODAY()-365,TODAY()),1,0),""select Col2 limit 200""))"),291.04204999999973)</f>
        <v>291.04205</v>
      </c>
      <c r="O1396" s="20" t="str">
        <f t="shared" si="2"/>
        <v>Avoid</v>
      </c>
      <c r="P1396" s="21" t="str">
        <f t="shared" si="3"/>
        <v/>
      </c>
      <c r="Q1396" s="21" t="str">
        <f t="shared" si="4"/>
        <v/>
      </c>
      <c r="R1396" s="22">
        <f>IFERROR(__xludf.DUMMYFUNCTION("GOOGLEFINANCE(B1396, ""pe"")
"),17.52)</f>
        <v>17.52</v>
      </c>
    </row>
    <row r="1397">
      <c r="A1397" s="9" t="s">
        <v>1407</v>
      </c>
      <c r="B1397" s="11" t="str">
        <f t="shared" si="1"/>
        <v>NSE:RUBYMILLS</v>
      </c>
      <c r="C1397" s="12">
        <f>IFERROR(__xludf.DUMMYFUNCTION("GOOGLEFINANCE(B1397,""marketcap"")/10000000"),795.871762)</f>
        <v>795.871762</v>
      </c>
      <c r="D1397" s="13">
        <f>IFERROR(__xludf.DUMMYFUNCTION("GOOGLEFINANCE(B1397,""price"")"),236.48)</f>
        <v>236.48</v>
      </c>
      <c r="E1397" s="14">
        <f>IFERROR(__xludf.DUMMYFUNCTION("GOOGLEFINANCE(B1397,""Volume"")"),2205.0)</f>
        <v>2205</v>
      </c>
      <c r="F1397" s="14">
        <f t="array" ref="F1397">F1396</f>
        <v>14</v>
      </c>
      <c r="G1397" s="15" t="str">
        <f>IFERROR(__xludf.DUMMYFUNCTION("IF(E1397&gt;AVERAGE(INDEX(GOOGLEFINANCE(B1397,""volume"",WORKDAY(TODAY(),-$F$1),TODAY()),,2)),""Breakout"","""")"),"")</f>
        <v/>
      </c>
      <c r="H1397" s="16">
        <f>IFERROR(__xludf.DUMMYFUNCTION("GOOGLEFINANCE(B1397,""price"")"),236.48)</f>
        <v>236.48</v>
      </c>
      <c r="I1397" s="17">
        <f>IFERROR(__xludf.DUMMYFUNCTION("AVERAGE(QUERY(SORT(GOOGLEFINANCE(B1397,""price"",TODAY()-365,TODAY()),1,0),""select Col2 limit 10""))"),244.56300000000005)</f>
        <v>244.563</v>
      </c>
      <c r="J1397" s="17">
        <f>IFERROR(__xludf.DUMMYFUNCTION("AVERAGE(QUERY(SORT(GOOGLEFINANCE(B1397,""price"",TODAY()-365,TODAY()),1,0),""select Col2 limit 30""))"),242.24633333333333)</f>
        <v>242.2463333</v>
      </c>
      <c r="K1397" s="18">
        <f>IFERROR(__xludf.DUMMYFUNCTION("AVERAGE(QUERY(SORT(GOOGLEFINANCE(B1397,""price"",TODAY()-365,TODAY()),1,0),""select Col2 limit 60""))"),224.88883333333328)</f>
        <v>224.8888333</v>
      </c>
      <c r="L1397" s="17">
        <f>IFERROR(__xludf.DUMMYFUNCTION("AVERAGE(QUERY(SORT(GOOGLEFINANCE(B1397,""price"",TODAY()-365,TODAY()),1,0),""select Col2 limit 90""))"),214.7899999999999)</f>
        <v>214.79</v>
      </c>
      <c r="M1397" s="17">
        <f>IFERROR(__xludf.DUMMYFUNCTION("AVERAGE(QUERY(SORT(GOOGLEFINANCE(B1397,""price"",TODAY()-365,TODAY()),1,0),""select Col2 limit 120""))"),212.01366666666655)</f>
        <v>212.0136667</v>
      </c>
      <c r="N1397" s="19">
        <f>IFERROR(__xludf.DUMMYFUNCTION("AVERAGE(QUERY(SORT(GOOGLEFINANCE(B1397,""price"",TODAY()-365,TODAY()),1,0),""select Col2 limit 200""))"),227.63864999999987)</f>
        <v>227.63865</v>
      </c>
      <c r="O1397" s="20" t="str">
        <f t="shared" si="2"/>
        <v>Avoid</v>
      </c>
      <c r="P1397" s="21" t="str">
        <f t="shared" si="3"/>
        <v/>
      </c>
      <c r="Q1397" s="21" t="str">
        <f t="shared" si="4"/>
        <v/>
      </c>
      <c r="R1397" s="22">
        <f>IFERROR(__xludf.DUMMYFUNCTION("GOOGLEFINANCE(B1397, ""pe"")
"),18.81)</f>
        <v>18.81</v>
      </c>
    </row>
    <row r="1398">
      <c r="A1398" s="9" t="s">
        <v>1408</v>
      </c>
      <c r="B1398" s="11" t="str">
        <f t="shared" si="1"/>
        <v>NSE:SUKHJITS</v>
      </c>
      <c r="C1398" s="12">
        <f>IFERROR(__xludf.DUMMYFUNCTION("GOOGLEFINANCE(B1398,""marketcap"")/10000000"),554.8505648)</f>
        <v>554.8505648</v>
      </c>
      <c r="D1398" s="13">
        <f>IFERROR(__xludf.DUMMYFUNCTION("GOOGLEFINANCE(B1398,""price"")"),176.94)</f>
        <v>176.94</v>
      </c>
      <c r="E1398" s="14">
        <f>IFERROR(__xludf.DUMMYFUNCTION("GOOGLEFINANCE(B1398,""Volume"")"),2344.0)</f>
        <v>2344</v>
      </c>
      <c r="F1398" s="14">
        <f t="array" ref="F1398">F1397</f>
        <v>14</v>
      </c>
      <c r="G1398" s="15" t="str">
        <f>IFERROR(__xludf.DUMMYFUNCTION("IF(E1398&gt;AVERAGE(INDEX(GOOGLEFINANCE(B1398,""volume"",WORKDAY(TODAY(),-$F$1),TODAY()),,2)),""Breakout"","""")"),"")</f>
        <v/>
      </c>
      <c r="H1398" s="16">
        <f>IFERROR(__xludf.DUMMYFUNCTION("GOOGLEFINANCE(B1398,""price"")"),176.94)</f>
        <v>176.94</v>
      </c>
      <c r="I1398" s="17">
        <f>IFERROR(__xludf.DUMMYFUNCTION("AVERAGE(QUERY(SORT(GOOGLEFINANCE(B1398,""price"",TODAY()-365,TODAY()),1,0),""select Col2 limit 10""))"),175.91500000000002)</f>
        <v>175.915</v>
      </c>
      <c r="J1398" s="17">
        <f>IFERROR(__xludf.DUMMYFUNCTION("AVERAGE(QUERY(SORT(GOOGLEFINANCE(B1398,""price"",TODAY()-365,TODAY()),1,0),""select Col2 limit 30""))"),182.45866666666663)</f>
        <v>182.4586667</v>
      </c>
      <c r="K1398" s="18">
        <f>IFERROR(__xludf.DUMMYFUNCTION("AVERAGE(QUERY(SORT(GOOGLEFINANCE(B1398,""price"",TODAY()-365,TODAY()),1,0),""select Col2 limit 60""))"),193.30466666666658)</f>
        <v>193.3046667</v>
      </c>
      <c r="L1398" s="17">
        <f>IFERROR(__xludf.DUMMYFUNCTION("AVERAGE(QUERY(SORT(GOOGLEFINANCE(B1398,""price"",TODAY()-365,TODAY()),1,0),""select Col2 limit 90""))"),196.25444444444435)</f>
        <v>196.2544444</v>
      </c>
      <c r="M1398" s="17">
        <f>IFERROR(__xludf.DUMMYFUNCTION("AVERAGE(QUERY(SORT(GOOGLEFINANCE(B1398,""price"",TODAY()-365,TODAY()),1,0),""select Col2 limit 120""))"),199.0437499999999)</f>
        <v>199.04375</v>
      </c>
      <c r="N1398" s="19">
        <f>IFERROR(__xludf.DUMMYFUNCTION("AVERAGE(QUERY(SORT(GOOGLEFINANCE(B1398,""price"",TODAY()-365,TODAY()),1,0),""select Col2 limit 200""))"),226.26969999999986)</f>
        <v>226.2697</v>
      </c>
      <c r="O1398" s="20" t="str">
        <f t="shared" si="2"/>
        <v>Avoid</v>
      </c>
      <c r="P1398" s="21" t="str">
        <f t="shared" si="3"/>
        <v/>
      </c>
      <c r="Q1398" s="21" t="str">
        <f t="shared" si="4"/>
        <v/>
      </c>
      <c r="R1398" s="22">
        <f>IFERROR(__xludf.DUMMYFUNCTION("GOOGLEFINANCE(B1398, ""pe"")
"),13.83)</f>
        <v>13.83</v>
      </c>
    </row>
    <row r="1399">
      <c r="A1399" s="9" t="s">
        <v>1409</v>
      </c>
      <c r="B1399" s="11" t="str">
        <f t="shared" si="1"/>
        <v>NSE:MBLINFRA</v>
      </c>
      <c r="C1399" s="12">
        <f>IFERROR(__xludf.DUMMYFUNCTION("GOOGLEFINANCE(B1399,""marketcap"")/10000000"),639.7074438)</f>
        <v>639.7074438</v>
      </c>
      <c r="D1399" s="13">
        <f>IFERROR(__xludf.DUMMYFUNCTION("GOOGLEFINANCE(B1399,""price"")"),41.91)</f>
        <v>41.91</v>
      </c>
      <c r="E1399" s="14">
        <f>IFERROR(__xludf.DUMMYFUNCTION("GOOGLEFINANCE(B1399,""Volume"")"),39052.0)</f>
        <v>39052</v>
      </c>
      <c r="F1399" s="14">
        <f t="array" ref="F1399">F1398</f>
        <v>14</v>
      </c>
      <c r="G1399" s="15" t="str">
        <f>IFERROR(__xludf.DUMMYFUNCTION("IF(E1399&gt;AVERAGE(INDEX(GOOGLEFINANCE(B1399,""volume"",WORKDAY(TODAY(),-$F$1),TODAY()),,2)),""Breakout"","""")"),"")</f>
        <v/>
      </c>
      <c r="H1399" s="16">
        <f>IFERROR(__xludf.DUMMYFUNCTION("GOOGLEFINANCE(B1399,""price"")"),41.91)</f>
        <v>41.91</v>
      </c>
      <c r="I1399" s="17">
        <f>IFERROR(__xludf.DUMMYFUNCTION("AVERAGE(QUERY(SORT(GOOGLEFINANCE(B1399,""price"",TODAY()-365,TODAY()),1,0),""select Col2 limit 10""))"),42.948)</f>
        <v>42.948</v>
      </c>
      <c r="J1399" s="17">
        <f>IFERROR(__xludf.DUMMYFUNCTION("AVERAGE(QUERY(SORT(GOOGLEFINANCE(B1399,""price"",TODAY()-365,TODAY()),1,0),""select Col2 limit 30""))"),43.56500000000001)</f>
        <v>43.565</v>
      </c>
      <c r="K1399" s="18">
        <f>IFERROR(__xludf.DUMMYFUNCTION("AVERAGE(QUERY(SORT(GOOGLEFINANCE(B1399,""price"",TODAY()-365,TODAY()),1,0),""select Col2 limit 60""))"),43.42700000000002)</f>
        <v>43.427</v>
      </c>
      <c r="L1399" s="17">
        <f>IFERROR(__xludf.DUMMYFUNCTION("AVERAGE(QUERY(SORT(GOOGLEFINANCE(B1399,""price"",TODAY()-365,TODAY()),1,0),""select Col2 limit 90""))"),43.58711111111113)</f>
        <v>43.58711111</v>
      </c>
      <c r="M1399" s="17">
        <f>IFERROR(__xludf.DUMMYFUNCTION("AVERAGE(QUERY(SORT(GOOGLEFINANCE(B1399,""price"",TODAY()-365,TODAY()),1,0),""select Col2 limit 120""))"),43.75683333333333)</f>
        <v>43.75683333</v>
      </c>
      <c r="N1399" s="19">
        <f>IFERROR(__xludf.DUMMYFUNCTION("AVERAGE(QUERY(SORT(GOOGLEFINANCE(B1399,""price"",TODAY()-365,TODAY()),1,0),""select Col2 limit 200""))"),49.71029999999998)</f>
        <v>49.7103</v>
      </c>
      <c r="O1399" s="20" t="str">
        <f t="shared" si="2"/>
        <v>Avoid</v>
      </c>
      <c r="P1399" s="21" t="str">
        <f t="shared" si="3"/>
        <v/>
      </c>
      <c r="Q1399" s="21" t="str">
        <f t="shared" si="4"/>
        <v/>
      </c>
      <c r="R1399" s="22">
        <f>IFERROR(__xludf.DUMMYFUNCTION("GOOGLEFINANCE(B1399, ""pe"")
"),3.03)</f>
        <v>3.03</v>
      </c>
    </row>
    <row r="1400">
      <c r="A1400" s="9" t="s">
        <v>1410</v>
      </c>
      <c r="B1400" s="11" t="str">
        <f t="shared" si="1"/>
        <v>NSE:RBL</v>
      </c>
      <c r="C1400" s="12" t="str">
        <f>IFERROR(__xludf.DUMMYFUNCTION("GOOGLEFINANCE(B1400,""marketcap"")/10000000"),"#N/A")</f>
        <v>#N/A</v>
      </c>
      <c r="D1400" s="13" t="str">
        <f>IFERROR(__xludf.DUMMYFUNCTION("GOOGLEFINANCE(B1400,""price"")"),"#N/A")</f>
        <v>#N/A</v>
      </c>
      <c r="E1400" s="14" t="str">
        <f>IFERROR(__xludf.DUMMYFUNCTION("GOOGLEFINANCE(B1400,""Volume"")"),"#N/A")</f>
        <v>#N/A</v>
      </c>
      <c r="F1400" s="14">
        <f t="array" ref="F1400">F1399</f>
        <v>14</v>
      </c>
      <c r="G1400" s="15" t="str">
        <f>IFERROR(__xludf.DUMMYFUNCTION("IF(E1400&gt;AVERAGE(INDEX(GOOGLEFINANCE(B1400,""volume"",WORKDAY(TODAY(),-$F$1),TODAY()),,2)),""Breakout"","""")"),"#N/A")</f>
        <v>#N/A</v>
      </c>
      <c r="H1400" s="16" t="str">
        <f>IFERROR(__xludf.DUMMYFUNCTION("GOOGLEFINANCE(B1400,""price"")"),"#N/A")</f>
        <v>#N/A</v>
      </c>
      <c r="I1400" s="17" t="str">
        <f>IFERROR(__xludf.DUMMYFUNCTION("AVERAGE(QUERY(SORT(GOOGLEFINANCE(B1400,""price"",TODAY()-365,TODAY()),1,0),""select Col2 limit 10""))"),"#N/A")</f>
        <v>#N/A</v>
      </c>
      <c r="J1400" s="17" t="str">
        <f>IFERROR(__xludf.DUMMYFUNCTION("AVERAGE(QUERY(SORT(GOOGLEFINANCE(B1400,""price"",TODAY()-365,TODAY()),1,0),""select Col2 limit 30""))"),"#N/A")</f>
        <v>#N/A</v>
      </c>
      <c r="K1400" s="18" t="str">
        <f>IFERROR(__xludf.DUMMYFUNCTION("AVERAGE(QUERY(SORT(GOOGLEFINANCE(B1400,""price"",TODAY()-365,TODAY()),1,0),""select Col2 limit 60""))"),"#N/A")</f>
        <v>#N/A</v>
      </c>
      <c r="L1400" s="17" t="str">
        <f>IFERROR(__xludf.DUMMYFUNCTION("AVERAGE(QUERY(SORT(GOOGLEFINANCE(B1400,""price"",TODAY()-365,TODAY()),1,0),""select Col2 limit 90""))"),"#N/A")</f>
        <v>#N/A</v>
      </c>
      <c r="M1400" s="17" t="str">
        <f>IFERROR(__xludf.DUMMYFUNCTION("AVERAGE(QUERY(SORT(GOOGLEFINANCE(B1400,""price"",TODAY()-365,TODAY()),1,0),""select Col2 limit 120""))"),"#N/A")</f>
        <v>#N/A</v>
      </c>
      <c r="N1400" s="19" t="str">
        <f>IFERROR(__xludf.DUMMYFUNCTION("AVERAGE(QUERY(SORT(GOOGLEFINANCE(B1400,""price"",TODAY()-365,TODAY()),1,0),""select Col2 limit 200""))"),"#N/A")</f>
        <v>#N/A</v>
      </c>
      <c r="O1400" s="20" t="str">
        <f t="shared" si="2"/>
        <v>#N/A</v>
      </c>
      <c r="P1400" s="21" t="str">
        <f t="shared" si="3"/>
        <v>#N/A</v>
      </c>
      <c r="Q1400" s="21" t="str">
        <f t="shared" si="4"/>
        <v>#N/A</v>
      </c>
      <c r="R1400" s="22" t="str">
        <f>IFERROR(__xludf.DUMMYFUNCTION("GOOGLEFINANCE(B1400, ""pe"")
"),"#N/A")</f>
        <v>#N/A</v>
      </c>
    </row>
    <row r="1401">
      <c r="A1401" s="9" t="s">
        <v>1411</v>
      </c>
      <c r="B1401" s="11" t="str">
        <f t="shared" si="1"/>
        <v>NSE:APEX</v>
      </c>
      <c r="C1401" s="12">
        <f>IFERROR(__xludf.DUMMYFUNCTION("GOOGLEFINANCE(B1401,""marketcap"")/10000000"),767.6044442)</f>
        <v>767.6044442</v>
      </c>
      <c r="D1401" s="13">
        <f>IFERROR(__xludf.DUMMYFUNCTION("GOOGLEFINANCE(B1401,""price"")"),245.3)</f>
        <v>245.3</v>
      </c>
      <c r="E1401" s="14">
        <f>IFERROR(__xludf.DUMMYFUNCTION("GOOGLEFINANCE(B1401,""Volume"")"),31383.0)</f>
        <v>31383</v>
      </c>
      <c r="F1401" s="14">
        <f t="array" ref="F1401">F1400</f>
        <v>14</v>
      </c>
      <c r="G1401" s="15" t="str">
        <f>IFERROR(__xludf.DUMMYFUNCTION("IF(E1401&gt;AVERAGE(INDEX(GOOGLEFINANCE(B1401,""volume"",WORKDAY(TODAY(),-$F$1),TODAY()),,2)),""Breakout"","""")"),"")</f>
        <v/>
      </c>
      <c r="H1401" s="16">
        <f>IFERROR(__xludf.DUMMYFUNCTION("GOOGLEFINANCE(B1401,""price"")"),245.3)</f>
        <v>245.3</v>
      </c>
      <c r="I1401" s="17">
        <f>IFERROR(__xludf.DUMMYFUNCTION("AVERAGE(QUERY(SORT(GOOGLEFINANCE(B1401,""price"",TODAY()-365,TODAY()),1,0),""select Col2 limit 10""))"),245.253)</f>
        <v>245.253</v>
      </c>
      <c r="J1401" s="17">
        <f>IFERROR(__xludf.DUMMYFUNCTION("AVERAGE(QUERY(SORT(GOOGLEFINANCE(B1401,""price"",TODAY()-365,TODAY()),1,0),""select Col2 limit 30""))"),242.70633333333336)</f>
        <v>242.7063333</v>
      </c>
      <c r="K1401" s="18">
        <f>IFERROR(__xludf.DUMMYFUNCTION("AVERAGE(QUERY(SORT(GOOGLEFINANCE(B1401,""price"",TODAY()-365,TODAY()),1,0),""select Col2 limit 60""))"),232.47200000000004)</f>
        <v>232.472</v>
      </c>
      <c r="L1401" s="17">
        <f>IFERROR(__xludf.DUMMYFUNCTION("AVERAGE(QUERY(SORT(GOOGLEFINANCE(B1401,""price"",TODAY()-365,TODAY()),1,0),""select Col2 limit 90""))"),227.44622222222213)</f>
        <v>227.4462222</v>
      </c>
      <c r="M1401" s="17">
        <f>IFERROR(__xludf.DUMMYFUNCTION("AVERAGE(QUERY(SORT(GOOGLEFINANCE(B1401,""price"",TODAY()-365,TODAY()),1,0),""select Col2 limit 120""))"),225.90091666666657)</f>
        <v>225.9009167</v>
      </c>
      <c r="N1401" s="19">
        <f>IFERROR(__xludf.DUMMYFUNCTION("AVERAGE(QUERY(SORT(GOOGLEFINANCE(B1401,""price"",TODAY()-365,TODAY()),1,0),""select Col2 limit 200""))"),234.287)</f>
        <v>234.287</v>
      </c>
      <c r="O1401" s="20" t="str">
        <f t="shared" si="2"/>
        <v>Avoid</v>
      </c>
      <c r="P1401" s="21" t="str">
        <f t="shared" si="3"/>
        <v/>
      </c>
      <c r="Q1401" s="21" t="str">
        <f t="shared" si="4"/>
        <v/>
      </c>
      <c r="R1401" s="22">
        <f>IFERROR(__xludf.DUMMYFUNCTION("GOOGLEFINANCE(B1401, ""pe"")
"),197.82)</f>
        <v>197.82</v>
      </c>
    </row>
    <row r="1402">
      <c r="A1402" s="9" t="s">
        <v>1412</v>
      </c>
      <c r="B1402" s="11" t="str">
        <f t="shared" si="1"/>
        <v>NSE:TPLPLASTEH</v>
      </c>
      <c r="C1402" s="12">
        <f>IFERROR(__xludf.DUMMYFUNCTION("GOOGLEFINANCE(B1402,""marketcap"")/10000000"),606.5512669)</f>
        <v>606.5512669</v>
      </c>
      <c r="D1402" s="13">
        <f>IFERROR(__xludf.DUMMYFUNCTION("GOOGLEFINANCE(B1402,""price"")"),77.76)</f>
        <v>77.76</v>
      </c>
      <c r="E1402" s="14">
        <f>IFERROR(__xludf.DUMMYFUNCTION("GOOGLEFINANCE(B1402,""Volume"")"),25298.0)</f>
        <v>25298</v>
      </c>
      <c r="F1402" s="14">
        <f t="array" ref="F1402">F1401</f>
        <v>14</v>
      </c>
      <c r="G1402" s="15" t="str">
        <f>IFERROR(__xludf.DUMMYFUNCTION("IF(E1402&gt;AVERAGE(INDEX(GOOGLEFINANCE(B1402,""volume"",WORKDAY(TODAY(),-$F$1),TODAY()),,2)),""Breakout"","""")"),"")</f>
        <v/>
      </c>
      <c r="H1402" s="16">
        <f>IFERROR(__xludf.DUMMYFUNCTION("GOOGLEFINANCE(B1402,""price"")"),77.76)</f>
        <v>77.76</v>
      </c>
      <c r="I1402" s="17">
        <f>IFERROR(__xludf.DUMMYFUNCTION("AVERAGE(QUERY(SORT(GOOGLEFINANCE(B1402,""price"",TODAY()-365,TODAY()),1,0),""select Col2 limit 10""))"),79.439)</f>
        <v>79.439</v>
      </c>
      <c r="J1402" s="17">
        <f>IFERROR(__xludf.DUMMYFUNCTION("AVERAGE(QUERY(SORT(GOOGLEFINANCE(B1402,""price"",TODAY()-365,TODAY()),1,0),""select Col2 limit 30""))"),80.24433333333334)</f>
        <v>80.24433333</v>
      </c>
      <c r="K1402" s="18">
        <f>IFERROR(__xludf.DUMMYFUNCTION("AVERAGE(QUERY(SORT(GOOGLEFINANCE(B1402,""price"",TODAY()-365,TODAY()),1,0),""select Col2 limit 60""))"),81.12283333333336)</f>
        <v>81.12283333</v>
      </c>
      <c r="L1402" s="17">
        <f>IFERROR(__xludf.DUMMYFUNCTION("AVERAGE(QUERY(SORT(GOOGLEFINANCE(B1402,""price"",TODAY()-365,TODAY()),1,0),""select Col2 limit 90""))"),80.5858888888889)</f>
        <v>80.58588889</v>
      </c>
      <c r="M1402" s="17">
        <f>IFERROR(__xludf.DUMMYFUNCTION("AVERAGE(QUERY(SORT(GOOGLEFINANCE(B1402,""price"",TODAY()-365,TODAY()),1,0),""select Col2 limit 120""))"),81.29925000000003)</f>
        <v>81.29925</v>
      </c>
      <c r="N1402" s="19">
        <f>IFERROR(__xludf.DUMMYFUNCTION("AVERAGE(QUERY(SORT(GOOGLEFINANCE(B1402,""price"",TODAY()-365,TODAY()),1,0),""select Col2 limit 200""))"),89.03460000000003)</f>
        <v>89.0346</v>
      </c>
      <c r="O1402" s="20" t="str">
        <f t="shared" si="2"/>
        <v>Avoid</v>
      </c>
      <c r="P1402" s="21" t="str">
        <f t="shared" si="3"/>
        <v/>
      </c>
      <c r="Q1402" s="21" t="str">
        <f t="shared" si="4"/>
        <v/>
      </c>
      <c r="R1402" s="22">
        <f>IFERROR(__xludf.DUMMYFUNCTION("GOOGLEFINANCE(B1402, ""pe"")
"),25.84)</f>
        <v>25.84</v>
      </c>
    </row>
    <row r="1403">
      <c r="A1403" s="9" t="s">
        <v>1413</v>
      </c>
      <c r="B1403" s="11" t="str">
        <f t="shared" si="1"/>
        <v>NSE:SAKAR</v>
      </c>
      <c r="C1403" s="12">
        <f>IFERROR(__xludf.DUMMYFUNCTION("GOOGLEFINANCE(B1403,""marketcap"")/10000000"),782.9743193)</f>
        <v>782.9743193</v>
      </c>
      <c r="D1403" s="13">
        <f>IFERROR(__xludf.DUMMYFUNCTION("GOOGLEFINANCE(B1403,""price"")"),349.0)</f>
        <v>349</v>
      </c>
      <c r="E1403" s="14">
        <f>IFERROR(__xludf.DUMMYFUNCTION("GOOGLEFINANCE(B1403,""Volume"")"),6841.0)</f>
        <v>6841</v>
      </c>
      <c r="F1403" s="14">
        <f t="array" ref="F1403">F1402</f>
        <v>14</v>
      </c>
      <c r="G1403" s="15" t="str">
        <f>IFERROR(__xludf.DUMMYFUNCTION("IF(E1403&gt;AVERAGE(INDEX(GOOGLEFINANCE(B1403,""volume"",WORKDAY(TODAY(),-$F$1),TODAY()),,2)),""Breakout"","""")"),"")</f>
        <v/>
      </c>
      <c r="H1403" s="16">
        <f>IFERROR(__xludf.DUMMYFUNCTION("GOOGLEFINANCE(B1403,""price"")"),349.0)</f>
        <v>349</v>
      </c>
      <c r="I1403" s="17">
        <f>IFERROR(__xludf.DUMMYFUNCTION("AVERAGE(QUERY(SORT(GOOGLEFINANCE(B1403,""price"",TODAY()-365,TODAY()),1,0),""select Col2 limit 10""))"),357.475)</f>
        <v>357.475</v>
      </c>
      <c r="J1403" s="17">
        <f>IFERROR(__xludf.DUMMYFUNCTION("AVERAGE(QUERY(SORT(GOOGLEFINANCE(B1403,""price"",TODAY()-365,TODAY()),1,0),""select Col2 limit 30""))"),352.6166666666667)</f>
        <v>352.6166667</v>
      </c>
      <c r="K1403" s="18">
        <f>IFERROR(__xludf.DUMMYFUNCTION("AVERAGE(QUERY(SORT(GOOGLEFINANCE(B1403,""price"",TODAY()-365,TODAY()),1,0),""select Col2 limit 60""))"),330.4716666666666)</f>
        <v>330.4716667</v>
      </c>
      <c r="L1403" s="17">
        <f>IFERROR(__xludf.DUMMYFUNCTION("AVERAGE(QUERY(SORT(GOOGLEFINANCE(B1403,""price"",TODAY()-365,TODAY()),1,0),""select Col2 limit 90""))"),306.2292222222222)</f>
        <v>306.2292222</v>
      </c>
      <c r="M1403" s="17">
        <f>IFERROR(__xludf.DUMMYFUNCTION("AVERAGE(QUERY(SORT(GOOGLEFINANCE(B1403,""price"",TODAY()-365,TODAY()),1,0),""select Col2 limit 120""))"),293.3050833333333)</f>
        <v>293.3050833</v>
      </c>
      <c r="N1403" s="19">
        <f>IFERROR(__xludf.DUMMYFUNCTION("AVERAGE(QUERY(SORT(GOOGLEFINANCE(B1403,""price"",TODAY()-365,TODAY()),1,0),""select Col2 limit 200""))"),298.2470499999999)</f>
        <v>298.24705</v>
      </c>
      <c r="O1403" s="20" t="str">
        <f t="shared" si="2"/>
        <v>Avoid</v>
      </c>
      <c r="P1403" s="21" t="str">
        <f t="shared" si="3"/>
        <v/>
      </c>
      <c r="Q1403" s="21" t="str">
        <f t="shared" si="4"/>
        <v/>
      </c>
      <c r="R1403" s="22">
        <f>IFERROR(__xludf.DUMMYFUNCTION("GOOGLEFINANCE(B1403, ""pe"")
"),44.26)</f>
        <v>44.26</v>
      </c>
    </row>
    <row r="1404">
      <c r="A1404" s="9" t="s">
        <v>1414</v>
      </c>
      <c r="B1404" s="11" t="str">
        <f t="shared" si="1"/>
        <v>NSE:MENONBE</v>
      </c>
      <c r="C1404" s="12">
        <f>IFERROR(__xludf.DUMMYFUNCTION("GOOGLEFINANCE(B1404,""marketcap"")/10000000"),772.8476605)</f>
        <v>772.8476605</v>
      </c>
      <c r="D1404" s="13">
        <f>IFERROR(__xludf.DUMMYFUNCTION("GOOGLEFINANCE(B1404,""price"")"),137.47)</f>
        <v>137.47</v>
      </c>
      <c r="E1404" s="14">
        <f>IFERROR(__xludf.DUMMYFUNCTION("GOOGLEFINANCE(B1404,""Volume"")"),598767.0)</f>
        <v>598767</v>
      </c>
      <c r="F1404" s="14">
        <f t="array" ref="F1404">F1403</f>
        <v>14</v>
      </c>
      <c r="G1404" s="15" t="str">
        <f>IFERROR(__xludf.DUMMYFUNCTION("IF(E1404&gt;AVERAGE(INDEX(GOOGLEFINANCE(B1404,""volume"",WORKDAY(TODAY(),-$F$1),TODAY()),,2)),""Breakout"","""")"),"Breakout")</f>
        <v>Breakout</v>
      </c>
      <c r="H1404" s="16">
        <f>IFERROR(__xludf.DUMMYFUNCTION("GOOGLEFINANCE(B1404,""price"")"),137.47)</f>
        <v>137.47</v>
      </c>
      <c r="I1404" s="17">
        <f>IFERROR(__xludf.DUMMYFUNCTION("AVERAGE(QUERY(SORT(GOOGLEFINANCE(B1404,""price"",TODAY()-365,TODAY()),1,0),""select Col2 limit 10""))"),126.345)</f>
        <v>126.345</v>
      </c>
      <c r="J1404" s="17">
        <f>IFERROR(__xludf.DUMMYFUNCTION("AVERAGE(QUERY(SORT(GOOGLEFINANCE(B1404,""price"",TODAY()-365,TODAY()),1,0),""select Col2 limit 30""))"),124.33099999999999)</f>
        <v>124.331</v>
      </c>
      <c r="K1404" s="18">
        <f>IFERROR(__xludf.DUMMYFUNCTION("AVERAGE(QUERY(SORT(GOOGLEFINANCE(B1404,""price"",TODAY()-365,TODAY()),1,0),""select Col2 limit 60""))"),119.9726666666667)</f>
        <v>119.9726667</v>
      </c>
      <c r="L1404" s="17">
        <f>IFERROR(__xludf.DUMMYFUNCTION("AVERAGE(QUERY(SORT(GOOGLEFINANCE(B1404,""price"",TODAY()-365,TODAY()),1,0),""select Col2 limit 90""))"),112.19477777777783)</f>
        <v>112.1947778</v>
      </c>
      <c r="M1404" s="17">
        <f>IFERROR(__xludf.DUMMYFUNCTION("AVERAGE(QUERY(SORT(GOOGLEFINANCE(B1404,""price"",TODAY()-365,TODAY()),1,0),""select Col2 limit 120""))"),109.55258333333337)</f>
        <v>109.5525833</v>
      </c>
      <c r="N1404" s="19">
        <f>IFERROR(__xludf.DUMMYFUNCTION("AVERAGE(QUERY(SORT(GOOGLEFINANCE(B1404,""price"",TODAY()-365,TODAY()),1,0),""select Col2 limit 200""))"),114.31035000000003)</f>
        <v>114.31035</v>
      </c>
      <c r="O1404" s="20" t="str">
        <f t="shared" si="2"/>
        <v>Avoid</v>
      </c>
      <c r="P1404" s="21" t="str">
        <f t="shared" si="3"/>
        <v/>
      </c>
      <c r="Q1404" s="21" t="str">
        <f t="shared" si="4"/>
        <v/>
      </c>
      <c r="R1404" s="22">
        <f>IFERROR(__xludf.DUMMYFUNCTION("GOOGLEFINANCE(B1404, ""pe"")
"),30.99)</f>
        <v>30.99</v>
      </c>
    </row>
    <row r="1405">
      <c r="A1405" s="9" t="s">
        <v>1415</v>
      </c>
      <c r="B1405" s="11" t="str">
        <f t="shared" si="1"/>
        <v>NSE:NDL</v>
      </c>
      <c r="C1405" s="12">
        <f>IFERROR(__xludf.DUMMYFUNCTION("GOOGLEFINANCE(B1405,""marketcap"")/10000000"),540.551625)</f>
        <v>540.551625</v>
      </c>
      <c r="D1405" s="13">
        <f>IFERROR(__xludf.DUMMYFUNCTION("GOOGLEFINANCE(B1405,""price"")"),3.76)</f>
        <v>3.76</v>
      </c>
      <c r="E1405" s="14">
        <f>IFERROR(__xludf.DUMMYFUNCTION("GOOGLEFINANCE(B1405,""Volume"")"),2152105.0)</f>
        <v>2152105</v>
      </c>
      <c r="F1405" s="14">
        <f t="array" ref="F1405">F1404</f>
        <v>14</v>
      </c>
      <c r="G1405" s="15" t="str">
        <f>IFERROR(__xludf.DUMMYFUNCTION("IF(E1405&gt;AVERAGE(INDEX(GOOGLEFINANCE(B1405,""volume"",WORKDAY(TODAY(),-$F$1),TODAY()),,2)),""Breakout"","""")"),"")</f>
        <v/>
      </c>
      <c r="H1405" s="16">
        <f>IFERROR(__xludf.DUMMYFUNCTION("GOOGLEFINANCE(B1405,""price"")"),3.76)</f>
        <v>3.76</v>
      </c>
      <c r="I1405" s="17">
        <f>IFERROR(__xludf.DUMMYFUNCTION("AVERAGE(QUERY(SORT(GOOGLEFINANCE(B1405,""price"",TODAY()-365,TODAY()),1,0),""select Col2 limit 10""))"),3.7600000000000002)</f>
        <v>3.76</v>
      </c>
      <c r="J1405" s="17">
        <f>IFERROR(__xludf.DUMMYFUNCTION("AVERAGE(QUERY(SORT(GOOGLEFINANCE(B1405,""price"",TODAY()-365,TODAY()),1,0),""select Col2 limit 30""))"),3.784)</f>
        <v>3.784</v>
      </c>
      <c r="K1405" s="18">
        <f>IFERROR(__xludf.DUMMYFUNCTION("AVERAGE(QUERY(SORT(GOOGLEFINANCE(B1405,""price"",TODAY()-365,TODAY()),1,0),""select Col2 limit 60""))"),3.8545)</f>
        <v>3.8545</v>
      </c>
      <c r="L1405" s="17">
        <f>IFERROR(__xludf.DUMMYFUNCTION("AVERAGE(QUERY(SORT(GOOGLEFINANCE(B1405,""price"",TODAY()-365,TODAY()),1,0),""select Col2 limit 90""))"),3.815888888888887)</f>
        <v>3.815888889</v>
      </c>
      <c r="M1405" s="17">
        <f>IFERROR(__xludf.DUMMYFUNCTION("AVERAGE(QUERY(SORT(GOOGLEFINANCE(B1405,""price"",TODAY()-365,TODAY()),1,0),""select Col2 limit 120""))"),3.8189999999999986)</f>
        <v>3.819</v>
      </c>
      <c r="N1405" s="19">
        <f>IFERROR(__xludf.DUMMYFUNCTION("AVERAGE(QUERY(SORT(GOOGLEFINANCE(B1405,""price"",TODAY()-365,TODAY()),1,0),""select Col2 limit 200""))"),4.364649999999999)</f>
        <v>4.36465</v>
      </c>
      <c r="O1405" s="20" t="str">
        <f t="shared" si="2"/>
        <v>Avoid</v>
      </c>
      <c r="P1405" s="21" t="str">
        <f t="shared" si="3"/>
        <v>30 DMA</v>
      </c>
      <c r="Q1405" s="21" t="str">
        <f t="shared" si="4"/>
        <v/>
      </c>
      <c r="R1405" s="22">
        <f>IFERROR(__xludf.DUMMYFUNCTION("GOOGLEFINANCE(B1405, ""pe"")
"),16.1)</f>
        <v>16.1</v>
      </c>
    </row>
    <row r="1406">
      <c r="A1406" s="9" t="s">
        <v>1416</v>
      </c>
      <c r="B1406" s="11" t="str">
        <f t="shared" si="1"/>
        <v>NSE:MOLDTECH</v>
      </c>
      <c r="C1406" s="12">
        <f>IFERROR(__xludf.DUMMYFUNCTION("GOOGLEFINANCE(B1406,""marketcap"")/10000000"),431.4141447)</f>
        <v>431.4141447</v>
      </c>
      <c r="D1406" s="13">
        <f>IFERROR(__xludf.DUMMYFUNCTION("GOOGLEFINANCE(B1406,""price"")"),150.15)</f>
        <v>150.15</v>
      </c>
      <c r="E1406" s="14">
        <f>IFERROR(__xludf.DUMMYFUNCTION("GOOGLEFINANCE(B1406,""Volume"")"),32827.0)</f>
        <v>32827</v>
      </c>
      <c r="F1406" s="14">
        <f t="array" ref="F1406">F1405</f>
        <v>14</v>
      </c>
      <c r="G1406" s="15" t="str">
        <f>IFERROR(__xludf.DUMMYFUNCTION("IF(E1406&gt;AVERAGE(INDEX(GOOGLEFINANCE(B1406,""volume"",WORKDAY(TODAY(),-$F$1),TODAY()),,2)),""Breakout"","""")"),"")</f>
        <v/>
      </c>
      <c r="H1406" s="16">
        <f>IFERROR(__xludf.DUMMYFUNCTION("GOOGLEFINANCE(B1406,""price"")"),150.15)</f>
        <v>150.15</v>
      </c>
      <c r="I1406" s="17">
        <f>IFERROR(__xludf.DUMMYFUNCTION("AVERAGE(QUERY(SORT(GOOGLEFINANCE(B1406,""price"",TODAY()-365,TODAY()),1,0),""select Col2 limit 10""))"),156.628)</f>
        <v>156.628</v>
      </c>
      <c r="J1406" s="17">
        <f>IFERROR(__xludf.DUMMYFUNCTION("AVERAGE(QUERY(SORT(GOOGLEFINANCE(B1406,""price"",TODAY()-365,TODAY()),1,0),""select Col2 limit 30""))"),157.97733333333332)</f>
        <v>157.9773333</v>
      </c>
      <c r="K1406" s="18">
        <f>IFERROR(__xludf.DUMMYFUNCTION("AVERAGE(QUERY(SORT(GOOGLEFINANCE(B1406,""price"",TODAY()-365,TODAY()),1,0),""select Col2 limit 60""))"),151.18383333333333)</f>
        <v>151.1838333</v>
      </c>
      <c r="L1406" s="17">
        <f>IFERROR(__xludf.DUMMYFUNCTION("AVERAGE(QUERY(SORT(GOOGLEFINANCE(B1406,""price"",TODAY()-365,TODAY()),1,0),""select Col2 limit 90""))"),148.53599999999994)</f>
        <v>148.536</v>
      </c>
      <c r="M1406" s="17">
        <f>IFERROR(__xludf.DUMMYFUNCTION("AVERAGE(QUERY(SORT(GOOGLEFINANCE(B1406,""price"",TODAY()-365,TODAY()),1,0),""select Col2 limit 120""))"),146.54424999999995)</f>
        <v>146.54425</v>
      </c>
      <c r="N1406" s="19">
        <f>IFERROR(__xludf.DUMMYFUNCTION("AVERAGE(QUERY(SORT(GOOGLEFINANCE(B1406,""price"",TODAY()-365,TODAY()),1,0),""select Col2 limit 200""))"),171.14)</f>
        <v>171.14</v>
      </c>
      <c r="O1406" s="20" t="str">
        <f t="shared" si="2"/>
        <v>Avoid</v>
      </c>
      <c r="P1406" s="21" t="str">
        <f t="shared" si="3"/>
        <v>60 DMA</v>
      </c>
      <c r="Q1406" s="21" t="str">
        <f t="shared" si="4"/>
        <v/>
      </c>
      <c r="R1406" s="22">
        <f>IFERROR(__xludf.DUMMYFUNCTION("GOOGLEFINANCE(B1406, ""pe"")
"),35.49)</f>
        <v>35.49</v>
      </c>
    </row>
    <row r="1407">
      <c r="A1407" s="9" t="s">
        <v>1417</v>
      </c>
      <c r="B1407" s="11" t="str">
        <f t="shared" si="1"/>
        <v>NSE:DMCC</v>
      </c>
      <c r="C1407" s="12">
        <f>IFERROR(__xludf.DUMMYFUNCTION("GOOGLEFINANCE(B1407,""marketcap"")/10000000"),769.7709242)</f>
        <v>769.7709242</v>
      </c>
      <c r="D1407" s="13">
        <f>IFERROR(__xludf.DUMMYFUNCTION("GOOGLEFINANCE(B1407,""price"")"),307.85)</f>
        <v>307.85</v>
      </c>
      <c r="E1407" s="14">
        <f>IFERROR(__xludf.DUMMYFUNCTION("GOOGLEFINANCE(B1407,""Volume"")"),41640.0)</f>
        <v>41640</v>
      </c>
      <c r="F1407" s="14">
        <f t="array" ref="F1407">F1406</f>
        <v>14</v>
      </c>
      <c r="G1407" s="15" t="str">
        <f>IFERROR(__xludf.DUMMYFUNCTION("IF(E1407&gt;AVERAGE(INDEX(GOOGLEFINANCE(B1407,""volume"",WORKDAY(TODAY(),-$F$1),TODAY()),,2)),""Breakout"","""")"),"")</f>
        <v/>
      </c>
      <c r="H1407" s="16">
        <f>IFERROR(__xludf.DUMMYFUNCTION("GOOGLEFINANCE(B1407,""price"")"),307.85)</f>
        <v>307.85</v>
      </c>
      <c r="I1407" s="17">
        <f>IFERROR(__xludf.DUMMYFUNCTION("AVERAGE(QUERY(SORT(GOOGLEFINANCE(B1407,""price"",TODAY()-365,TODAY()),1,0),""select Col2 limit 10""))"),308.79)</f>
        <v>308.79</v>
      </c>
      <c r="J1407" s="17">
        <f>IFERROR(__xludf.DUMMYFUNCTION("AVERAGE(QUERY(SORT(GOOGLEFINANCE(B1407,""price"",TODAY()-365,TODAY()),1,0),""select Col2 limit 30""))"),275.8566666666667)</f>
        <v>275.8566667</v>
      </c>
      <c r="K1407" s="18">
        <f>IFERROR(__xludf.DUMMYFUNCTION("AVERAGE(QUERY(SORT(GOOGLEFINANCE(B1407,""price"",TODAY()-365,TODAY()),1,0),""select Col2 limit 60""))"),272.9391666666666)</f>
        <v>272.9391667</v>
      </c>
      <c r="L1407" s="17">
        <f>IFERROR(__xludf.DUMMYFUNCTION("AVERAGE(QUERY(SORT(GOOGLEFINANCE(B1407,""price"",TODAY()-365,TODAY()),1,0),""select Col2 limit 90""))"),278.3561111111111)</f>
        <v>278.3561111</v>
      </c>
      <c r="M1407" s="17">
        <f>IFERROR(__xludf.DUMMYFUNCTION("AVERAGE(QUERY(SORT(GOOGLEFINANCE(B1407,""price"",TODAY()-365,TODAY()),1,0),""select Col2 limit 120""))"),287.3562499999999)</f>
        <v>287.35625</v>
      </c>
      <c r="N1407" s="19">
        <f>IFERROR(__xludf.DUMMYFUNCTION("AVERAGE(QUERY(SORT(GOOGLEFINANCE(B1407,""price"",TODAY()-365,TODAY()),1,0),""select Col2 limit 200""))"),302.4049999999999)</f>
        <v>302.405</v>
      </c>
      <c r="O1407" s="20" t="str">
        <f t="shared" si="2"/>
        <v>Avoid</v>
      </c>
      <c r="P1407" s="21" t="str">
        <f t="shared" si="3"/>
        <v>10 DMA</v>
      </c>
      <c r="Q1407" s="21" t="str">
        <f t="shared" si="4"/>
        <v/>
      </c>
      <c r="R1407" s="22">
        <f>IFERROR(__xludf.DUMMYFUNCTION("GOOGLEFINANCE(B1407, ""pe"")
"),35.86)</f>
        <v>35.86</v>
      </c>
    </row>
    <row r="1408">
      <c r="A1408" s="9" t="s">
        <v>1418</v>
      </c>
      <c r="B1408" s="11" t="str">
        <f t="shared" si="1"/>
        <v>NSE:MAANALU</v>
      </c>
      <c r="C1408" s="12">
        <f>IFERROR(__xludf.DUMMYFUNCTION("GOOGLEFINANCE(B1408,""marketcap"")/10000000"),662.190915)</f>
        <v>662.190915</v>
      </c>
      <c r="D1408" s="13">
        <f>IFERROR(__xludf.DUMMYFUNCTION("GOOGLEFINANCE(B1408,""price"")"),120.35)</f>
        <v>120.35</v>
      </c>
      <c r="E1408" s="14">
        <f>IFERROR(__xludf.DUMMYFUNCTION("GOOGLEFINANCE(B1408,""Volume"")"),7670.0)</f>
        <v>7670</v>
      </c>
      <c r="F1408" s="14">
        <f t="array" ref="F1408">F1407</f>
        <v>14</v>
      </c>
      <c r="G1408" s="15" t="str">
        <f>IFERROR(__xludf.DUMMYFUNCTION("IF(E1408&gt;AVERAGE(INDEX(GOOGLEFINANCE(B1408,""volume"",WORKDAY(TODAY(),-$F$1),TODAY()),,2)),""Breakout"","""")"),"")</f>
        <v/>
      </c>
      <c r="H1408" s="16">
        <f>IFERROR(__xludf.DUMMYFUNCTION("GOOGLEFINANCE(B1408,""price"")"),120.35)</f>
        <v>120.35</v>
      </c>
      <c r="I1408" s="17">
        <f>IFERROR(__xludf.DUMMYFUNCTION("AVERAGE(QUERY(SORT(GOOGLEFINANCE(B1408,""price"",TODAY()-365,TODAY()),1,0),""select Col2 limit 10""))"),120.215)</f>
        <v>120.215</v>
      </c>
      <c r="J1408" s="17">
        <f>IFERROR(__xludf.DUMMYFUNCTION("AVERAGE(QUERY(SORT(GOOGLEFINANCE(B1408,""price"",TODAY()-365,TODAY()),1,0),""select Col2 limit 30""))"),122.094)</f>
        <v>122.094</v>
      </c>
      <c r="K1408" s="18">
        <f>IFERROR(__xludf.DUMMYFUNCTION("AVERAGE(QUERY(SORT(GOOGLEFINANCE(B1408,""price"",TODAY()-365,TODAY()),1,0),""select Col2 limit 60""))"),108.20933333333332)</f>
        <v>108.2093333</v>
      </c>
      <c r="L1408" s="17">
        <f>IFERROR(__xludf.DUMMYFUNCTION("AVERAGE(QUERY(SORT(GOOGLEFINANCE(B1408,""price"",TODAY()-365,TODAY()),1,0),""select Col2 limit 90""))"),101.15155555555555)</f>
        <v>101.1515556</v>
      </c>
      <c r="M1408" s="17">
        <f>IFERROR(__xludf.DUMMYFUNCTION("AVERAGE(QUERY(SORT(GOOGLEFINANCE(B1408,""price"",TODAY()-365,TODAY()),1,0),""select Col2 limit 120""))"),103.09891666666668)</f>
        <v>103.0989167</v>
      </c>
      <c r="N1408" s="19">
        <f>IFERROR(__xludf.DUMMYFUNCTION("AVERAGE(QUERY(SORT(GOOGLEFINANCE(B1408,""price"",TODAY()-365,TODAY()),1,0),""select Col2 limit 200""))"),126.4609)</f>
        <v>126.4609</v>
      </c>
      <c r="O1408" s="20" t="str">
        <f t="shared" si="2"/>
        <v>Avoid</v>
      </c>
      <c r="P1408" s="21" t="str">
        <f t="shared" si="3"/>
        <v/>
      </c>
      <c r="Q1408" s="21" t="str">
        <f t="shared" si="4"/>
        <v/>
      </c>
      <c r="R1408" s="22">
        <f>IFERROR(__xludf.DUMMYFUNCTION("GOOGLEFINANCE(B1408, ""pe"")
"),41.93)</f>
        <v>41.93</v>
      </c>
    </row>
    <row r="1409">
      <c r="A1409" s="9" t="s">
        <v>1419</v>
      </c>
      <c r="B1409" s="11" t="str">
        <f t="shared" si="1"/>
        <v>NSE:VINYLINDIA</v>
      </c>
      <c r="C1409" s="12">
        <f>IFERROR(__xludf.DUMMYFUNCTION("GOOGLEFINANCE(B1409,""marketcap"")/10000000"),553.5973397)</f>
        <v>553.5973397</v>
      </c>
      <c r="D1409" s="13">
        <f>IFERROR(__xludf.DUMMYFUNCTION("GOOGLEFINANCE(B1409,""price"")"),301.9)</f>
        <v>301.9</v>
      </c>
      <c r="E1409" s="14">
        <f>IFERROR(__xludf.DUMMYFUNCTION("GOOGLEFINANCE(B1409,""Volume"")"),2933.0)</f>
        <v>2933</v>
      </c>
      <c r="F1409" s="14">
        <f t="array" ref="F1409">F1408</f>
        <v>14</v>
      </c>
      <c r="G1409" s="15" t="str">
        <f>IFERROR(__xludf.DUMMYFUNCTION("IF(E1409&gt;AVERAGE(INDEX(GOOGLEFINANCE(B1409,""volume"",WORKDAY(TODAY(),-$F$1),TODAY()),,2)),""Breakout"","""")"),"")</f>
        <v/>
      </c>
      <c r="H1409" s="16">
        <f>IFERROR(__xludf.DUMMYFUNCTION("GOOGLEFINANCE(B1409,""price"")"),301.9)</f>
        <v>301.9</v>
      </c>
      <c r="I1409" s="17">
        <f>IFERROR(__xludf.DUMMYFUNCTION("AVERAGE(QUERY(SORT(GOOGLEFINANCE(B1409,""price"",TODAY()-365,TODAY()),1,0),""select Col2 limit 10""))"),311.79999999999995)</f>
        <v>311.8</v>
      </c>
      <c r="J1409" s="17">
        <f>IFERROR(__xludf.DUMMYFUNCTION("AVERAGE(QUERY(SORT(GOOGLEFINANCE(B1409,""price"",TODAY()-365,TODAY()),1,0),""select Col2 limit 30""))"),313.77000000000004)</f>
        <v>313.77</v>
      </c>
      <c r="K1409" s="18">
        <f>IFERROR(__xludf.DUMMYFUNCTION("AVERAGE(QUERY(SORT(GOOGLEFINANCE(B1409,""price"",TODAY()-365,TODAY()),1,0),""select Col2 limit 60""))"),310.6650000000001)</f>
        <v>310.665</v>
      </c>
      <c r="L1409" s="17">
        <f>IFERROR(__xludf.DUMMYFUNCTION("AVERAGE(QUERY(SORT(GOOGLEFINANCE(B1409,""price"",TODAY()-365,TODAY()),1,0),""select Col2 limit 90""))"),299.03788888888903)</f>
        <v>299.0378889</v>
      </c>
      <c r="M1409" s="17">
        <f>IFERROR(__xludf.DUMMYFUNCTION("AVERAGE(QUERY(SORT(GOOGLEFINANCE(B1409,""price"",TODAY()-365,TODAY()),1,0),""select Col2 limit 120""))"),287.9606666666667)</f>
        <v>287.9606667</v>
      </c>
      <c r="N1409" s="19">
        <f>IFERROR(__xludf.DUMMYFUNCTION("AVERAGE(QUERY(SORT(GOOGLEFINANCE(B1409,""price"",TODAY()-365,TODAY()),1,0),""select Col2 limit 200""))"),313.06915)</f>
        <v>313.06915</v>
      </c>
      <c r="O1409" s="20" t="str">
        <f t="shared" si="2"/>
        <v>Avoid</v>
      </c>
      <c r="P1409" s="21" t="str">
        <f t="shared" si="3"/>
        <v/>
      </c>
      <c r="Q1409" s="21" t="str">
        <f t="shared" si="4"/>
        <v/>
      </c>
      <c r="R1409" s="22">
        <f>IFERROR(__xludf.DUMMYFUNCTION("GOOGLEFINANCE(B1409, ""pe"")
"),24.79)</f>
        <v>24.79</v>
      </c>
    </row>
    <row r="1410">
      <c r="A1410" s="9" t="s">
        <v>1420</v>
      </c>
      <c r="B1410" s="11" t="str">
        <f t="shared" si="1"/>
        <v>NSE:RITCO</v>
      </c>
      <c r="C1410" s="12">
        <f>IFERROR(__xludf.DUMMYFUNCTION("GOOGLEFINANCE(B1410,""marketcap"")/10000000"),820.7043248)</f>
        <v>820.7043248</v>
      </c>
      <c r="D1410" s="13">
        <f>IFERROR(__xludf.DUMMYFUNCTION("GOOGLEFINANCE(B1410,""price"")"),289.75)</f>
        <v>289.75</v>
      </c>
      <c r="E1410" s="14">
        <f>IFERROR(__xludf.DUMMYFUNCTION("GOOGLEFINANCE(B1410,""Volume"")"),40883.0)</f>
        <v>40883</v>
      </c>
      <c r="F1410" s="14">
        <f t="array" ref="F1410">F1409</f>
        <v>14</v>
      </c>
      <c r="G1410" s="15" t="str">
        <f>IFERROR(__xludf.DUMMYFUNCTION("IF(E1410&gt;AVERAGE(INDEX(GOOGLEFINANCE(B1410,""volume"",WORKDAY(TODAY(),-$F$1),TODAY()),,2)),""Breakout"","""")"),"")</f>
        <v/>
      </c>
      <c r="H1410" s="16">
        <f>IFERROR(__xludf.DUMMYFUNCTION("GOOGLEFINANCE(B1410,""price"")"),289.75)</f>
        <v>289.75</v>
      </c>
      <c r="I1410" s="17">
        <f>IFERROR(__xludf.DUMMYFUNCTION("AVERAGE(QUERY(SORT(GOOGLEFINANCE(B1410,""price"",TODAY()-365,TODAY()),1,0),""select Col2 limit 10""))"),305.27500000000003)</f>
        <v>305.275</v>
      </c>
      <c r="J1410" s="17">
        <f>IFERROR(__xludf.DUMMYFUNCTION("AVERAGE(QUERY(SORT(GOOGLEFINANCE(B1410,""price"",TODAY()-365,TODAY()),1,0),""select Col2 limit 30""))"),291.4316666666667)</f>
        <v>291.4316667</v>
      </c>
      <c r="K1410" s="18">
        <f>IFERROR(__xludf.DUMMYFUNCTION("AVERAGE(QUERY(SORT(GOOGLEFINANCE(B1410,""price"",TODAY()-365,TODAY()),1,0),""select Col2 limit 60""))"),283.85083333333336)</f>
        <v>283.8508333</v>
      </c>
      <c r="L1410" s="17">
        <f>IFERROR(__xludf.DUMMYFUNCTION("AVERAGE(QUERY(SORT(GOOGLEFINANCE(B1410,""price"",TODAY()-365,TODAY()),1,0),""select Col2 limit 90""))"),279.1699999999999)</f>
        <v>279.17</v>
      </c>
      <c r="M1410" s="17">
        <f>IFERROR(__xludf.DUMMYFUNCTION("AVERAGE(QUERY(SORT(GOOGLEFINANCE(B1410,""price"",TODAY()-365,TODAY()),1,0),""select Col2 limit 120""))"),284.4220833333333)</f>
        <v>284.4220833</v>
      </c>
      <c r="N1410" s="19">
        <f>IFERROR(__xludf.DUMMYFUNCTION("AVERAGE(QUERY(SORT(GOOGLEFINANCE(B1410,""price"",TODAY()-365,TODAY()),1,0),""select Col2 limit 200""))"),323.99550000000016)</f>
        <v>323.9955</v>
      </c>
      <c r="O1410" s="20" t="str">
        <f t="shared" si="2"/>
        <v>Avoid</v>
      </c>
      <c r="P1410" s="21" t="str">
        <f t="shared" si="3"/>
        <v>30 DMA</v>
      </c>
      <c r="Q1410" s="21" t="str">
        <f t="shared" si="4"/>
        <v/>
      </c>
      <c r="R1410" s="22">
        <f>IFERROR(__xludf.DUMMYFUNCTION("GOOGLEFINANCE(B1410, ""pe"")
"),19.32)</f>
        <v>19.32</v>
      </c>
    </row>
    <row r="1411">
      <c r="A1411" s="9" t="s">
        <v>1421</v>
      </c>
      <c r="B1411" s="11" t="str">
        <f t="shared" si="1"/>
        <v>NSE:ALBERTDAVD</v>
      </c>
      <c r="C1411" s="12">
        <f>IFERROR(__xludf.DUMMYFUNCTION("GOOGLEFINANCE(B1411,""marketcap"")/10000000"),510.2202828)</f>
        <v>510.2202828</v>
      </c>
      <c r="D1411" s="13">
        <f>IFERROR(__xludf.DUMMYFUNCTION("GOOGLEFINANCE(B1411,""price"")"),894.0)</f>
        <v>894</v>
      </c>
      <c r="E1411" s="14">
        <f>IFERROR(__xludf.DUMMYFUNCTION("GOOGLEFINANCE(B1411,""Volume"")"),2854.0)</f>
        <v>2854</v>
      </c>
      <c r="F1411" s="14">
        <f t="array" ref="F1411">F1410</f>
        <v>14</v>
      </c>
      <c r="G1411" s="15" t="str">
        <f>IFERROR(__xludf.DUMMYFUNCTION("IF(E1411&gt;AVERAGE(INDEX(GOOGLEFINANCE(B1411,""volume"",WORKDAY(TODAY(),-$F$1),TODAY()),,2)),""Breakout"","""")"),"")</f>
        <v/>
      </c>
      <c r="H1411" s="16">
        <f>IFERROR(__xludf.DUMMYFUNCTION("GOOGLEFINANCE(B1411,""price"")"),894.0)</f>
        <v>894</v>
      </c>
      <c r="I1411" s="17">
        <f>IFERROR(__xludf.DUMMYFUNCTION("AVERAGE(QUERY(SORT(GOOGLEFINANCE(B1411,""price"",TODAY()-365,TODAY()),1,0),""select Col2 limit 10""))"),918.6450000000001)</f>
        <v>918.645</v>
      </c>
      <c r="J1411" s="17">
        <f>IFERROR(__xludf.DUMMYFUNCTION("AVERAGE(QUERY(SORT(GOOGLEFINANCE(B1411,""price"",TODAY()-365,TODAY()),1,0),""select Col2 limit 30""))"),888.6316666666665)</f>
        <v>888.6316667</v>
      </c>
      <c r="K1411" s="18">
        <f>IFERROR(__xludf.DUMMYFUNCTION("AVERAGE(QUERY(SORT(GOOGLEFINANCE(B1411,""price"",TODAY()-365,TODAY()),1,0),""select Col2 limit 60""))"),856.6141666666668)</f>
        <v>856.6141667</v>
      </c>
      <c r="L1411" s="17">
        <f>IFERROR(__xludf.DUMMYFUNCTION("AVERAGE(QUERY(SORT(GOOGLEFINANCE(B1411,""price"",TODAY()-365,TODAY()),1,0),""select Col2 limit 90""))"),850.2905555555557)</f>
        <v>850.2905556</v>
      </c>
      <c r="M1411" s="17">
        <f>IFERROR(__xludf.DUMMYFUNCTION("AVERAGE(QUERY(SORT(GOOGLEFINANCE(B1411,""price"",TODAY()-365,TODAY()),1,0),""select Col2 limit 120""))"),880.6191666666667)</f>
        <v>880.6191667</v>
      </c>
      <c r="N1411" s="19">
        <f>IFERROR(__xludf.DUMMYFUNCTION("AVERAGE(QUERY(SORT(GOOGLEFINANCE(B1411,""price"",TODAY()-365,TODAY()),1,0),""select Col2 limit 200""))"),1064.1085000000003)</f>
        <v>1064.1085</v>
      </c>
      <c r="O1411" s="20" t="str">
        <f t="shared" si="2"/>
        <v>Avoid</v>
      </c>
      <c r="P1411" s="21" t="str">
        <f t="shared" si="3"/>
        <v/>
      </c>
      <c r="Q1411" s="21" t="str">
        <f t="shared" si="4"/>
        <v/>
      </c>
      <c r="R1411" s="22">
        <f>IFERROR(__xludf.DUMMYFUNCTION("GOOGLEFINANCE(B1411, ""pe"")
"),29.66)</f>
        <v>29.66</v>
      </c>
    </row>
    <row r="1412">
      <c r="A1412" s="9" t="s">
        <v>1422</v>
      </c>
      <c r="B1412" s="11" t="str">
        <f t="shared" si="1"/>
        <v>NSE:TCLCONS</v>
      </c>
      <c r="C1412" s="12" t="str">
        <f>IFERROR(__xludf.DUMMYFUNCTION("GOOGLEFINANCE(B1412,""marketcap"")/10000000"),"#N/A")</f>
        <v>#N/A</v>
      </c>
      <c r="D1412" s="13" t="str">
        <f>IFERROR(__xludf.DUMMYFUNCTION("GOOGLEFINANCE(B1412,""price"")"),"#N/A")</f>
        <v>#N/A</v>
      </c>
      <c r="E1412" s="14" t="str">
        <f>IFERROR(__xludf.DUMMYFUNCTION("GOOGLEFINANCE(B1412,""Volume"")"),"#N/A")</f>
        <v>#N/A</v>
      </c>
      <c r="F1412" s="14">
        <f t="array" ref="F1412">F1411</f>
        <v>14</v>
      </c>
      <c r="G1412" s="15" t="str">
        <f>IFERROR(__xludf.DUMMYFUNCTION("IF(E1412&gt;AVERAGE(INDEX(GOOGLEFINANCE(B1412,""volume"",WORKDAY(TODAY(),-$F$1),TODAY()),,2)),""Breakout"","""")"),"#N/A")</f>
        <v>#N/A</v>
      </c>
      <c r="H1412" s="16" t="str">
        <f>IFERROR(__xludf.DUMMYFUNCTION("GOOGLEFINANCE(B1412,""price"")"),"#N/A")</f>
        <v>#N/A</v>
      </c>
      <c r="I1412" s="17" t="str">
        <f>IFERROR(__xludf.DUMMYFUNCTION("AVERAGE(QUERY(SORT(GOOGLEFINANCE(B1412,""price"",TODAY()-365,TODAY()),1,0),""select Col2 limit 10""))"),"#N/A")</f>
        <v>#N/A</v>
      </c>
      <c r="J1412" s="17" t="str">
        <f>IFERROR(__xludf.DUMMYFUNCTION("AVERAGE(QUERY(SORT(GOOGLEFINANCE(B1412,""price"",TODAY()-365,TODAY()),1,0),""select Col2 limit 30""))"),"#N/A")</f>
        <v>#N/A</v>
      </c>
      <c r="K1412" s="18" t="str">
        <f>IFERROR(__xludf.DUMMYFUNCTION("AVERAGE(QUERY(SORT(GOOGLEFINANCE(B1412,""price"",TODAY()-365,TODAY()),1,0),""select Col2 limit 60""))"),"#N/A")</f>
        <v>#N/A</v>
      </c>
      <c r="L1412" s="17" t="str">
        <f>IFERROR(__xludf.DUMMYFUNCTION("AVERAGE(QUERY(SORT(GOOGLEFINANCE(B1412,""price"",TODAY()-365,TODAY()),1,0),""select Col2 limit 90""))"),"#N/A")</f>
        <v>#N/A</v>
      </c>
      <c r="M1412" s="17" t="str">
        <f>IFERROR(__xludf.DUMMYFUNCTION("AVERAGE(QUERY(SORT(GOOGLEFINANCE(B1412,""price"",TODAY()-365,TODAY()),1,0),""select Col2 limit 120""))"),"#N/A")</f>
        <v>#N/A</v>
      </c>
      <c r="N1412" s="19" t="str">
        <f>IFERROR(__xludf.DUMMYFUNCTION("AVERAGE(QUERY(SORT(GOOGLEFINANCE(B1412,""price"",TODAY()-365,TODAY()),1,0),""select Col2 limit 200""))"),"#N/A")</f>
        <v>#N/A</v>
      </c>
      <c r="O1412" s="20" t="str">
        <f t="shared" si="2"/>
        <v>#N/A</v>
      </c>
      <c r="P1412" s="21" t="str">
        <f t="shared" si="3"/>
        <v>#N/A</v>
      </c>
      <c r="Q1412" s="21" t="str">
        <f t="shared" si="4"/>
        <v>#N/A</v>
      </c>
      <c r="R1412" s="22" t="str">
        <f>IFERROR(__xludf.DUMMYFUNCTION("GOOGLEFINANCE(B1412, ""pe"")
"),"#N/A")</f>
        <v>#N/A</v>
      </c>
    </row>
    <row r="1413">
      <c r="A1413" s="9" t="s">
        <v>1423</v>
      </c>
      <c r="B1413" s="11" t="str">
        <f t="shared" si="1"/>
        <v>NSE:SPENCERS</v>
      </c>
      <c r="C1413" s="12">
        <f>IFERROR(__xludf.DUMMYFUNCTION("GOOGLEFINANCE(B1413,""marketcap"")/10000000"),540.6120843)</f>
        <v>540.6120843</v>
      </c>
      <c r="D1413" s="13">
        <f>IFERROR(__xludf.DUMMYFUNCTION("GOOGLEFINANCE(B1413,""price"")"),60.06)</f>
        <v>60.06</v>
      </c>
      <c r="E1413" s="14">
        <f>IFERROR(__xludf.DUMMYFUNCTION("GOOGLEFINANCE(B1413,""Volume"")"),30752.0)</f>
        <v>30752</v>
      </c>
      <c r="F1413" s="14">
        <f t="array" ref="F1413">F1412</f>
        <v>14</v>
      </c>
      <c r="G1413" s="15" t="str">
        <f>IFERROR(__xludf.DUMMYFUNCTION("IF(E1413&gt;AVERAGE(INDEX(GOOGLEFINANCE(B1413,""volume"",WORKDAY(TODAY(),-$F$1),TODAY()),,2)),""Breakout"","""")"),"")</f>
        <v/>
      </c>
      <c r="H1413" s="16">
        <f>IFERROR(__xludf.DUMMYFUNCTION("GOOGLEFINANCE(B1413,""price"")"),60.06)</f>
        <v>60.06</v>
      </c>
      <c r="I1413" s="17">
        <f>IFERROR(__xludf.DUMMYFUNCTION("AVERAGE(QUERY(SORT(GOOGLEFINANCE(B1413,""price"",TODAY()-365,TODAY()),1,0),""select Col2 limit 10""))"),61.19500000000001)</f>
        <v>61.195</v>
      </c>
      <c r="J1413" s="17">
        <f>IFERROR(__xludf.DUMMYFUNCTION("AVERAGE(QUERY(SORT(GOOGLEFINANCE(B1413,""price"",TODAY()-365,TODAY()),1,0),""select Col2 limit 30""))"),62.09933333333335)</f>
        <v>62.09933333</v>
      </c>
      <c r="K1413" s="18">
        <f>IFERROR(__xludf.DUMMYFUNCTION("AVERAGE(QUERY(SORT(GOOGLEFINANCE(B1413,""price"",TODAY()-365,TODAY()),1,0),""select Col2 limit 60""))"),62.85083333333334)</f>
        <v>62.85083333</v>
      </c>
      <c r="L1413" s="17">
        <f>IFERROR(__xludf.DUMMYFUNCTION("AVERAGE(QUERY(SORT(GOOGLEFINANCE(B1413,""price"",TODAY()-365,TODAY()),1,0),""select Col2 limit 90""))"),63.541888888888906)</f>
        <v>63.54188889</v>
      </c>
      <c r="M1413" s="17">
        <f>IFERROR(__xludf.DUMMYFUNCTION("AVERAGE(QUERY(SORT(GOOGLEFINANCE(B1413,""price"",TODAY()-365,TODAY()),1,0),""select Col2 limit 120""))"),65.81508333333333)</f>
        <v>65.81508333</v>
      </c>
      <c r="N1413" s="19">
        <f>IFERROR(__xludf.DUMMYFUNCTION("AVERAGE(QUERY(SORT(GOOGLEFINANCE(B1413,""price"",TODAY()-365,TODAY()),1,0),""select Col2 limit 200""))"),74.9048)</f>
        <v>74.9048</v>
      </c>
      <c r="O1413" s="20" t="str">
        <f t="shared" si="2"/>
        <v>Avoid</v>
      </c>
      <c r="P1413" s="21" t="str">
        <f t="shared" si="3"/>
        <v/>
      </c>
      <c r="Q1413" s="21" t="str">
        <f t="shared" si="4"/>
        <v/>
      </c>
      <c r="R1413" s="22" t="str">
        <f>IFERROR(__xludf.DUMMYFUNCTION("GOOGLEFINANCE(B1413, ""pe"")
"),"#N/A")</f>
        <v>#N/A</v>
      </c>
    </row>
    <row r="1414">
      <c r="A1414" s="9" t="s">
        <v>1424</v>
      </c>
      <c r="B1414" s="11" t="str">
        <f t="shared" si="1"/>
        <v>NSE:SHREEPUSHK</v>
      </c>
      <c r="C1414" s="12">
        <f>IFERROR(__xludf.DUMMYFUNCTION("GOOGLEFINANCE(B1414,""marketcap"")/10000000"),1229.1556166)</f>
        <v>1229.155617</v>
      </c>
      <c r="D1414" s="13">
        <f>IFERROR(__xludf.DUMMYFUNCTION("GOOGLEFINANCE(B1414,""price"")"),379.25)</f>
        <v>379.25</v>
      </c>
      <c r="E1414" s="14">
        <f>IFERROR(__xludf.DUMMYFUNCTION("GOOGLEFINANCE(B1414,""Volume"")"),541917.0)</f>
        <v>541917</v>
      </c>
      <c r="F1414" s="14">
        <f t="array" ref="F1414">F1413</f>
        <v>14</v>
      </c>
      <c r="G1414" s="15" t="str">
        <f>IFERROR(__xludf.DUMMYFUNCTION("IF(E1414&gt;AVERAGE(INDEX(GOOGLEFINANCE(B1414,""volume"",WORKDAY(TODAY(),-$F$1),TODAY()),,2)),""Breakout"","""")"),"Breakout")</f>
        <v>Breakout</v>
      </c>
      <c r="H1414" s="16">
        <f>IFERROR(__xludf.DUMMYFUNCTION("GOOGLEFINANCE(B1414,""price"")"),379.25)</f>
        <v>379.25</v>
      </c>
      <c r="I1414" s="17">
        <f>IFERROR(__xludf.DUMMYFUNCTION("AVERAGE(QUERY(SORT(GOOGLEFINANCE(B1414,""price"",TODAY()-365,TODAY()),1,0),""select Col2 limit 10""))"),364.69)</f>
        <v>364.69</v>
      </c>
      <c r="J1414" s="17">
        <f>IFERROR(__xludf.DUMMYFUNCTION("AVERAGE(QUERY(SORT(GOOGLEFINANCE(B1414,""price"",TODAY()-365,TODAY()),1,0),""select Col2 limit 30""))"),340.67333333333335)</f>
        <v>340.6733333</v>
      </c>
      <c r="K1414" s="18">
        <f>IFERROR(__xludf.DUMMYFUNCTION("AVERAGE(QUERY(SORT(GOOGLEFINANCE(B1414,""price"",TODAY()-365,TODAY()),1,0),""select Col2 limit 60""))"),316.5055000000001)</f>
        <v>316.5055</v>
      </c>
      <c r="L1414" s="17">
        <f>IFERROR(__xludf.DUMMYFUNCTION("AVERAGE(QUERY(SORT(GOOGLEFINANCE(B1414,""price"",TODAY()-365,TODAY()),1,0),""select Col2 limit 90""))"),297.30300000000005)</f>
        <v>297.303</v>
      </c>
      <c r="M1414" s="17">
        <f>IFERROR(__xludf.DUMMYFUNCTION("AVERAGE(QUERY(SORT(GOOGLEFINANCE(B1414,""price"",TODAY()-365,TODAY()),1,0),""select Col2 limit 120""))"),298.85225)</f>
        <v>298.85225</v>
      </c>
      <c r="N1414" s="19">
        <f>IFERROR(__xludf.DUMMYFUNCTION("AVERAGE(QUERY(SORT(GOOGLEFINANCE(B1414,""price"",TODAY()-365,TODAY()),1,0),""select Col2 limit 200""))"),296.70495000000005)</f>
        <v>296.70495</v>
      </c>
      <c r="O1414" s="20" t="str">
        <f t="shared" si="2"/>
        <v>Avoid</v>
      </c>
      <c r="P1414" s="21" t="str">
        <f t="shared" si="3"/>
        <v/>
      </c>
      <c r="Q1414" s="21" t="str">
        <f t="shared" si="4"/>
        <v/>
      </c>
      <c r="R1414" s="22">
        <f>IFERROR(__xludf.DUMMYFUNCTION("GOOGLEFINANCE(B1414, ""pe"")
"),20.85)</f>
        <v>20.85</v>
      </c>
    </row>
    <row r="1415">
      <c r="A1415" s="9" t="s">
        <v>1425</v>
      </c>
      <c r="B1415" s="11" t="str">
        <f t="shared" si="1"/>
        <v>NSE:REMSONSIND</v>
      </c>
      <c r="C1415" s="12">
        <f>IFERROR(__xludf.DUMMYFUNCTION("GOOGLEFINANCE(B1415,""marketcap"")/10000000"),455.8656439)</f>
        <v>455.8656439</v>
      </c>
      <c r="D1415" s="13">
        <f>IFERROR(__xludf.DUMMYFUNCTION("GOOGLEFINANCE(B1415,""price"")"),130.71)</f>
        <v>130.71</v>
      </c>
      <c r="E1415" s="14">
        <f>IFERROR(__xludf.DUMMYFUNCTION("GOOGLEFINANCE(B1415,""Volume"")"),76226.0)</f>
        <v>76226</v>
      </c>
      <c r="F1415" s="14">
        <f t="array" ref="F1415">F1414</f>
        <v>14</v>
      </c>
      <c r="G1415" s="15" t="str">
        <f>IFERROR(__xludf.DUMMYFUNCTION("IF(E1415&gt;AVERAGE(INDEX(GOOGLEFINANCE(B1415,""volume"",WORKDAY(TODAY(),-$F$1),TODAY()),,2)),""Breakout"","""")"),"")</f>
        <v/>
      </c>
      <c r="H1415" s="16">
        <f>IFERROR(__xludf.DUMMYFUNCTION("GOOGLEFINANCE(B1415,""price"")"),130.71)</f>
        <v>130.71</v>
      </c>
      <c r="I1415" s="17">
        <f>IFERROR(__xludf.DUMMYFUNCTION("AVERAGE(QUERY(SORT(GOOGLEFINANCE(B1415,""price"",TODAY()-365,TODAY()),1,0),""select Col2 limit 10""))"),133.618)</f>
        <v>133.618</v>
      </c>
      <c r="J1415" s="17">
        <f>IFERROR(__xludf.DUMMYFUNCTION("AVERAGE(QUERY(SORT(GOOGLEFINANCE(B1415,""price"",TODAY()-365,TODAY()),1,0),""select Col2 limit 30""))"),135.27866666666668)</f>
        <v>135.2786667</v>
      </c>
      <c r="K1415" s="18">
        <f>IFERROR(__xludf.DUMMYFUNCTION("AVERAGE(QUERY(SORT(GOOGLEFINANCE(B1415,""price"",TODAY()-365,TODAY()),1,0),""select Col2 limit 60""))"),135.57183333333333)</f>
        <v>135.5718333</v>
      </c>
      <c r="L1415" s="17">
        <f>IFERROR(__xludf.DUMMYFUNCTION("AVERAGE(QUERY(SORT(GOOGLEFINANCE(B1415,""price"",TODAY()-365,TODAY()),1,0),""select Col2 limit 90""))"),130.4001111111111)</f>
        <v>130.4001111</v>
      </c>
      <c r="M1415" s="17">
        <f>IFERROR(__xludf.DUMMYFUNCTION("AVERAGE(QUERY(SORT(GOOGLEFINANCE(B1415,""price"",TODAY()-365,TODAY()),1,0),""select Col2 limit 120""))"),128.01683333333332)</f>
        <v>128.0168333</v>
      </c>
      <c r="N1415" s="19">
        <f>IFERROR(__xludf.DUMMYFUNCTION("AVERAGE(QUERY(SORT(GOOGLEFINANCE(B1415,""price"",TODAY()-365,TODAY()),1,0),""select Col2 limit 200""))"),142.23454999999996)</f>
        <v>142.23455</v>
      </c>
      <c r="O1415" s="20" t="str">
        <f t="shared" si="2"/>
        <v>Avoid</v>
      </c>
      <c r="P1415" s="21" t="str">
        <f t="shared" si="3"/>
        <v/>
      </c>
      <c r="Q1415" s="21" t="str">
        <f t="shared" si="4"/>
        <v/>
      </c>
      <c r="R1415" s="22">
        <f>IFERROR(__xludf.DUMMYFUNCTION("GOOGLEFINANCE(B1415, ""pe"")
"),31.73)</f>
        <v>31.73</v>
      </c>
    </row>
    <row r="1416">
      <c r="A1416" s="9" t="s">
        <v>1426</v>
      </c>
      <c r="B1416" s="11" t="str">
        <f t="shared" si="1"/>
        <v>NSE:LIBERTSHOE</v>
      </c>
      <c r="C1416" s="12">
        <f>IFERROR(__xludf.DUMMYFUNCTION("GOOGLEFINANCE(B1416,""marketcap"")/10000000"),628.0944104)</f>
        <v>628.0944104</v>
      </c>
      <c r="D1416" s="13">
        <f>IFERROR(__xludf.DUMMYFUNCTION("GOOGLEFINANCE(B1416,""price"")"),370.0)</f>
        <v>370</v>
      </c>
      <c r="E1416" s="14">
        <f>IFERROR(__xludf.DUMMYFUNCTION("GOOGLEFINANCE(B1416,""Volume"")"),6781.0)</f>
        <v>6781</v>
      </c>
      <c r="F1416" s="14">
        <f t="array" ref="F1416">F1415</f>
        <v>14</v>
      </c>
      <c r="G1416" s="15" t="str">
        <f>IFERROR(__xludf.DUMMYFUNCTION("IF(E1416&gt;AVERAGE(INDEX(GOOGLEFINANCE(B1416,""volume"",WORKDAY(TODAY(),-$F$1),TODAY()),,2)),""Breakout"","""")"),"")</f>
        <v/>
      </c>
      <c r="H1416" s="16">
        <f>IFERROR(__xludf.DUMMYFUNCTION("GOOGLEFINANCE(B1416,""price"")"),370.0)</f>
        <v>370</v>
      </c>
      <c r="I1416" s="17">
        <f>IFERROR(__xludf.DUMMYFUNCTION("AVERAGE(QUERY(SORT(GOOGLEFINANCE(B1416,""price"",TODAY()-365,TODAY()),1,0),""select Col2 limit 10""))"),377.68500000000006)</f>
        <v>377.685</v>
      </c>
      <c r="J1416" s="17">
        <f>IFERROR(__xludf.DUMMYFUNCTION("AVERAGE(QUERY(SORT(GOOGLEFINANCE(B1416,""price"",TODAY()-365,TODAY()),1,0),""select Col2 limit 30""))"),394.4933333333334)</f>
        <v>394.4933333</v>
      </c>
      <c r="K1416" s="18">
        <f>IFERROR(__xludf.DUMMYFUNCTION("AVERAGE(QUERY(SORT(GOOGLEFINANCE(B1416,""price"",TODAY()-365,TODAY()),1,0),""select Col2 limit 60""))"),411.0683333333333)</f>
        <v>411.0683333</v>
      </c>
      <c r="L1416" s="17">
        <f>IFERROR(__xludf.DUMMYFUNCTION("AVERAGE(QUERY(SORT(GOOGLEFINANCE(B1416,""price"",TODAY()-365,TODAY()),1,0),""select Col2 limit 90""))"),390.325)</f>
        <v>390.325</v>
      </c>
      <c r="M1416" s="17">
        <f>IFERROR(__xludf.DUMMYFUNCTION("AVERAGE(QUERY(SORT(GOOGLEFINANCE(B1416,""price"",TODAY()-365,TODAY()),1,0),""select Col2 limit 120""))"),382.98375000000004)</f>
        <v>382.98375</v>
      </c>
      <c r="N1416" s="19">
        <f>IFERROR(__xludf.DUMMYFUNCTION("AVERAGE(QUERY(SORT(GOOGLEFINANCE(B1416,""price"",TODAY()-365,TODAY()),1,0),""select Col2 limit 200""))"),426.3937500000001)</f>
        <v>426.39375</v>
      </c>
      <c r="O1416" s="20" t="str">
        <f t="shared" si="2"/>
        <v>Avoid</v>
      </c>
      <c r="P1416" s="21" t="str">
        <f t="shared" si="3"/>
        <v/>
      </c>
      <c r="Q1416" s="21" t="str">
        <f t="shared" si="4"/>
        <v/>
      </c>
      <c r="R1416" s="22">
        <f>IFERROR(__xludf.DUMMYFUNCTION("GOOGLEFINANCE(B1416, ""pe"")
"),46.54)</f>
        <v>46.54</v>
      </c>
    </row>
    <row r="1417">
      <c r="A1417" s="9" t="s">
        <v>1427</v>
      </c>
      <c r="B1417" s="11" t="str">
        <f t="shared" si="1"/>
        <v>NSE:DPWIRES</v>
      </c>
      <c r="C1417" s="12">
        <f>IFERROR(__xludf.DUMMYFUNCTION("GOOGLEFINANCE(B1417,""marketcap"")/10000000"),344.7762755)</f>
        <v>344.7762755</v>
      </c>
      <c r="D1417" s="13">
        <f>IFERROR(__xludf.DUMMYFUNCTION("GOOGLEFINANCE(B1417,""price"")"),222.43)</f>
        <v>222.43</v>
      </c>
      <c r="E1417" s="14">
        <f>IFERROR(__xludf.DUMMYFUNCTION("GOOGLEFINANCE(B1417,""Volume"")"),2953.0)</f>
        <v>2953</v>
      </c>
      <c r="F1417" s="14">
        <f t="array" ref="F1417">F1416</f>
        <v>14</v>
      </c>
      <c r="G1417" s="15" t="str">
        <f>IFERROR(__xludf.DUMMYFUNCTION("IF(E1417&gt;AVERAGE(INDEX(GOOGLEFINANCE(B1417,""volume"",WORKDAY(TODAY(),-$F$1),TODAY()),,2)),""Breakout"","""")"),"")</f>
        <v/>
      </c>
      <c r="H1417" s="16">
        <f>IFERROR(__xludf.DUMMYFUNCTION("GOOGLEFINANCE(B1417,""price"")"),222.43)</f>
        <v>222.43</v>
      </c>
      <c r="I1417" s="17">
        <f>IFERROR(__xludf.DUMMYFUNCTION("AVERAGE(QUERY(SORT(GOOGLEFINANCE(B1417,""price"",TODAY()-365,TODAY()),1,0),""select Col2 limit 10""))"),227.571)</f>
        <v>227.571</v>
      </c>
      <c r="J1417" s="17">
        <f>IFERROR(__xludf.DUMMYFUNCTION("AVERAGE(QUERY(SORT(GOOGLEFINANCE(B1417,""price"",TODAY()-365,TODAY()),1,0),""select Col2 limit 30""))"),230.50366666666665)</f>
        <v>230.5036667</v>
      </c>
      <c r="K1417" s="18">
        <f>IFERROR(__xludf.DUMMYFUNCTION("AVERAGE(QUERY(SORT(GOOGLEFINANCE(B1417,""price"",TODAY()-365,TODAY()),1,0),""select Col2 limit 60""))"),234.1693333333333)</f>
        <v>234.1693333</v>
      </c>
      <c r="L1417" s="17">
        <f>IFERROR(__xludf.DUMMYFUNCTION("AVERAGE(QUERY(SORT(GOOGLEFINANCE(B1417,""price"",TODAY()-365,TODAY()),1,0),""select Col2 limit 90""))"),226.30022222222223)</f>
        <v>226.3002222</v>
      </c>
      <c r="M1417" s="17">
        <f>IFERROR(__xludf.DUMMYFUNCTION("AVERAGE(QUERY(SORT(GOOGLEFINANCE(B1417,""price"",TODAY()-365,TODAY()),1,0),""select Col2 limit 120""))"),234.3891666666667)</f>
        <v>234.3891667</v>
      </c>
      <c r="N1417" s="19">
        <f>IFERROR(__xludf.DUMMYFUNCTION("AVERAGE(QUERY(SORT(GOOGLEFINANCE(B1417,""price"",TODAY()-365,TODAY()),1,0),""select Col2 limit 200""))"),289.3327499999999)</f>
        <v>289.33275</v>
      </c>
      <c r="O1417" s="20" t="str">
        <f t="shared" si="2"/>
        <v>Avoid</v>
      </c>
      <c r="P1417" s="21" t="str">
        <f t="shared" si="3"/>
        <v/>
      </c>
      <c r="Q1417" s="21" t="str">
        <f t="shared" si="4"/>
        <v/>
      </c>
      <c r="R1417" s="22">
        <f>IFERROR(__xludf.DUMMYFUNCTION("GOOGLEFINANCE(B1417, ""pe"")
"),15.52)</f>
        <v>15.52</v>
      </c>
    </row>
    <row r="1418">
      <c r="A1418" s="9" t="s">
        <v>1428</v>
      </c>
      <c r="B1418" s="11" t="str">
        <f t="shared" si="1"/>
        <v>NSE:SREEL</v>
      </c>
      <c r="C1418" s="12">
        <f>IFERROR(__xludf.DUMMYFUNCTION("GOOGLEFINANCE(B1418,""marketcap"")/10000000"),563.5929292)</f>
        <v>563.5929292</v>
      </c>
      <c r="D1418" s="13">
        <f>IFERROR(__xludf.DUMMYFUNCTION("GOOGLEFINANCE(B1418,""price"")"),243.2)</f>
        <v>243.2</v>
      </c>
      <c r="E1418" s="14">
        <f>IFERROR(__xludf.DUMMYFUNCTION("GOOGLEFINANCE(B1418,""Volume"")"),1796.0)</f>
        <v>1796</v>
      </c>
      <c r="F1418" s="14">
        <f t="array" ref="F1418">F1417</f>
        <v>14</v>
      </c>
      <c r="G1418" s="15" t="str">
        <f>IFERROR(__xludf.DUMMYFUNCTION("IF(E1418&gt;AVERAGE(INDEX(GOOGLEFINANCE(B1418,""volume"",WORKDAY(TODAY(),-$F$1),TODAY()),,2)),""Breakout"","""")"),"")</f>
        <v/>
      </c>
      <c r="H1418" s="16">
        <f>IFERROR(__xludf.DUMMYFUNCTION("GOOGLEFINANCE(B1418,""price"")"),243.2)</f>
        <v>243.2</v>
      </c>
      <c r="I1418" s="17">
        <f>IFERROR(__xludf.DUMMYFUNCTION("AVERAGE(QUERY(SORT(GOOGLEFINANCE(B1418,""price"",TODAY()-365,TODAY()),1,0),""select Col2 limit 10""))"),246.08499999999998)</f>
        <v>246.085</v>
      </c>
      <c r="J1418" s="17">
        <f>IFERROR(__xludf.DUMMYFUNCTION("AVERAGE(QUERY(SORT(GOOGLEFINANCE(B1418,""price"",TODAY()-365,TODAY()),1,0),""select Col2 limit 30""))"),247.03899999999996)</f>
        <v>247.039</v>
      </c>
      <c r="K1418" s="18">
        <f>IFERROR(__xludf.DUMMYFUNCTION("AVERAGE(QUERY(SORT(GOOGLEFINANCE(B1418,""price"",TODAY()-365,TODAY()),1,0),""select Col2 limit 60""))"),245.45316666666662)</f>
        <v>245.4531667</v>
      </c>
      <c r="L1418" s="17">
        <f>IFERROR(__xludf.DUMMYFUNCTION("AVERAGE(QUERY(SORT(GOOGLEFINANCE(B1418,""price"",TODAY()-365,TODAY()),1,0),""select Col2 limit 90""))"),241.30899999999994)</f>
        <v>241.309</v>
      </c>
      <c r="M1418" s="17">
        <f>IFERROR(__xludf.DUMMYFUNCTION("AVERAGE(QUERY(SORT(GOOGLEFINANCE(B1418,""price"",TODAY()-365,TODAY()),1,0),""select Col2 limit 120""))"),240.25049999999985)</f>
        <v>240.2505</v>
      </c>
      <c r="N1418" s="19">
        <f>IFERROR(__xludf.DUMMYFUNCTION("AVERAGE(QUERY(SORT(GOOGLEFINANCE(B1418,""price"",TODAY()-365,TODAY()),1,0),""select Col2 limit 200""))"),246.48859999999985)</f>
        <v>246.4886</v>
      </c>
      <c r="O1418" s="20" t="str">
        <f t="shared" si="2"/>
        <v>Avoid</v>
      </c>
      <c r="P1418" s="21" t="str">
        <f t="shared" si="3"/>
        <v>60 DMA</v>
      </c>
      <c r="Q1418" s="21" t="str">
        <f t="shared" si="4"/>
        <v/>
      </c>
      <c r="R1418" s="22">
        <f>IFERROR(__xludf.DUMMYFUNCTION("GOOGLEFINANCE(B1418, ""pe"")
"),24.96)</f>
        <v>24.96</v>
      </c>
    </row>
    <row r="1419">
      <c r="A1419" s="9" t="s">
        <v>1429</v>
      </c>
      <c r="B1419" s="11" t="str">
        <f t="shared" si="1"/>
        <v>NSE:SKMEGGPROD</v>
      </c>
      <c r="C1419" s="12">
        <f>IFERROR(__xludf.DUMMYFUNCTION("GOOGLEFINANCE(B1419,""marketcap"")/10000000"),780.3445725)</f>
        <v>780.3445725</v>
      </c>
      <c r="D1419" s="13">
        <f>IFERROR(__xludf.DUMMYFUNCTION("GOOGLEFINANCE(B1419,""price"")"),296.35)</f>
        <v>296.35</v>
      </c>
      <c r="E1419" s="14">
        <f>IFERROR(__xludf.DUMMYFUNCTION("GOOGLEFINANCE(B1419,""Volume"")"),26480.0)</f>
        <v>26480</v>
      </c>
      <c r="F1419" s="14">
        <f t="array" ref="F1419">F1418</f>
        <v>14</v>
      </c>
      <c r="G1419" s="15" t="str">
        <f>IFERROR(__xludf.DUMMYFUNCTION("IF(E1419&gt;AVERAGE(INDEX(GOOGLEFINANCE(B1419,""volume"",WORKDAY(TODAY(),-$F$1),TODAY()),,2)),""Breakout"","""")"),"")</f>
        <v/>
      </c>
      <c r="H1419" s="16">
        <f>IFERROR(__xludf.DUMMYFUNCTION("GOOGLEFINANCE(B1419,""price"")"),296.35)</f>
        <v>296.35</v>
      </c>
      <c r="I1419" s="17">
        <f>IFERROR(__xludf.DUMMYFUNCTION("AVERAGE(QUERY(SORT(GOOGLEFINANCE(B1419,""price"",TODAY()-365,TODAY()),1,0),""select Col2 limit 10""))"),297.88)</f>
        <v>297.88</v>
      </c>
      <c r="J1419" s="17">
        <f>IFERROR(__xludf.DUMMYFUNCTION("AVERAGE(QUERY(SORT(GOOGLEFINANCE(B1419,""price"",TODAY()-365,TODAY()),1,0),""select Col2 limit 30""))"),272.1823333333333)</f>
        <v>272.1823333</v>
      </c>
      <c r="K1419" s="18">
        <f>IFERROR(__xludf.DUMMYFUNCTION("AVERAGE(QUERY(SORT(GOOGLEFINANCE(B1419,""price"",TODAY()-365,TODAY()),1,0),""select Col2 limit 60""))"),241.63149999999993)</f>
        <v>241.6315</v>
      </c>
      <c r="L1419" s="17">
        <f>IFERROR(__xludf.DUMMYFUNCTION("AVERAGE(QUERY(SORT(GOOGLEFINANCE(B1419,""price"",TODAY()-365,TODAY()),1,0),""select Col2 limit 90""))"),222.62377777777778)</f>
        <v>222.6237778</v>
      </c>
      <c r="M1419" s="17">
        <f>IFERROR(__xludf.DUMMYFUNCTION("AVERAGE(QUERY(SORT(GOOGLEFINANCE(B1419,""price"",TODAY()-365,TODAY()),1,0),""select Col2 limit 120""))"),214.92716666666675)</f>
        <v>214.9271667</v>
      </c>
      <c r="N1419" s="19">
        <f>IFERROR(__xludf.DUMMYFUNCTION("AVERAGE(QUERY(SORT(GOOGLEFINANCE(B1419,""price"",TODAY()-365,TODAY()),1,0),""select Col2 limit 200""))"),225.11715000000015)</f>
        <v>225.11715</v>
      </c>
      <c r="O1419" s="20" t="str">
        <f t="shared" si="2"/>
        <v>Avoid</v>
      </c>
      <c r="P1419" s="21" t="str">
        <f t="shared" si="3"/>
        <v>10 DMA</v>
      </c>
      <c r="Q1419" s="21" t="str">
        <f t="shared" si="4"/>
        <v/>
      </c>
      <c r="R1419" s="22">
        <f>IFERROR(__xludf.DUMMYFUNCTION("GOOGLEFINANCE(B1419, ""pe"")
"),22.54)</f>
        <v>22.54</v>
      </c>
    </row>
    <row r="1420">
      <c r="A1420" s="9" t="s">
        <v>1430</v>
      </c>
      <c r="B1420" s="11" t="str">
        <f t="shared" si="1"/>
        <v>NSE:BALAJITELE</v>
      </c>
      <c r="C1420" s="12">
        <f>IFERROR(__xludf.DUMMYFUNCTION("GOOGLEFINANCE(B1420,""marketcap"")/10000000"),1070.318865)</f>
        <v>1070.318865</v>
      </c>
      <c r="D1420" s="13">
        <f>IFERROR(__xludf.DUMMYFUNCTION("GOOGLEFINANCE(B1420,""price"")"),89.5)</f>
        <v>89.5</v>
      </c>
      <c r="E1420" s="14">
        <f>IFERROR(__xludf.DUMMYFUNCTION("GOOGLEFINANCE(B1420,""Volume"")"),96866.0)</f>
        <v>96866</v>
      </c>
      <c r="F1420" s="14">
        <f t="array" ref="F1420">F1419</f>
        <v>14</v>
      </c>
      <c r="G1420" s="15" t="str">
        <f>IFERROR(__xludf.DUMMYFUNCTION("IF(E1420&gt;AVERAGE(INDEX(GOOGLEFINANCE(B1420,""volume"",WORKDAY(TODAY(),-$F$1),TODAY()),,2)),""Breakout"","""")"),"Breakout")</f>
        <v>Breakout</v>
      </c>
      <c r="H1420" s="16">
        <f>IFERROR(__xludf.DUMMYFUNCTION("GOOGLEFINANCE(B1420,""price"")"),89.5)</f>
        <v>89.5</v>
      </c>
      <c r="I1420" s="17">
        <f>IFERROR(__xludf.DUMMYFUNCTION("AVERAGE(QUERY(SORT(GOOGLEFINANCE(B1420,""price"",TODAY()-365,TODAY()),1,0),""select Col2 limit 10""))"),96.788)</f>
        <v>96.788</v>
      </c>
      <c r="J1420" s="17">
        <f>IFERROR(__xludf.DUMMYFUNCTION("AVERAGE(QUERY(SORT(GOOGLEFINANCE(B1420,""price"",TODAY()-365,TODAY()),1,0),""select Col2 limit 30""))"),92.15333333333332)</f>
        <v>92.15333333</v>
      </c>
      <c r="K1420" s="18">
        <f>IFERROR(__xludf.DUMMYFUNCTION("AVERAGE(QUERY(SORT(GOOGLEFINANCE(B1420,""price"",TODAY()-365,TODAY()),1,0),""select Col2 limit 60""))"),85.95799999999998)</f>
        <v>85.958</v>
      </c>
      <c r="L1420" s="17">
        <f>IFERROR(__xludf.DUMMYFUNCTION("AVERAGE(QUERY(SORT(GOOGLEFINANCE(B1420,""price"",TODAY()-365,TODAY()),1,0),""select Col2 limit 90""))"),80.16811111111107)</f>
        <v>80.16811111</v>
      </c>
      <c r="M1420" s="17">
        <f>IFERROR(__xludf.DUMMYFUNCTION("AVERAGE(QUERY(SORT(GOOGLEFINANCE(B1420,""price"",TODAY()-365,TODAY()),1,0),""select Col2 limit 120""))"),75.28974999999994)</f>
        <v>75.28975</v>
      </c>
      <c r="N1420" s="19">
        <f>IFERROR(__xludf.DUMMYFUNCTION("AVERAGE(QUERY(SORT(GOOGLEFINANCE(B1420,""price"",TODAY()-365,TODAY()),1,0),""select Col2 limit 200""))"),72.9236)</f>
        <v>72.9236</v>
      </c>
      <c r="O1420" s="20" t="str">
        <f t="shared" si="2"/>
        <v>Avoid</v>
      </c>
      <c r="P1420" s="21" t="str">
        <f t="shared" si="3"/>
        <v/>
      </c>
      <c r="Q1420" s="21" t="str">
        <f t="shared" si="4"/>
        <v/>
      </c>
      <c r="R1420" s="22">
        <f>IFERROR(__xludf.DUMMYFUNCTION("GOOGLEFINANCE(B1420, ""pe"")
"),10.71)</f>
        <v>10.71</v>
      </c>
    </row>
    <row r="1421">
      <c r="A1421" s="9" t="s">
        <v>1431</v>
      </c>
      <c r="B1421" s="11" t="str">
        <f t="shared" si="1"/>
        <v>NSE:KHADIM</v>
      </c>
      <c r="C1421" s="12">
        <f>IFERROR(__xludf.DUMMYFUNCTION("GOOGLEFINANCE(B1421,""marketcap"")/10000000"),501.3621839)</f>
        <v>501.3621839</v>
      </c>
      <c r="D1421" s="13">
        <f>IFERROR(__xludf.DUMMYFUNCTION("GOOGLEFINANCE(B1421,""price"")"),272.8)</f>
        <v>272.8</v>
      </c>
      <c r="E1421" s="14">
        <f>IFERROR(__xludf.DUMMYFUNCTION("GOOGLEFINANCE(B1421,""Volume"")"),17876.0)</f>
        <v>17876</v>
      </c>
      <c r="F1421" s="14">
        <f t="array" ref="F1421">F1420</f>
        <v>14</v>
      </c>
      <c r="G1421" s="15" t="str">
        <f>IFERROR(__xludf.DUMMYFUNCTION("IF(E1421&gt;AVERAGE(INDEX(GOOGLEFINANCE(B1421,""volume"",WORKDAY(TODAY(),-$F$1),TODAY()),,2)),""Breakout"","""")"),"")</f>
        <v/>
      </c>
      <c r="H1421" s="16">
        <f>IFERROR(__xludf.DUMMYFUNCTION("GOOGLEFINANCE(B1421,""price"")"),272.8)</f>
        <v>272.8</v>
      </c>
      <c r="I1421" s="17">
        <f>IFERROR(__xludf.DUMMYFUNCTION("AVERAGE(QUERY(SORT(GOOGLEFINANCE(B1421,""price"",TODAY()-365,TODAY()),1,0),""select Col2 limit 10""))"),288.97999999999996)</f>
        <v>288.98</v>
      </c>
      <c r="J1421" s="17">
        <f>IFERROR(__xludf.DUMMYFUNCTION("AVERAGE(QUERY(SORT(GOOGLEFINANCE(B1421,""price"",TODAY()-365,TODAY()),1,0),""select Col2 limit 30""))"),270.4566666666667)</f>
        <v>270.4566667</v>
      </c>
      <c r="K1421" s="18">
        <f>IFERROR(__xludf.DUMMYFUNCTION("AVERAGE(QUERY(SORT(GOOGLEFINANCE(B1421,""price"",TODAY()-365,TODAY()),1,0),""select Col2 limit 60""))"),279.5858333333333)</f>
        <v>279.5858333</v>
      </c>
      <c r="L1421" s="17">
        <f>IFERROR(__xludf.DUMMYFUNCTION("AVERAGE(QUERY(SORT(GOOGLEFINANCE(B1421,""price"",TODAY()-365,TODAY()),1,0),""select Col2 limit 90""))"),285.7138888888888)</f>
        <v>285.7138889</v>
      </c>
      <c r="M1421" s="17">
        <f>IFERROR(__xludf.DUMMYFUNCTION("AVERAGE(QUERY(SORT(GOOGLEFINANCE(B1421,""price"",TODAY()-365,TODAY()),1,0),""select Col2 limit 120""))"),290.85499999999996)</f>
        <v>290.855</v>
      </c>
      <c r="N1421" s="19">
        <f>IFERROR(__xludf.DUMMYFUNCTION("AVERAGE(QUERY(SORT(GOOGLEFINANCE(B1421,""price"",TODAY()-365,TODAY()),1,0),""select Col2 limit 200""))"),322.4512500000001)</f>
        <v>322.45125</v>
      </c>
      <c r="O1421" s="20" t="str">
        <f t="shared" si="2"/>
        <v>Avoid</v>
      </c>
      <c r="P1421" s="21" t="str">
        <f t="shared" si="3"/>
        <v/>
      </c>
      <c r="Q1421" s="21" t="str">
        <f t="shared" si="4"/>
        <v/>
      </c>
      <c r="R1421" s="22">
        <f>IFERROR(__xludf.DUMMYFUNCTION("GOOGLEFINANCE(B1421, ""pe"")
"),25.96)</f>
        <v>25.96</v>
      </c>
    </row>
    <row r="1422">
      <c r="A1422" s="9" t="s">
        <v>1432</v>
      </c>
      <c r="B1422" s="11" t="str">
        <f t="shared" si="1"/>
        <v>NSE:NAGAFERT</v>
      </c>
      <c r="C1422" s="12">
        <f>IFERROR(__xludf.DUMMYFUNCTION("GOOGLEFINANCE(B1422,""marketcap"")/10000000"),360.6332075)</f>
        <v>360.6332075</v>
      </c>
      <c r="D1422" s="13">
        <f>IFERROR(__xludf.DUMMYFUNCTION("GOOGLEFINANCE(B1422,""price"")"),6.03)</f>
        <v>6.03</v>
      </c>
      <c r="E1422" s="14">
        <f>IFERROR(__xludf.DUMMYFUNCTION("GOOGLEFINANCE(B1422,""Volume"")"),255554.0)</f>
        <v>255554</v>
      </c>
      <c r="F1422" s="14">
        <f t="array" ref="F1422">F1421</f>
        <v>14</v>
      </c>
      <c r="G1422" s="15" t="str">
        <f>IFERROR(__xludf.DUMMYFUNCTION("IF(E1422&gt;AVERAGE(INDEX(GOOGLEFINANCE(B1422,""volume"",WORKDAY(TODAY(),-$F$1),TODAY()),,2)),""Breakout"","""")"),"")</f>
        <v/>
      </c>
      <c r="H1422" s="16">
        <f>IFERROR(__xludf.DUMMYFUNCTION("GOOGLEFINANCE(B1422,""price"")"),6.03)</f>
        <v>6.03</v>
      </c>
      <c r="I1422" s="17">
        <f>IFERROR(__xludf.DUMMYFUNCTION("AVERAGE(QUERY(SORT(GOOGLEFINANCE(B1422,""price"",TODAY()-365,TODAY()),1,0),""select Col2 limit 10""))"),6.212)</f>
        <v>6.212</v>
      </c>
      <c r="J1422" s="17">
        <f>IFERROR(__xludf.DUMMYFUNCTION("AVERAGE(QUERY(SORT(GOOGLEFINANCE(B1422,""price"",TODAY()-365,TODAY()),1,0),""select Col2 limit 30""))"),5.818)</f>
        <v>5.818</v>
      </c>
      <c r="K1422" s="18">
        <f>IFERROR(__xludf.DUMMYFUNCTION("AVERAGE(QUERY(SORT(GOOGLEFINANCE(B1422,""price"",TODAY()-365,TODAY()),1,0),""select Col2 limit 60""))"),5.5363333333333316)</f>
        <v>5.536333333</v>
      </c>
      <c r="L1422" s="17">
        <f>IFERROR(__xludf.DUMMYFUNCTION("AVERAGE(QUERY(SORT(GOOGLEFINANCE(B1422,""price"",TODAY()-365,TODAY()),1,0),""select Col2 limit 90""))"),5.3148888888888886)</f>
        <v>5.314888889</v>
      </c>
      <c r="M1422" s="17">
        <f>IFERROR(__xludf.DUMMYFUNCTION("AVERAGE(QUERY(SORT(GOOGLEFINANCE(B1422,""price"",TODAY()-365,TODAY()),1,0),""select Col2 limit 120""))"),5.82925)</f>
        <v>5.82925</v>
      </c>
      <c r="N1422" s="19">
        <f>IFERROR(__xludf.DUMMYFUNCTION("AVERAGE(QUERY(SORT(GOOGLEFINANCE(B1422,""price"",TODAY()-365,TODAY()),1,0),""select Col2 limit 200""))"),7.442699999999998)</f>
        <v>7.4427</v>
      </c>
      <c r="O1422" s="20" t="str">
        <f t="shared" si="2"/>
        <v>Avoid</v>
      </c>
      <c r="P1422" s="21" t="str">
        <f t="shared" si="3"/>
        <v/>
      </c>
      <c r="Q1422" s="21" t="str">
        <f t="shared" si="4"/>
        <v/>
      </c>
      <c r="R1422" s="22">
        <f>IFERROR(__xludf.DUMMYFUNCTION("GOOGLEFINANCE(B1422, ""pe"")
"),0.15)</f>
        <v>0.15</v>
      </c>
    </row>
    <row r="1423">
      <c r="A1423" s="9" t="s">
        <v>1433</v>
      </c>
      <c r="B1423" s="11" t="str">
        <f t="shared" si="1"/>
        <v>NSE:URAVI</v>
      </c>
      <c r="C1423" s="12" t="str">
        <f>IFERROR(__xludf.DUMMYFUNCTION("GOOGLEFINANCE(B1423,""marketcap"")/10000000"),"#N/A")</f>
        <v>#N/A</v>
      </c>
      <c r="D1423" s="13" t="str">
        <f>IFERROR(__xludf.DUMMYFUNCTION("GOOGLEFINANCE(B1423,""price"")"),"#N/A")</f>
        <v>#N/A</v>
      </c>
      <c r="E1423" s="14" t="str">
        <f>IFERROR(__xludf.DUMMYFUNCTION("GOOGLEFINANCE(B1423,""Volume"")"),"#N/A")</f>
        <v>#N/A</v>
      </c>
      <c r="F1423" s="14">
        <f t="array" ref="F1423">F1422</f>
        <v>14</v>
      </c>
      <c r="G1423" s="15" t="str">
        <f>IFERROR(__xludf.DUMMYFUNCTION("IF(E1423&gt;AVERAGE(INDEX(GOOGLEFINANCE(B1423,""volume"",WORKDAY(TODAY(),-$F$1),TODAY()),,2)),""Breakout"","""")"),"#N/A")</f>
        <v>#N/A</v>
      </c>
      <c r="H1423" s="16" t="str">
        <f>IFERROR(__xludf.DUMMYFUNCTION("GOOGLEFINANCE(B1423,""price"")"),"#N/A")</f>
        <v>#N/A</v>
      </c>
      <c r="I1423" s="17" t="str">
        <f>IFERROR(__xludf.DUMMYFUNCTION("AVERAGE(QUERY(SORT(GOOGLEFINANCE(B1423,""price"",TODAY()-365,TODAY()),1,0),""select Col2 limit 10""))"),"#N/A")</f>
        <v>#N/A</v>
      </c>
      <c r="J1423" s="17" t="str">
        <f>IFERROR(__xludf.DUMMYFUNCTION("AVERAGE(QUERY(SORT(GOOGLEFINANCE(B1423,""price"",TODAY()-365,TODAY()),1,0),""select Col2 limit 30""))"),"#N/A")</f>
        <v>#N/A</v>
      </c>
      <c r="K1423" s="18" t="str">
        <f>IFERROR(__xludf.DUMMYFUNCTION("AVERAGE(QUERY(SORT(GOOGLEFINANCE(B1423,""price"",TODAY()-365,TODAY()),1,0),""select Col2 limit 60""))"),"#N/A")</f>
        <v>#N/A</v>
      </c>
      <c r="L1423" s="17" t="str">
        <f>IFERROR(__xludf.DUMMYFUNCTION("AVERAGE(QUERY(SORT(GOOGLEFINANCE(B1423,""price"",TODAY()-365,TODAY()),1,0),""select Col2 limit 90""))"),"#N/A")</f>
        <v>#N/A</v>
      </c>
      <c r="M1423" s="17" t="str">
        <f>IFERROR(__xludf.DUMMYFUNCTION("AVERAGE(QUERY(SORT(GOOGLEFINANCE(B1423,""price"",TODAY()-365,TODAY()),1,0),""select Col2 limit 120""))"),"#N/A")</f>
        <v>#N/A</v>
      </c>
      <c r="N1423" s="19" t="str">
        <f>IFERROR(__xludf.DUMMYFUNCTION("AVERAGE(QUERY(SORT(GOOGLEFINANCE(B1423,""price"",TODAY()-365,TODAY()),1,0),""select Col2 limit 200""))"),"#N/A")</f>
        <v>#N/A</v>
      </c>
      <c r="O1423" s="20" t="str">
        <f t="shared" si="2"/>
        <v>#N/A</v>
      </c>
      <c r="P1423" s="21" t="str">
        <f t="shared" si="3"/>
        <v>#N/A</v>
      </c>
      <c r="Q1423" s="21" t="str">
        <f t="shared" si="4"/>
        <v>#N/A</v>
      </c>
      <c r="R1423" s="22" t="str">
        <f>IFERROR(__xludf.DUMMYFUNCTION("GOOGLEFINANCE(B1423, ""pe"")
"),"#N/A")</f>
        <v>#N/A</v>
      </c>
    </row>
    <row r="1424">
      <c r="A1424" s="9" t="s">
        <v>1434</v>
      </c>
      <c r="B1424" s="11" t="str">
        <f t="shared" si="1"/>
        <v>NSE:DONEAR</v>
      </c>
      <c r="C1424" s="12">
        <f>IFERROR(__xludf.DUMMYFUNCTION("GOOGLEFINANCE(B1424,""marketcap"")/10000000"),534.559913)</f>
        <v>534.559913</v>
      </c>
      <c r="D1424" s="13">
        <f>IFERROR(__xludf.DUMMYFUNCTION("GOOGLEFINANCE(B1424,""price"")"),102.8)</f>
        <v>102.8</v>
      </c>
      <c r="E1424" s="14">
        <f>IFERROR(__xludf.DUMMYFUNCTION("GOOGLEFINANCE(B1424,""Volume"")"),12584.0)</f>
        <v>12584</v>
      </c>
      <c r="F1424" s="14">
        <f t="array" ref="F1424">F1423</f>
        <v>14</v>
      </c>
      <c r="G1424" s="15" t="str">
        <f>IFERROR(__xludf.DUMMYFUNCTION("IF(E1424&gt;AVERAGE(INDEX(GOOGLEFINANCE(B1424,""volume"",WORKDAY(TODAY(),-$F$1),TODAY()),,2)),""Breakout"","""")"),"")</f>
        <v/>
      </c>
      <c r="H1424" s="16">
        <f>IFERROR(__xludf.DUMMYFUNCTION("GOOGLEFINANCE(B1424,""price"")"),102.8)</f>
        <v>102.8</v>
      </c>
      <c r="I1424" s="17">
        <f>IFERROR(__xludf.DUMMYFUNCTION("AVERAGE(QUERY(SORT(GOOGLEFINANCE(B1424,""price"",TODAY()-365,TODAY()),1,0),""select Col2 limit 10""))"),106.73400000000001)</f>
        <v>106.734</v>
      </c>
      <c r="J1424" s="17">
        <f>IFERROR(__xludf.DUMMYFUNCTION("AVERAGE(QUERY(SORT(GOOGLEFINANCE(B1424,""price"",TODAY()-365,TODAY()),1,0),""select Col2 limit 30""))"),108.134)</f>
        <v>108.134</v>
      </c>
      <c r="K1424" s="18">
        <f>IFERROR(__xludf.DUMMYFUNCTION("AVERAGE(QUERY(SORT(GOOGLEFINANCE(B1424,""price"",TODAY()-365,TODAY()),1,0),""select Col2 limit 60""))"),109.694)</f>
        <v>109.694</v>
      </c>
      <c r="L1424" s="17">
        <f>IFERROR(__xludf.DUMMYFUNCTION("AVERAGE(QUERY(SORT(GOOGLEFINANCE(B1424,""price"",TODAY()-365,TODAY()),1,0),""select Col2 limit 90""))"),109.85033333333337)</f>
        <v>109.8503333</v>
      </c>
      <c r="M1424" s="17">
        <f>IFERROR(__xludf.DUMMYFUNCTION("AVERAGE(QUERY(SORT(GOOGLEFINANCE(B1424,""price"",TODAY()-365,TODAY()),1,0),""select Col2 limit 120""))"),110.4656666666667)</f>
        <v>110.4656667</v>
      </c>
      <c r="N1424" s="19">
        <f>IFERROR(__xludf.DUMMYFUNCTION("AVERAGE(QUERY(SORT(GOOGLEFINANCE(B1424,""price"",TODAY()-365,TODAY()),1,0),""select Col2 limit 200""))"),119.12524999999997)</f>
        <v>119.12525</v>
      </c>
      <c r="O1424" s="20" t="str">
        <f t="shared" si="2"/>
        <v>Avoid</v>
      </c>
      <c r="P1424" s="21" t="str">
        <f t="shared" si="3"/>
        <v/>
      </c>
      <c r="Q1424" s="21" t="str">
        <f t="shared" si="4"/>
        <v/>
      </c>
      <c r="R1424" s="22">
        <f>IFERROR(__xludf.DUMMYFUNCTION("GOOGLEFINANCE(B1424, ""pe"")
"),16.77)</f>
        <v>16.77</v>
      </c>
    </row>
    <row r="1425">
      <c r="A1425" s="9" t="s">
        <v>1435</v>
      </c>
      <c r="B1425" s="11" t="str">
        <f t="shared" si="1"/>
        <v>NSE:NAHARPOLY</v>
      </c>
      <c r="C1425" s="12">
        <f>IFERROR(__xludf.DUMMYFUNCTION("GOOGLEFINANCE(B1425,""marketcap"")/10000000"),772.062572)</f>
        <v>772.062572</v>
      </c>
      <c r="D1425" s="13">
        <f>IFERROR(__xludf.DUMMYFUNCTION("GOOGLEFINANCE(B1425,""price"")"),314.0)</f>
        <v>314</v>
      </c>
      <c r="E1425" s="14">
        <f>IFERROR(__xludf.DUMMYFUNCTION("GOOGLEFINANCE(B1425,""Volume"")"),5275.0)</f>
        <v>5275</v>
      </c>
      <c r="F1425" s="14">
        <f t="array" ref="F1425">F1424</f>
        <v>14</v>
      </c>
      <c r="G1425" s="15" t="str">
        <f>IFERROR(__xludf.DUMMYFUNCTION("IF(E1425&gt;AVERAGE(INDEX(GOOGLEFINANCE(B1425,""volume"",WORKDAY(TODAY(),-$F$1),TODAY()),,2)),""Breakout"","""")"),"")</f>
        <v/>
      </c>
      <c r="H1425" s="16">
        <f>IFERROR(__xludf.DUMMYFUNCTION("GOOGLEFINANCE(B1425,""price"")"),314.0)</f>
        <v>314</v>
      </c>
      <c r="I1425" s="17">
        <f>IFERROR(__xludf.DUMMYFUNCTION("AVERAGE(QUERY(SORT(GOOGLEFINANCE(B1425,""price"",TODAY()-365,TODAY()),1,0),""select Col2 limit 10""))"),342.94500000000005)</f>
        <v>342.945</v>
      </c>
      <c r="J1425" s="17">
        <f>IFERROR(__xludf.DUMMYFUNCTION("AVERAGE(QUERY(SORT(GOOGLEFINANCE(B1425,""price"",TODAY()-365,TODAY()),1,0),""select Col2 limit 30""))"),353.38500000000005)</f>
        <v>353.385</v>
      </c>
      <c r="K1425" s="18">
        <f>IFERROR(__xludf.DUMMYFUNCTION("AVERAGE(QUERY(SORT(GOOGLEFINANCE(B1425,""price"",TODAY()-365,TODAY()),1,0),""select Col2 limit 60""))"),320.1176666666667)</f>
        <v>320.1176667</v>
      </c>
      <c r="L1425" s="17">
        <f>IFERROR(__xludf.DUMMYFUNCTION("AVERAGE(QUERY(SORT(GOOGLEFINANCE(B1425,""price"",TODAY()-365,TODAY()),1,0),""select Col2 limit 90""))"),281.6441111111111)</f>
        <v>281.6441111</v>
      </c>
      <c r="M1425" s="17">
        <f>IFERROR(__xludf.DUMMYFUNCTION("AVERAGE(QUERY(SORT(GOOGLEFINANCE(B1425,""price"",TODAY()-365,TODAY()),1,0),""select Col2 limit 120""))"),262.14208333333323)</f>
        <v>262.1420833</v>
      </c>
      <c r="N1425" s="19">
        <f>IFERROR(__xludf.DUMMYFUNCTION("AVERAGE(QUERY(SORT(GOOGLEFINANCE(B1425,""price"",TODAY()-365,TODAY()),1,0),""select Col2 limit 200""))"),259.9306499999999)</f>
        <v>259.93065</v>
      </c>
      <c r="O1425" s="20" t="str">
        <f t="shared" si="2"/>
        <v>Avoid</v>
      </c>
      <c r="P1425" s="21" t="str">
        <f t="shared" si="3"/>
        <v/>
      </c>
      <c r="Q1425" s="21" t="str">
        <f t="shared" si="4"/>
        <v/>
      </c>
      <c r="R1425" s="22">
        <f>IFERROR(__xludf.DUMMYFUNCTION("GOOGLEFINANCE(B1425, ""pe"")
"),16.29)</f>
        <v>16.29</v>
      </c>
    </row>
    <row r="1426">
      <c r="A1426" s="9" t="s">
        <v>1436</v>
      </c>
      <c r="B1426" s="11" t="str">
        <f t="shared" si="1"/>
        <v>NSE:VIKASECO</v>
      </c>
      <c r="C1426" s="12">
        <f>IFERROR(__xludf.DUMMYFUNCTION("GOOGLEFINANCE(B1426,""marketcap"")/10000000"),412.1084845)</f>
        <v>412.1084845</v>
      </c>
      <c r="D1426" s="13">
        <f>IFERROR(__xludf.DUMMYFUNCTION("GOOGLEFINANCE(B1426,""price"")"),2.32)</f>
        <v>2.32</v>
      </c>
      <c r="E1426" s="14">
        <f>IFERROR(__xludf.DUMMYFUNCTION("GOOGLEFINANCE(B1426,""Volume"")"),1605905.0)</f>
        <v>1605905</v>
      </c>
      <c r="F1426" s="14">
        <f t="array" ref="F1426">F1425</f>
        <v>14</v>
      </c>
      <c r="G1426" s="15" t="str">
        <f>IFERROR(__xludf.DUMMYFUNCTION("IF(E1426&gt;AVERAGE(INDEX(GOOGLEFINANCE(B1426,""volume"",WORKDAY(TODAY(),-$F$1),TODAY()),,2)),""Breakout"","""")"),"")</f>
        <v/>
      </c>
      <c r="H1426" s="16">
        <f>IFERROR(__xludf.DUMMYFUNCTION("GOOGLEFINANCE(B1426,""price"")"),2.32)</f>
        <v>2.32</v>
      </c>
      <c r="I1426" s="17">
        <f>IFERROR(__xludf.DUMMYFUNCTION("AVERAGE(QUERY(SORT(GOOGLEFINANCE(B1426,""price"",TODAY()-365,TODAY()),1,0),""select Col2 limit 10""))"),2.3709999999999996)</f>
        <v>2.371</v>
      </c>
      <c r="J1426" s="17">
        <f>IFERROR(__xludf.DUMMYFUNCTION("AVERAGE(QUERY(SORT(GOOGLEFINANCE(B1426,""price"",TODAY()-365,TODAY()),1,0),""select Col2 limit 30""))"),2.4426666666666668)</f>
        <v>2.442666667</v>
      </c>
      <c r="K1426" s="18">
        <f>IFERROR(__xludf.DUMMYFUNCTION("AVERAGE(QUERY(SORT(GOOGLEFINANCE(B1426,""price"",TODAY()-365,TODAY()),1,0),""select Col2 limit 60""))"),2.406166666666666)</f>
        <v>2.406166667</v>
      </c>
      <c r="L1426" s="17">
        <f>IFERROR(__xludf.DUMMYFUNCTION("AVERAGE(QUERY(SORT(GOOGLEFINANCE(B1426,""price"",TODAY()-365,TODAY()),1,0),""select Col2 limit 90""))"),2.4042222222222214)</f>
        <v>2.404222222</v>
      </c>
      <c r="M1426" s="17">
        <f>IFERROR(__xludf.DUMMYFUNCTION("AVERAGE(QUERY(SORT(GOOGLEFINANCE(B1426,""price"",TODAY()-365,TODAY()),1,0),""select Col2 limit 120""))"),2.456333333333333)</f>
        <v>2.456333333</v>
      </c>
      <c r="N1426" s="19">
        <f>IFERROR(__xludf.DUMMYFUNCTION("AVERAGE(QUERY(SORT(GOOGLEFINANCE(B1426,""price"",TODAY()-365,TODAY()),1,0),""select Col2 limit 200""))"),2.7924499999999997)</f>
        <v>2.79245</v>
      </c>
      <c r="O1426" s="20" t="str">
        <f t="shared" si="2"/>
        <v>Avoid</v>
      </c>
      <c r="P1426" s="21" t="str">
        <f t="shared" si="3"/>
        <v/>
      </c>
      <c r="Q1426" s="21" t="str">
        <f t="shared" si="4"/>
        <v/>
      </c>
      <c r="R1426" s="22">
        <f>IFERROR(__xludf.DUMMYFUNCTION("GOOGLEFINANCE(B1426, ""pe"")
"),23.1)</f>
        <v>23.1</v>
      </c>
    </row>
    <row r="1427">
      <c r="A1427" s="9" t="s">
        <v>1437</v>
      </c>
      <c r="B1427" s="11" t="str">
        <f t="shared" si="1"/>
        <v>NSE:FCSSOFT</v>
      </c>
      <c r="C1427" s="12">
        <f>IFERROR(__xludf.DUMMYFUNCTION("GOOGLEFINANCE(B1427,""marketcap"")/10000000"),437.6455582)</f>
        <v>437.6455582</v>
      </c>
      <c r="D1427" s="13">
        <f>IFERROR(__xludf.DUMMYFUNCTION("GOOGLEFINANCE(B1427,""price"")"),2.57)</f>
        <v>2.57</v>
      </c>
      <c r="E1427" s="14">
        <f>IFERROR(__xludf.DUMMYFUNCTION("GOOGLEFINANCE(B1427,""Volume"")"),2477316.0)</f>
        <v>2477316</v>
      </c>
      <c r="F1427" s="14">
        <f t="array" ref="F1427">F1426</f>
        <v>14</v>
      </c>
      <c r="G1427" s="15" t="str">
        <f>IFERROR(__xludf.DUMMYFUNCTION("IF(E1427&gt;AVERAGE(INDEX(GOOGLEFINANCE(B1427,""volume"",WORKDAY(TODAY(),-$F$1),TODAY()),,2)),""Breakout"","""")"),"Breakout")</f>
        <v>Breakout</v>
      </c>
      <c r="H1427" s="16">
        <f>IFERROR(__xludf.DUMMYFUNCTION("GOOGLEFINANCE(B1427,""price"")"),2.57)</f>
        <v>2.57</v>
      </c>
      <c r="I1427" s="17">
        <f>IFERROR(__xludf.DUMMYFUNCTION("AVERAGE(QUERY(SORT(GOOGLEFINANCE(B1427,""price"",TODAY()-365,TODAY()),1,0),""select Col2 limit 10""))"),2.7160000000000006)</f>
        <v>2.716</v>
      </c>
      <c r="J1427" s="17">
        <f>IFERROR(__xludf.DUMMYFUNCTION("AVERAGE(QUERY(SORT(GOOGLEFINANCE(B1427,""price"",TODAY()-365,TODAY()),1,0),""select Col2 limit 30""))"),2.7056666666666676)</f>
        <v>2.705666667</v>
      </c>
      <c r="K1427" s="18">
        <f>IFERROR(__xludf.DUMMYFUNCTION("AVERAGE(QUERY(SORT(GOOGLEFINANCE(B1427,""price"",TODAY()-365,TODAY()),1,0),""select Col2 limit 60""))"),2.6658333333333326)</f>
        <v>2.665833333</v>
      </c>
      <c r="L1427" s="17">
        <f>IFERROR(__xludf.DUMMYFUNCTION("AVERAGE(QUERY(SORT(GOOGLEFINANCE(B1427,""price"",TODAY()-365,TODAY()),1,0),""select Col2 limit 90""))"),2.6496666666666675)</f>
        <v>2.649666667</v>
      </c>
      <c r="M1427" s="17">
        <f>IFERROR(__xludf.DUMMYFUNCTION("AVERAGE(QUERY(SORT(GOOGLEFINANCE(B1427,""price"",TODAY()-365,TODAY()),1,0),""select Col2 limit 120""))"),2.7074166666666666)</f>
        <v>2.707416667</v>
      </c>
      <c r="N1427" s="19">
        <f>IFERROR(__xludf.DUMMYFUNCTION("AVERAGE(QUERY(SORT(GOOGLEFINANCE(B1427,""price"",TODAY()-365,TODAY()),1,0),""select Col2 limit 200""))"),2.9705)</f>
        <v>2.9705</v>
      </c>
      <c r="O1427" s="20" t="str">
        <f t="shared" si="2"/>
        <v>Avoid</v>
      </c>
      <c r="P1427" s="21" t="str">
        <f t="shared" si="3"/>
        <v/>
      </c>
      <c r="Q1427" s="21" t="str">
        <f t="shared" si="4"/>
        <v/>
      </c>
      <c r="R1427" s="22">
        <f>IFERROR(__xludf.DUMMYFUNCTION("GOOGLEFINANCE(B1427, ""pe"")
"),157.09)</f>
        <v>157.09</v>
      </c>
    </row>
    <row r="1428">
      <c r="A1428" s="9" t="s">
        <v>1438</v>
      </c>
      <c r="B1428" s="11" t="str">
        <f t="shared" si="1"/>
        <v>NSE:TVSELECT</v>
      </c>
      <c r="C1428" s="12">
        <f>IFERROR(__xludf.DUMMYFUNCTION("GOOGLEFINANCE(B1428,""marketcap"")/10000000"),762.797679)</f>
        <v>762.797679</v>
      </c>
      <c r="D1428" s="13">
        <f>IFERROR(__xludf.DUMMYFUNCTION("GOOGLEFINANCE(B1428,""price"")"),409.0)</f>
        <v>409</v>
      </c>
      <c r="E1428" s="14">
        <f>IFERROR(__xludf.DUMMYFUNCTION("GOOGLEFINANCE(B1428,""Volume"")"),2014.0)</f>
        <v>2014</v>
      </c>
      <c r="F1428" s="14">
        <f t="array" ref="F1428">F1427</f>
        <v>14</v>
      </c>
      <c r="G1428" s="15" t="str">
        <f>IFERROR(__xludf.DUMMYFUNCTION("IF(E1428&gt;AVERAGE(INDEX(GOOGLEFINANCE(B1428,""volume"",WORKDAY(TODAY(),-$F$1),TODAY()),,2)),""Breakout"","""")"),"")</f>
        <v/>
      </c>
      <c r="H1428" s="16">
        <f>IFERROR(__xludf.DUMMYFUNCTION("GOOGLEFINANCE(B1428,""price"")"),409.0)</f>
        <v>409</v>
      </c>
      <c r="I1428" s="17">
        <f>IFERROR(__xludf.DUMMYFUNCTION("AVERAGE(QUERY(SORT(GOOGLEFINANCE(B1428,""price"",TODAY()-365,TODAY()),1,0),""select Col2 limit 10""))"),419.33500000000004)</f>
        <v>419.335</v>
      </c>
      <c r="J1428" s="17">
        <f>IFERROR(__xludf.DUMMYFUNCTION("AVERAGE(QUERY(SORT(GOOGLEFINANCE(B1428,""price"",TODAY()-365,TODAY()),1,0),""select Col2 limit 30""))"),424.61166666666674)</f>
        <v>424.6116667</v>
      </c>
      <c r="K1428" s="18">
        <f>IFERROR(__xludf.DUMMYFUNCTION("AVERAGE(QUERY(SORT(GOOGLEFINANCE(B1428,""price"",TODAY()-365,TODAY()),1,0),""select Col2 limit 60""))"),420.93999999999994)</f>
        <v>420.94</v>
      </c>
      <c r="L1428" s="17">
        <f>IFERROR(__xludf.DUMMYFUNCTION("AVERAGE(QUERY(SORT(GOOGLEFINANCE(B1428,""price"",TODAY()-365,TODAY()),1,0),""select Col2 limit 90""))"),395.62555555555537)</f>
        <v>395.6255556</v>
      </c>
      <c r="M1428" s="17">
        <f>IFERROR(__xludf.DUMMYFUNCTION("AVERAGE(QUERY(SORT(GOOGLEFINANCE(B1428,""price"",TODAY()-365,TODAY()),1,0),""select Col2 limit 120""))"),379.4191666666665)</f>
        <v>379.4191667</v>
      </c>
      <c r="N1428" s="19">
        <f>IFERROR(__xludf.DUMMYFUNCTION("AVERAGE(QUERY(SORT(GOOGLEFINANCE(B1428,""price"",TODAY()-365,TODAY()),1,0),""select Col2 limit 200""))"),378.3364999999999)</f>
        <v>378.3365</v>
      </c>
      <c r="O1428" s="20" t="str">
        <f t="shared" si="2"/>
        <v>Avoid</v>
      </c>
      <c r="P1428" s="21" t="str">
        <f t="shared" si="3"/>
        <v/>
      </c>
      <c r="Q1428" s="21" t="str">
        <f t="shared" si="4"/>
        <v/>
      </c>
      <c r="R1428" s="22" t="str">
        <f>IFERROR(__xludf.DUMMYFUNCTION("GOOGLEFINANCE(B1428, ""pe"")
"),"#N/A")</f>
        <v>#N/A</v>
      </c>
    </row>
    <row r="1429">
      <c r="A1429" s="9" t="s">
        <v>1439</v>
      </c>
      <c r="B1429" s="11" t="str">
        <f t="shared" si="1"/>
        <v>NSE:BCONCEPTS</v>
      </c>
      <c r="C1429" s="12">
        <f>IFERROR(__xludf.DUMMYFUNCTION("GOOGLEFINANCE(B1429,""marketcap"")/10000000"),376.6937103)</f>
        <v>376.6937103</v>
      </c>
      <c r="D1429" s="13">
        <f>IFERROR(__xludf.DUMMYFUNCTION("GOOGLEFINANCE(B1429,""price"")"),334.4)</f>
        <v>334.4</v>
      </c>
      <c r="E1429" s="14">
        <f>IFERROR(__xludf.DUMMYFUNCTION("GOOGLEFINANCE(B1429,""Volume"")"),982.0)</f>
        <v>982</v>
      </c>
      <c r="F1429" s="14">
        <f t="array" ref="F1429">F1428</f>
        <v>14</v>
      </c>
      <c r="G1429" s="15" t="str">
        <f>IFERROR(__xludf.DUMMYFUNCTION("IF(E1429&gt;AVERAGE(INDEX(GOOGLEFINANCE(B1429,""volume"",WORKDAY(TODAY(),-$F$1),TODAY()),,2)),""Breakout"","""")"),"")</f>
        <v/>
      </c>
      <c r="H1429" s="16">
        <f>IFERROR(__xludf.DUMMYFUNCTION("GOOGLEFINANCE(B1429,""price"")"),334.4)</f>
        <v>334.4</v>
      </c>
      <c r="I1429" s="17">
        <f>IFERROR(__xludf.DUMMYFUNCTION("AVERAGE(QUERY(SORT(GOOGLEFINANCE(B1429,""price"",TODAY()-365,TODAY()),1,0),""select Col2 limit 10""))"),337.03000000000003)</f>
        <v>337.03</v>
      </c>
      <c r="J1429" s="17">
        <f>IFERROR(__xludf.DUMMYFUNCTION("AVERAGE(QUERY(SORT(GOOGLEFINANCE(B1429,""price"",TODAY()-365,TODAY()),1,0),""select Col2 limit 30""))"),343.1050000000001)</f>
        <v>343.105</v>
      </c>
      <c r="K1429" s="18">
        <f>IFERROR(__xludf.DUMMYFUNCTION("AVERAGE(QUERY(SORT(GOOGLEFINANCE(B1429,""price"",TODAY()-365,TODAY()),1,0),""select Col2 limit 60""))"),347.4200000000001)</f>
        <v>347.42</v>
      </c>
      <c r="L1429" s="17">
        <f>IFERROR(__xludf.DUMMYFUNCTION("AVERAGE(QUERY(SORT(GOOGLEFINANCE(B1429,""price"",TODAY()-365,TODAY()),1,0),""select Col2 limit 90""))"),343.57111111111107)</f>
        <v>343.5711111</v>
      </c>
      <c r="M1429" s="17">
        <f>IFERROR(__xludf.DUMMYFUNCTION("AVERAGE(QUERY(SORT(GOOGLEFINANCE(B1429,""price"",TODAY()-365,TODAY()),1,0),""select Col2 limit 120""))"),354.5258333333333)</f>
        <v>354.5258333</v>
      </c>
      <c r="N1429" s="19">
        <f>IFERROR(__xludf.DUMMYFUNCTION("AVERAGE(QUERY(SORT(GOOGLEFINANCE(B1429,""price"",TODAY()-365,TODAY()),1,0),""select Col2 limit 200""))"),415.83200000000005)</f>
        <v>415.832</v>
      </c>
      <c r="O1429" s="20" t="str">
        <f t="shared" si="2"/>
        <v>Avoid</v>
      </c>
      <c r="P1429" s="21" t="str">
        <f t="shared" si="3"/>
        <v>10 DMA</v>
      </c>
      <c r="Q1429" s="21" t="str">
        <f t="shared" si="4"/>
        <v>10 DMA cross best</v>
      </c>
      <c r="R1429" s="22">
        <f>IFERROR(__xludf.DUMMYFUNCTION("GOOGLEFINANCE(B1429, ""pe"")
"),58.16)</f>
        <v>58.16</v>
      </c>
    </row>
    <row r="1430">
      <c r="A1430" s="9" t="s">
        <v>1440</v>
      </c>
      <c r="B1430" s="11" t="str">
        <f t="shared" si="1"/>
        <v>NSE:IZMO</v>
      </c>
      <c r="C1430" s="12">
        <f>IFERROR(__xludf.DUMMYFUNCTION("GOOGLEFINANCE(B1430,""marketcap"")/10000000"),594.8094042)</f>
        <v>594.8094042</v>
      </c>
      <c r="D1430" s="13">
        <f>IFERROR(__xludf.DUMMYFUNCTION("GOOGLEFINANCE(B1430,""price"")"),399.4)</f>
        <v>399.4</v>
      </c>
      <c r="E1430" s="14">
        <f>IFERROR(__xludf.DUMMYFUNCTION("GOOGLEFINANCE(B1430,""Volume"")"),19212.0)</f>
        <v>19212</v>
      </c>
      <c r="F1430" s="14">
        <f t="array" ref="F1430">F1429</f>
        <v>14</v>
      </c>
      <c r="G1430" s="15" t="str">
        <f>IFERROR(__xludf.DUMMYFUNCTION("IF(E1430&gt;AVERAGE(INDEX(GOOGLEFINANCE(B1430,""volume"",WORKDAY(TODAY(),-$F$1),TODAY()),,2)),""Breakout"","""")"),"")</f>
        <v/>
      </c>
      <c r="H1430" s="16">
        <f>IFERROR(__xludf.DUMMYFUNCTION("GOOGLEFINANCE(B1430,""price"")"),399.4)</f>
        <v>399.4</v>
      </c>
      <c r="I1430" s="17">
        <f>IFERROR(__xludf.DUMMYFUNCTION("AVERAGE(QUERY(SORT(GOOGLEFINANCE(B1430,""price"",TODAY()-365,TODAY()),1,0),""select Col2 limit 10""))"),413.41499999999996)</f>
        <v>413.415</v>
      </c>
      <c r="J1430" s="17">
        <f>IFERROR(__xludf.DUMMYFUNCTION("AVERAGE(QUERY(SORT(GOOGLEFINANCE(B1430,""price"",TODAY()-365,TODAY()),1,0),""select Col2 limit 30""))"),388.8083333333333)</f>
        <v>388.8083333</v>
      </c>
      <c r="K1430" s="18">
        <f>IFERROR(__xludf.DUMMYFUNCTION("AVERAGE(QUERY(SORT(GOOGLEFINANCE(B1430,""price"",TODAY()-365,TODAY()),1,0),""select Col2 limit 60""))"),347.2349999999999)</f>
        <v>347.235</v>
      </c>
      <c r="L1430" s="17">
        <f>IFERROR(__xludf.DUMMYFUNCTION("AVERAGE(QUERY(SORT(GOOGLEFINANCE(B1430,""price"",TODAY()-365,TODAY()),1,0),""select Col2 limit 90""))"),326.1494444444444)</f>
        <v>326.1494444</v>
      </c>
      <c r="M1430" s="17">
        <f>IFERROR(__xludf.DUMMYFUNCTION("AVERAGE(QUERY(SORT(GOOGLEFINANCE(B1430,""price"",TODAY()-365,TODAY()),1,0),""select Col2 limit 120""))"),329.40875)</f>
        <v>329.40875</v>
      </c>
      <c r="N1430" s="19">
        <f>IFERROR(__xludf.DUMMYFUNCTION("AVERAGE(QUERY(SORT(GOOGLEFINANCE(B1430,""price"",TODAY()-365,TODAY()),1,0),""select Col2 limit 200""))"),385.26825)</f>
        <v>385.26825</v>
      </c>
      <c r="O1430" s="20" t="str">
        <f t="shared" si="2"/>
        <v>Avoid</v>
      </c>
      <c r="P1430" s="21" t="str">
        <f t="shared" si="3"/>
        <v/>
      </c>
      <c r="Q1430" s="21" t="str">
        <f t="shared" si="4"/>
        <v/>
      </c>
      <c r="R1430" s="22">
        <f>IFERROR(__xludf.DUMMYFUNCTION("GOOGLEFINANCE(B1430, ""pe"")
"),11.78)</f>
        <v>11.78</v>
      </c>
    </row>
    <row r="1431">
      <c r="A1431" s="9" t="s">
        <v>1441</v>
      </c>
      <c r="B1431" s="11" t="str">
        <f t="shared" si="1"/>
        <v>NSE:VIPULLTD</v>
      </c>
      <c r="C1431" s="12">
        <f>IFERROR(__xludf.DUMMYFUNCTION("GOOGLEFINANCE(B1431,""marketcap"")/10000000"),118.5468532)</f>
        <v>118.5468532</v>
      </c>
      <c r="D1431" s="13">
        <f>IFERROR(__xludf.DUMMYFUNCTION("GOOGLEFINANCE(B1431,""price"")"),8.41)</f>
        <v>8.41</v>
      </c>
      <c r="E1431" s="14">
        <f>IFERROR(__xludf.DUMMYFUNCTION("GOOGLEFINANCE(B1431,""Volume"")"),174525.0)</f>
        <v>174525</v>
      </c>
      <c r="F1431" s="14">
        <f t="array" ref="F1431">F1430</f>
        <v>14</v>
      </c>
      <c r="G1431" s="15" t="str">
        <f>IFERROR(__xludf.DUMMYFUNCTION("IF(E1431&gt;AVERAGE(INDEX(GOOGLEFINANCE(B1431,""volume"",WORKDAY(TODAY(),-$F$1),TODAY()),,2)),""Breakout"","""")"),"")</f>
        <v/>
      </c>
      <c r="H1431" s="16">
        <f>IFERROR(__xludf.DUMMYFUNCTION("GOOGLEFINANCE(B1431,""price"")"),8.41)</f>
        <v>8.41</v>
      </c>
      <c r="I1431" s="17">
        <f>IFERROR(__xludf.DUMMYFUNCTION("AVERAGE(QUERY(SORT(GOOGLEFINANCE(B1431,""price"",TODAY()-365,TODAY()),1,0),""select Col2 limit 10""))"),9.808)</f>
        <v>9.808</v>
      </c>
      <c r="J1431" s="17">
        <f>IFERROR(__xludf.DUMMYFUNCTION("AVERAGE(QUERY(SORT(GOOGLEFINANCE(B1431,""price"",TODAY()-365,TODAY()),1,0),""select Col2 limit 30""))"),10.824000000000002)</f>
        <v>10.824</v>
      </c>
      <c r="K1431" s="18">
        <f>IFERROR(__xludf.DUMMYFUNCTION("AVERAGE(QUERY(SORT(GOOGLEFINANCE(B1431,""price"",TODAY()-365,TODAY()),1,0),""select Col2 limit 60""))"),11.221000000000002)</f>
        <v>11.221</v>
      </c>
      <c r="L1431" s="17">
        <f>IFERROR(__xludf.DUMMYFUNCTION("AVERAGE(QUERY(SORT(GOOGLEFINANCE(B1431,""price"",TODAY()-365,TODAY()),1,0),""select Col2 limit 90""))"),11.229222222222225)</f>
        <v>11.22922222</v>
      </c>
      <c r="M1431" s="17">
        <f>IFERROR(__xludf.DUMMYFUNCTION("AVERAGE(QUERY(SORT(GOOGLEFINANCE(B1431,""price"",TODAY()-365,TODAY()),1,0),""select Col2 limit 120""))"),11.891)</f>
        <v>11.891</v>
      </c>
      <c r="N1431" s="19">
        <f>IFERROR(__xludf.DUMMYFUNCTION("AVERAGE(QUERY(SORT(GOOGLEFINANCE(B1431,""price"",TODAY()-365,TODAY()),1,0),""select Col2 limit 200""))"),18.157349999999994)</f>
        <v>18.15735</v>
      </c>
      <c r="O1431" s="20" t="str">
        <f t="shared" si="2"/>
        <v>Avoid</v>
      </c>
      <c r="P1431" s="21" t="str">
        <f t="shared" si="3"/>
        <v/>
      </c>
      <c r="Q1431" s="21" t="str">
        <f t="shared" si="4"/>
        <v/>
      </c>
      <c r="R1431" s="22" t="str">
        <f>IFERROR(__xludf.DUMMYFUNCTION("GOOGLEFINANCE(B1431, ""pe"")
"),"#N/A")</f>
        <v>#N/A</v>
      </c>
    </row>
    <row r="1432">
      <c r="A1432" s="9" t="s">
        <v>1442</v>
      </c>
      <c r="B1432" s="11" t="str">
        <f t="shared" si="1"/>
        <v>NSE:ASMS</v>
      </c>
      <c r="C1432" s="12">
        <f>IFERROR(__xludf.DUMMYFUNCTION("GOOGLEFINANCE(B1432,""marketcap"")/10000000"),409.0465173)</f>
        <v>409.0465173</v>
      </c>
      <c r="D1432" s="13">
        <f>IFERROR(__xludf.DUMMYFUNCTION("GOOGLEFINANCE(B1432,""price"")"),13.43)</f>
        <v>13.43</v>
      </c>
      <c r="E1432" s="14">
        <f>IFERROR(__xludf.DUMMYFUNCTION("GOOGLEFINANCE(B1432,""Volume"")"),94816.0)</f>
        <v>94816</v>
      </c>
      <c r="F1432" s="14">
        <f t="array" ref="F1432">F1431</f>
        <v>14</v>
      </c>
      <c r="G1432" s="15" t="str">
        <f>IFERROR(__xludf.DUMMYFUNCTION("IF(E1432&gt;AVERAGE(INDEX(GOOGLEFINANCE(B1432,""volume"",WORKDAY(TODAY(),-$F$1),TODAY()),,2)),""Breakout"","""")"),"")</f>
        <v/>
      </c>
      <c r="H1432" s="16">
        <f>IFERROR(__xludf.DUMMYFUNCTION("GOOGLEFINANCE(B1432,""price"")"),13.43)</f>
        <v>13.43</v>
      </c>
      <c r="I1432" s="17">
        <f>IFERROR(__xludf.DUMMYFUNCTION("AVERAGE(QUERY(SORT(GOOGLEFINANCE(B1432,""price"",TODAY()-365,TODAY()),1,0),""select Col2 limit 10""))"),13.692000000000002)</f>
        <v>13.692</v>
      </c>
      <c r="J1432" s="17">
        <f>IFERROR(__xludf.DUMMYFUNCTION("AVERAGE(QUERY(SORT(GOOGLEFINANCE(B1432,""price"",TODAY()-365,TODAY()),1,0),""select Col2 limit 30""))"),13.66733333333333)</f>
        <v>13.66733333</v>
      </c>
      <c r="K1432" s="18">
        <f>IFERROR(__xludf.DUMMYFUNCTION("AVERAGE(QUERY(SORT(GOOGLEFINANCE(B1432,""price"",TODAY()-365,TODAY()),1,0),""select Col2 limit 60""))"),14.591833333333332)</f>
        <v>14.59183333</v>
      </c>
      <c r="L1432" s="17">
        <f>IFERROR(__xludf.DUMMYFUNCTION("AVERAGE(QUERY(SORT(GOOGLEFINANCE(B1432,""price"",TODAY()-365,TODAY()),1,0),""select Col2 limit 90""))"),14.93811111111112)</f>
        <v>14.93811111</v>
      </c>
      <c r="M1432" s="17">
        <f>IFERROR(__xludf.DUMMYFUNCTION("AVERAGE(QUERY(SORT(GOOGLEFINANCE(B1432,""price"",TODAY()-365,TODAY()),1,0),""select Col2 limit 120""))"),15.281666666666673)</f>
        <v>15.28166667</v>
      </c>
      <c r="N1432" s="19">
        <f>IFERROR(__xludf.DUMMYFUNCTION("AVERAGE(QUERY(SORT(GOOGLEFINANCE(B1432,""price"",TODAY()-365,TODAY()),1,0),""select Col2 limit 200""))"),17.368200000000016)</f>
        <v>17.3682</v>
      </c>
      <c r="O1432" s="20" t="str">
        <f t="shared" si="2"/>
        <v>Avoid</v>
      </c>
      <c r="P1432" s="21" t="str">
        <f t="shared" si="3"/>
        <v/>
      </c>
      <c r="Q1432" s="21" t="str">
        <f t="shared" si="4"/>
        <v/>
      </c>
      <c r="R1432" s="22">
        <f>IFERROR(__xludf.DUMMYFUNCTION("GOOGLEFINANCE(B1432, ""pe"")
"),223.83)</f>
        <v>223.83</v>
      </c>
    </row>
    <row r="1433">
      <c r="A1433" s="9" t="s">
        <v>1443</v>
      </c>
      <c r="B1433" s="11" t="str">
        <f t="shared" si="1"/>
        <v>NSE:PYRAMID</v>
      </c>
      <c r="C1433" s="12">
        <f>IFERROR(__xludf.DUMMYFUNCTION("GOOGLEFINANCE(B1433,""marketcap"")/10000000"),601.7257651)</f>
        <v>601.7257651</v>
      </c>
      <c r="D1433" s="13">
        <f>IFERROR(__xludf.DUMMYFUNCTION("GOOGLEFINANCE(B1433,""price"")"),163.46)</f>
        <v>163.46</v>
      </c>
      <c r="E1433" s="14">
        <f>IFERROR(__xludf.DUMMYFUNCTION("GOOGLEFINANCE(B1433,""Volume"")"),17679.0)</f>
        <v>17679</v>
      </c>
      <c r="F1433" s="14">
        <f t="array" ref="F1433">F1432</f>
        <v>14</v>
      </c>
      <c r="G1433" s="15" t="str">
        <f>IFERROR(__xludf.DUMMYFUNCTION("IF(E1433&gt;AVERAGE(INDEX(GOOGLEFINANCE(B1433,""volume"",WORKDAY(TODAY(),-$F$1),TODAY()),,2)),""Breakout"","""")"),"")</f>
        <v/>
      </c>
      <c r="H1433" s="16">
        <f>IFERROR(__xludf.DUMMYFUNCTION("GOOGLEFINANCE(B1433,""price"")"),163.46)</f>
        <v>163.46</v>
      </c>
      <c r="I1433" s="17">
        <f>IFERROR(__xludf.DUMMYFUNCTION("AVERAGE(QUERY(SORT(GOOGLEFINANCE(B1433,""price"",TODAY()-365,TODAY()),1,0),""select Col2 limit 10""))"),172.898)</f>
        <v>172.898</v>
      </c>
      <c r="J1433" s="17">
        <f>IFERROR(__xludf.DUMMYFUNCTION("AVERAGE(QUERY(SORT(GOOGLEFINANCE(B1433,""price"",TODAY()-365,TODAY()),1,0),""select Col2 limit 30""))"),176.83566666666664)</f>
        <v>176.8356667</v>
      </c>
      <c r="K1433" s="18">
        <f>IFERROR(__xludf.DUMMYFUNCTION("AVERAGE(QUERY(SORT(GOOGLEFINANCE(B1433,""price"",TODAY()-365,TODAY()),1,0),""select Col2 limit 60""))"),171.2404999999999)</f>
        <v>171.2405</v>
      </c>
      <c r="L1433" s="17">
        <f>IFERROR(__xludf.DUMMYFUNCTION("AVERAGE(QUERY(SORT(GOOGLEFINANCE(B1433,""price"",TODAY()-365,TODAY()),1,0),""select Col2 limit 90""))"),166.19333333333324)</f>
        <v>166.1933333</v>
      </c>
      <c r="M1433" s="17">
        <f>IFERROR(__xludf.DUMMYFUNCTION("AVERAGE(QUERY(SORT(GOOGLEFINANCE(B1433,""price"",TODAY()-365,TODAY()),1,0),""select Col2 limit 120""))"),165.74541666666659)</f>
        <v>165.7454167</v>
      </c>
      <c r="N1433" s="19">
        <f>IFERROR(__xludf.DUMMYFUNCTION("AVERAGE(QUERY(SORT(GOOGLEFINANCE(B1433,""price"",TODAY()-365,TODAY()),1,0),""select Col2 limit 200""))"),179.5166499999999)</f>
        <v>179.51665</v>
      </c>
      <c r="O1433" s="20" t="str">
        <f t="shared" si="2"/>
        <v>Avoid</v>
      </c>
      <c r="P1433" s="21" t="str">
        <f t="shared" si="3"/>
        <v/>
      </c>
      <c r="Q1433" s="21" t="str">
        <f t="shared" si="4"/>
        <v/>
      </c>
      <c r="R1433" s="22">
        <f>IFERROR(__xludf.DUMMYFUNCTION("GOOGLEFINANCE(B1433, ""pe"")
"),22.17)</f>
        <v>22.17</v>
      </c>
    </row>
    <row r="1434">
      <c r="A1434" s="9" t="s">
        <v>1444</v>
      </c>
      <c r="B1434" s="11" t="str">
        <f t="shared" si="1"/>
        <v>NSE:NECLIFE</v>
      </c>
      <c r="C1434" s="12">
        <f>IFERROR(__xludf.DUMMYFUNCTION("GOOGLEFINANCE(B1434,""marketcap"")/10000000"),376.7582948)</f>
        <v>376.7582948</v>
      </c>
      <c r="D1434" s="13">
        <f>IFERROR(__xludf.DUMMYFUNCTION("GOOGLEFINANCE(B1434,""price"")"),16.7)</f>
        <v>16.7</v>
      </c>
      <c r="E1434" s="14">
        <f>IFERROR(__xludf.DUMMYFUNCTION("GOOGLEFINANCE(B1434,""Volume"")"),293126.0)</f>
        <v>293126</v>
      </c>
      <c r="F1434" s="14">
        <f t="array" ref="F1434">F1433</f>
        <v>14</v>
      </c>
      <c r="G1434" s="15" t="str">
        <f>IFERROR(__xludf.DUMMYFUNCTION("IF(E1434&gt;AVERAGE(INDEX(GOOGLEFINANCE(B1434,""volume"",WORKDAY(TODAY(),-$F$1),TODAY()),,2)),""Breakout"","""")"),"")</f>
        <v/>
      </c>
      <c r="H1434" s="16">
        <f>IFERROR(__xludf.DUMMYFUNCTION("GOOGLEFINANCE(B1434,""price"")"),16.7)</f>
        <v>16.7</v>
      </c>
      <c r="I1434" s="17">
        <f>IFERROR(__xludf.DUMMYFUNCTION("AVERAGE(QUERY(SORT(GOOGLEFINANCE(B1434,""price"",TODAY()-365,TODAY()),1,0),""select Col2 limit 10""))"),17.798)</f>
        <v>17.798</v>
      </c>
      <c r="J1434" s="17">
        <f>IFERROR(__xludf.DUMMYFUNCTION("AVERAGE(QUERY(SORT(GOOGLEFINANCE(B1434,""price"",TODAY()-365,TODAY()),1,0),""select Col2 limit 30""))"),20.288333333333338)</f>
        <v>20.28833333</v>
      </c>
      <c r="K1434" s="18">
        <f>IFERROR(__xludf.DUMMYFUNCTION("AVERAGE(QUERY(SORT(GOOGLEFINANCE(B1434,""price"",TODAY()-365,TODAY()),1,0),""select Col2 limit 60""))"),22.09116666666667)</f>
        <v>22.09116667</v>
      </c>
      <c r="L1434" s="17">
        <f>IFERROR(__xludf.DUMMYFUNCTION("AVERAGE(QUERY(SORT(GOOGLEFINANCE(B1434,""price"",TODAY()-365,TODAY()),1,0),""select Col2 limit 90""))"),22.47266666666667)</f>
        <v>22.47266667</v>
      </c>
      <c r="M1434" s="17">
        <f>IFERROR(__xludf.DUMMYFUNCTION("AVERAGE(QUERY(SORT(GOOGLEFINANCE(B1434,""price"",TODAY()-365,TODAY()),1,0),""select Col2 limit 120""))"),24.410666666666675)</f>
        <v>24.41066667</v>
      </c>
      <c r="N1434" s="19">
        <f>IFERROR(__xludf.DUMMYFUNCTION("AVERAGE(QUERY(SORT(GOOGLEFINANCE(B1434,""price"",TODAY()-365,TODAY()),1,0),""select Col2 limit 200""))"),29.5773)</f>
        <v>29.5773</v>
      </c>
      <c r="O1434" s="20" t="str">
        <f t="shared" si="2"/>
        <v>Avoid</v>
      </c>
      <c r="P1434" s="21" t="str">
        <f t="shared" si="3"/>
        <v/>
      </c>
      <c r="Q1434" s="21" t="str">
        <f t="shared" si="4"/>
        <v/>
      </c>
      <c r="R1434" s="22" t="str">
        <f>IFERROR(__xludf.DUMMYFUNCTION("GOOGLEFINANCE(B1434, ""pe"")
"),"#N/A")</f>
        <v>#N/A</v>
      </c>
    </row>
    <row r="1435">
      <c r="A1435" s="9" t="s">
        <v>1445</v>
      </c>
      <c r="B1435" s="11" t="str">
        <f t="shared" si="1"/>
        <v>NSE:MANAKSIA</v>
      </c>
      <c r="C1435" s="12">
        <f>IFERROR(__xludf.DUMMYFUNCTION("GOOGLEFINANCE(B1435,""marketcap"")/10000000"),516.0150957)</f>
        <v>516.0150957</v>
      </c>
      <c r="D1435" s="13">
        <f>IFERROR(__xludf.DUMMYFUNCTION("GOOGLEFINANCE(B1435,""price"")"),78.74)</f>
        <v>78.74</v>
      </c>
      <c r="E1435" s="14">
        <f>IFERROR(__xludf.DUMMYFUNCTION("GOOGLEFINANCE(B1435,""Volume"")"),99552.0)</f>
        <v>99552</v>
      </c>
      <c r="F1435" s="14">
        <f t="array" ref="F1435">F1434</f>
        <v>14</v>
      </c>
      <c r="G1435" s="15" t="str">
        <f>IFERROR(__xludf.DUMMYFUNCTION("IF(E1435&gt;AVERAGE(INDEX(GOOGLEFINANCE(B1435,""volume"",WORKDAY(TODAY(),-$F$1),TODAY()),,2)),""Breakout"","""")"),"")</f>
        <v/>
      </c>
      <c r="H1435" s="16">
        <f>IFERROR(__xludf.DUMMYFUNCTION("GOOGLEFINANCE(B1435,""price"")"),78.74)</f>
        <v>78.74</v>
      </c>
      <c r="I1435" s="17">
        <f>IFERROR(__xludf.DUMMYFUNCTION("AVERAGE(QUERY(SORT(GOOGLEFINANCE(B1435,""price"",TODAY()-365,TODAY()),1,0),""select Col2 limit 10""))"),76.18199999999999)</f>
        <v>76.182</v>
      </c>
      <c r="J1435" s="17">
        <f>IFERROR(__xludf.DUMMYFUNCTION("AVERAGE(QUERY(SORT(GOOGLEFINANCE(B1435,""price"",TODAY()-365,TODAY()),1,0),""select Col2 limit 30""))"),74.66966666666666)</f>
        <v>74.66966667</v>
      </c>
      <c r="K1435" s="18">
        <f>IFERROR(__xludf.DUMMYFUNCTION("AVERAGE(QUERY(SORT(GOOGLEFINANCE(B1435,""price"",TODAY()-365,TODAY()),1,0),""select Col2 limit 60""))"),72.75483333333332)</f>
        <v>72.75483333</v>
      </c>
      <c r="L1435" s="17">
        <f>IFERROR(__xludf.DUMMYFUNCTION("AVERAGE(QUERY(SORT(GOOGLEFINANCE(B1435,""price"",TODAY()-365,TODAY()),1,0),""select Col2 limit 90""))"),69.66233333333335)</f>
        <v>69.66233333</v>
      </c>
      <c r="M1435" s="17">
        <f>IFERROR(__xludf.DUMMYFUNCTION("AVERAGE(QUERY(SORT(GOOGLEFINANCE(B1435,""price"",TODAY()-365,TODAY()),1,0),""select Col2 limit 120""))"),70.11175000000001)</f>
        <v>70.11175</v>
      </c>
      <c r="N1435" s="19">
        <f>IFERROR(__xludf.DUMMYFUNCTION("AVERAGE(QUERY(SORT(GOOGLEFINANCE(B1435,""price"",TODAY()-365,TODAY()),1,0),""select Col2 limit 200""))"),77.93935000000002)</f>
        <v>77.93935</v>
      </c>
      <c r="O1435" s="20" t="str">
        <f t="shared" si="2"/>
        <v>Avoid</v>
      </c>
      <c r="P1435" s="21" t="str">
        <f t="shared" si="3"/>
        <v/>
      </c>
      <c r="Q1435" s="21" t="str">
        <f t="shared" si="4"/>
        <v/>
      </c>
      <c r="R1435" s="22">
        <f>IFERROR(__xludf.DUMMYFUNCTION("GOOGLEFINANCE(B1435, ""pe"")
"),9.22)</f>
        <v>9.22</v>
      </c>
    </row>
    <row r="1436">
      <c r="A1436" s="9" t="s">
        <v>1446</v>
      </c>
      <c r="B1436" s="11" t="str">
        <f t="shared" si="1"/>
        <v>NSE:MUNJALSHOW</v>
      </c>
      <c r="C1436" s="12">
        <f>IFERROR(__xludf.DUMMYFUNCTION("GOOGLEFINANCE(B1436,""marketcap"")/10000000"),594.685516)</f>
        <v>594.685516</v>
      </c>
      <c r="D1436" s="13">
        <f>IFERROR(__xludf.DUMMYFUNCTION("GOOGLEFINANCE(B1436,""price"")"),148.69)</f>
        <v>148.69</v>
      </c>
      <c r="E1436" s="14">
        <f>IFERROR(__xludf.DUMMYFUNCTION("GOOGLEFINANCE(B1436,""Volume"")"),26056.0)</f>
        <v>26056</v>
      </c>
      <c r="F1436" s="14">
        <f t="array" ref="F1436">F1435</f>
        <v>14</v>
      </c>
      <c r="G1436" s="15" t="str">
        <f>IFERROR(__xludf.DUMMYFUNCTION("IF(E1436&gt;AVERAGE(INDEX(GOOGLEFINANCE(B1436,""volume"",WORKDAY(TODAY(),-$F$1),TODAY()),,2)),""Breakout"","""")"),"")</f>
        <v/>
      </c>
      <c r="H1436" s="16">
        <f>IFERROR(__xludf.DUMMYFUNCTION("GOOGLEFINANCE(B1436,""price"")"),148.69)</f>
        <v>148.69</v>
      </c>
      <c r="I1436" s="17">
        <f>IFERROR(__xludf.DUMMYFUNCTION("AVERAGE(QUERY(SORT(GOOGLEFINANCE(B1436,""price"",TODAY()-365,TODAY()),1,0),""select Col2 limit 10""))"),151.886)</f>
        <v>151.886</v>
      </c>
      <c r="J1436" s="17">
        <f>IFERROR(__xludf.DUMMYFUNCTION("AVERAGE(QUERY(SORT(GOOGLEFINANCE(B1436,""price"",TODAY()-365,TODAY()),1,0),""select Col2 limit 30""))"),141.69366666666664)</f>
        <v>141.6936667</v>
      </c>
      <c r="K1436" s="18">
        <f>IFERROR(__xludf.DUMMYFUNCTION("AVERAGE(QUERY(SORT(GOOGLEFINANCE(B1436,""price"",TODAY()-365,TODAY()),1,0),""select Col2 limit 60""))"),135.9715)</f>
        <v>135.9715</v>
      </c>
      <c r="L1436" s="17">
        <f>IFERROR(__xludf.DUMMYFUNCTION("AVERAGE(QUERY(SORT(GOOGLEFINANCE(B1436,""price"",TODAY()-365,TODAY()),1,0),""select Col2 limit 90""))"),128.3093333333333)</f>
        <v>128.3093333</v>
      </c>
      <c r="M1436" s="17">
        <f>IFERROR(__xludf.DUMMYFUNCTION("AVERAGE(QUERY(SORT(GOOGLEFINANCE(B1436,""price"",TODAY()-365,TODAY()),1,0),""select Col2 limit 120""))"),127.07366666666668)</f>
        <v>127.0736667</v>
      </c>
      <c r="N1436" s="19">
        <f>IFERROR(__xludf.DUMMYFUNCTION("AVERAGE(QUERY(SORT(GOOGLEFINANCE(B1436,""price"",TODAY()-365,TODAY()),1,0),""select Col2 limit 200""))"),135.92734999999996)</f>
        <v>135.92735</v>
      </c>
      <c r="O1436" s="20" t="str">
        <f t="shared" si="2"/>
        <v>Avoid</v>
      </c>
      <c r="P1436" s="21" t="str">
        <f t="shared" si="3"/>
        <v/>
      </c>
      <c r="Q1436" s="21" t="str">
        <f t="shared" si="4"/>
        <v/>
      </c>
      <c r="R1436" s="22">
        <f>IFERROR(__xludf.DUMMYFUNCTION("GOOGLEFINANCE(B1436, ""pe"")
"),20.59)</f>
        <v>20.59</v>
      </c>
    </row>
    <row r="1437">
      <c r="A1437" s="9" t="s">
        <v>1447</v>
      </c>
      <c r="B1437" s="11" t="str">
        <f t="shared" si="1"/>
        <v>NSE:ALANKIT</v>
      </c>
      <c r="C1437" s="12">
        <f>IFERROR(__xludf.DUMMYFUNCTION("GOOGLEFINANCE(B1437,""marketcap"")/10000000"),418.3969565)</f>
        <v>418.3969565</v>
      </c>
      <c r="D1437" s="13">
        <f>IFERROR(__xludf.DUMMYFUNCTION("GOOGLEFINANCE(B1437,""price"")"),15.42)</f>
        <v>15.42</v>
      </c>
      <c r="E1437" s="14">
        <f>IFERROR(__xludf.DUMMYFUNCTION("GOOGLEFINANCE(B1437,""Volume"")"),232147.0)</f>
        <v>232147</v>
      </c>
      <c r="F1437" s="14">
        <f t="array" ref="F1437">F1436</f>
        <v>14</v>
      </c>
      <c r="G1437" s="15" t="str">
        <f>IFERROR(__xludf.DUMMYFUNCTION("IF(E1437&gt;AVERAGE(INDEX(GOOGLEFINANCE(B1437,""volume"",WORKDAY(TODAY(),-$F$1),TODAY()),,2)),""Breakout"","""")"),"")</f>
        <v/>
      </c>
      <c r="H1437" s="16">
        <f>IFERROR(__xludf.DUMMYFUNCTION("GOOGLEFINANCE(B1437,""price"")"),15.42)</f>
        <v>15.42</v>
      </c>
      <c r="I1437" s="17">
        <f>IFERROR(__xludf.DUMMYFUNCTION("AVERAGE(QUERY(SORT(GOOGLEFINANCE(B1437,""price"",TODAY()-365,TODAY()),1,0),""select Col2 limit 10""))"),16.119)</f>
        <v>16.119</v>
      </c>
      <c r="J1437" s="17">
        <f>IFERROR(__xludf.DUMMYFUNCTION("AVERAGE(QUERY(SORT(GOOGLEFINANCE(B1437,""price"",TODAY()-365,TODAY()),1,0),""select Col2 limit 30""))"),15.497333333333332)</f>
        <v>15.49733333</v>
      </c>
      <c r="K1437" s="18">
        <f>IFERROR(__xludf.DUMMYFUNCTION("AVERAGE(QUERY(SORT(GOOGLEFINANCE(B1437,""price"",TODAY()-365,TODAY()),1,0),""select Col2 limit 60""))"),15.12383333333334)</f>
        <v>15.12383333</v>
      </c>
      <c r="L1437" s="17">
        <f>IFERROR(__xludf.DUMMYFUNCTION("AVERAGE(QUERY(SORT(GOOGLEFINANCE(B1437,""price"",TODAY()-365,TODAY()),1,0),""select Col2 limit 90""))"),15.018333333333336)</f>
        <v>15.01833333</v>
      </c>
      <c r="M1437" s="17">
        <f>IFERROR(__xludf.DUMMYFUNCTION("AVERAGE(QUERY(SORT(GOOGLEFINANCE(B1437,""price"",TODAY()-365,TODAY()),1,0),""select Col2 limit 120""))"),15.539583333333335)</f>
        <v>15.53958333</v>
      </c>
      <c r="N1437" s="19">
        <f>IFERROR(__xludf.DUMMYFUNCTION("AVERAGE(QUERY(SORT(GOOGLEFINANCE(B1437,""price"",TODAY()-365,TODAY()),1,0),""select Col2 limit 200""))"),17.999299999999995)</f>
        <v>17.9993</v>
      </c>
      <c r="O1437" s="20" t="str">
        <f t="shared" si="2"/>
        <v>Avoid</v>
      </c>
      <c r="P1437" s="21" t="str">
        <f t="shared" si="3"/>
        <v>30 DMA</v>
      </c>
      <c r="Q1437" s="21" t="str">
        <f t="shared" si="4"/>
        <v/>
      </c>
      <c r="R1437" s="22">
        <f>IFERROR(__xludf.DUMMYFUNCTION("GOOGLEFINANCE(B1437, ""pe"")
"),21.14)</f>
        <v>21.14</v>
      </c>
    </row>
    <row r="1438">
      <c r="A1438" s="9" t="s">
        <v>1448</v>
      </c>
      <c r="B1438" s="11" t="str">
        <f t="shared" si="1"/>
        <v>NSE:CONSOFINVT</v>
      </c>
      <c r="C1438" s="12">
        <f>IFERROR(__xludf.DUMMYFUNCTION("GOOGLEFINANCE(B1438,""marketcap"")/10000000"),647.1737173)</f>
        <v>647.1737173</v>
      </c>
      <c r="D1438" s="13">
        <f>IFERROR(__xludf.DUMMYFUNCTION("GOOGLEFINANCE(B1438,""price"")"),200.2)</f>
        <v>200.2</v>
      </c>
      <c r="E1438" s="14">
        <f>IFERROR(__xludf.DUMMYFUNCTION("GOOGLEFINANCE(B1438,""Volume"")"),1207.0)</f>
        <v>1207</v>
      </c>
      <c r="F1438" s="14">
        <f t="array" ref="F1438">F1437</f>
        <v>14</v>
      </c>
      <c r="G1438" s="15" t="str">
        <f>IFERROR(__xludf.DUMMYFUNCTION("IF(E1438&gt;AVERAGE(INDEX(GOOGLEFINANCE(B1438,""volume"",WORKDAY(TODAY(),-$F$1),TODAY()),,2)),""Breakout"","""")"),"")</f>
        <v/>
      </c>
      <c r="H1438" s="16">
        <f>IFERROR(__xludf.DUMMYFUNCTION("GOOGLEFINANCE(B1438,""price"")"),200.2)</f>
        <v>200.2</v>
      </c>
      <c r="I1438" s="17">
        <f>IFERROR(__xludf.DUMMYFUNCTION("AVERAGE(QUERY(SORT(GOOGLEFINANCE(B1438,""price"",TODAY()-365,TODAY()),1,0),""select Col2 limit 10""))"),202.472)</f>
        <v>202.472</v>
      </c>
      <c r="J1438" s="17">
        <f>IFERROR(__xludf.DUMMYFUNCTION("AVERAGE(QUERY(SORT(GOOGLEFINANCE(B1438,""price"",TODAY()-365,TODAY()),1,0),""select Col2 limit 30""))"),203.64166666666668)</f>
        <v>203.6416667</v>
      </c>
      <c r="K1438" s="18">
        <f>IFERROR(__xludf.DUMMYFUNCTION("AVERAGE(QUERY(SORT(GOOGLEFINANCE(B1438,""price"",TODAY()-365,TODAY()),1,0),""select Col2 limit 60""))"),198.3048333333333)</f>
        <v>198.3048333</v>
      </c>
      <c r="L1438" s="17">
        <f>IFERROR(__xludf.DUMMYFUNCTION("AVERAGE(QUERY(SORT(GOOGLEFINANCE(B1438,""price"",TODAY()-365,TODAY()),1,0),""select Col2 limit 90""))"),194.2025555555556)</f>
        <v>194.2025556</v>
      </c>
      <c r="M1438" s="17">
        <f>IFERROR(__xludf.DUMMYFUNCTION("AVERAGE(QUERY(SORT(GOOGLEFINANCE(B1438,""price"",TODAY()-365,TODAY()),1,0),""select Col2 limit 120""))"),191.69458333333338)</f>
        <v>191.6945833</v>
      </c>
      <c r="N1438" s="19">
        <f>IFERROR(__xludf.DUMMYFUNCTION("AVERAGE(QUERY(SORT(GOOGLEFINANCE(B1438,""price"",TODAY()-365,TODAY()),1,0),""select Col2 limit 200""))"),198.81760000000006)</f>
        <v>198.8176</v>
      </c>
      <c r="O1438" s="20" t="str">
        <f t="shared" si="2"/>
        <v>Avoid</v>
      </c>
      <c r="P1438" s="21" t="str">
        <f t="shared" si="3"/>
        <v/>
      </c>
      <c r="Q1438" s="21" t="str">
        <f t="shared" si="4"/>
        <v/>
      </c>
      <c r="R1438" s="22">
        <f>IFERROR(__xludf.DUMMYFUNCTION("GOOGLEFINANCE(B1438, ""pe"")
"),5.98)</f>
        <v>5.98</v>
      </c>
    </row>
    <row r="1439">
      <c r="A1439" s="9" t="s">
        <v>1449</v>
      </c>
      <c r="B1439" s="11" t="str">
        <f t="shared" si="1"/>
        <v>NSE:HINDMOTORS</v>
      </c>
      <c r="C1439" s="12">
        <f>IFERROR(__xludf.DUMMYFUNCTION("GOOGLEFINANCE(B1439,""marketcap"")/10000000"),500.78232)</f>
        <v>500.78232</v>
      </c>
      <c r="D1439" s="13">
        <f>IFERROR(__xludf.DUMMYFUNCTION("GOOGLEFINANCE(B1439,""price"")"),24.05)</f>
        <v>24.05</v>
      </c>
      <c r="E1439" s="14">
        <f>IFERROR(__xludf.DUMMYFUNCTION("GOOGLEFINANCE(B1439,""Volume"")"),189704.0)</f>
        <v>189704</v>
      </c>
      <c r="F1439" s="14">
        <f t="array" ref="F1439">F1438</f>
        <v>14</v>
      </c>
      <c r="G1439" s="15" t="str">
        <f>IFERROR(__xludf.DUMMYFUNCTION("IF(E1439&gt;AVERAGE(INDEX(GOOGLEFINANCE(B1439,""volume"",WORKDAY(TODAY(),-$F$1),TODAY()),,2)),""Breakout"","""")"),"")</f>
        <v/>
      </c>
      <c r="H1439" s="16">
        <f>IFERROR(__xludf.DUMMYFUNCTION("GOOGLEFINANCE(B1439,""price"")"),24.05)</f>
        <v>24.05</v>
      </c>
      <c r="I1439" s="17">
        <f>IFERROR(__xludf.DUMMYFUNCTION("AVERAGE(QUERY(SORT(GOOGLEFINANCE(B1439,""price"",TODAY()-365,TODAY()),1,0),""select Col2 limit 10""))"),25.337)</f>
        <v>25.337</v>
      </c>
      <c r="J1439" s="17">
        <f>IFERROR(__xludf.DUMMYFUNCTION("AVERAGE(QUERY(SORT(GOOGLEFINANCE(B1439,""price"",TODAY()-365,TODAY()),1,0),""select Col2 limit 30""))"),27.968333333333337)</f>
        <v>27.96833333</v>
      </c>
      <c r="K1439" s="18">
        <f>IFERROR(__xludf.DUMMYFUNCTION("AVERAGE(QUERY(SORT(GOOGLEFINANCE(B1439,""price"",TODAY()-365,TODAY()),1,0),""select Col2 limit 60""))"),28.311333333333334)</f>
        <v>28.31133333</v>
      </c>
      <c r="L1439" s="17">
        <f>IFERROR(__xludf.DUMMYFUNCTION("AVERAGE(QUERY(SORT(GOOGLEFINANCE(B1439,""price"",TODAY()-365,TODAY()),1,0),""select Col2 limit 90""))"),26.876777777777782)</f>
        <v>26.87677778</v>
      </c>
      <c r="M1439" s="17">
        <f>IFERROR(__xludf.DUMMYFUNCTION("AVERAGE(QUERY(SORT(GOOGLEFINANCE(B1439,""price"",TODAY()-365,TODAY()),1,0),""select Col2 limit 120""))"),26.505666666666674)</f>
        <v>26.50566667</v>
      </c>
      <c r="N1439" s="19">
        <f>IFERROR(__xludf.DUMMYFUNCTION("AVERAGE(QUERY(SORT(GOOGLEFINANCE(B1439,""price"",TODAY()-365,TODAY()),1,0),""select Col2 limit 200""))"),26.1448)</f>
        <v>26.1448</v>
      </c>
      <c r="O1439" s="20" t="str">
        <f t="shared" si="2"/>
        <v>Avoid</v>
      </c>
      <c r="P1439" s="21" t="str">
        <f t="shared" si="3"/>
        <v/>
      </c>
      <c r="Q1439" s="21" t="str">
        <f t="shared" si="4"/>
        <v/>
      </c>
      <c r="R1439" s="22">
        <f>IFERROR(__xludf.DUMMYFUNCTION("GOOGLEFINANCE(B1439, ""pe"")
"),32.0)</f>
        <v>32</v>
      </c>
    </row>
    <row r="1440">
      <c r="A1440" s="9" t="s">
        <v>1450</v>
      </c>
      <c r="B1440" s="11" t="str">
        <f t="shared" si="1"/>
        <v>NSE:3IINFOLTD</v>
      </c>
      <c r="C1440" s="12">
        <f>IFERROR(__xludf.DUMMYFUNCTION("GOOGLEFINANCE(B1440,""marketcap"")/10000000"),396.7580104)</f>
        <v>396.7580104</v>
      </c>
      <c r="D1440" s="13">
        <f>IFERROR(__xludf.DUMMYFUNCTION("GOOGLEFINANCE(B1440,""price"")"),23.39)</f>
        <v>23.39</v>
      </c>
      <c r="E1440" s="14">
        <f>IFERROR(__xludf.DUMMYFUNCTION("GOOGLEFINANCE(B1440,""Volume"")"),248389.0)</f>
        <v>248389</v>
      </c>
      <c r="F1440" s="14">
        <f t="array" ref="F1440">F1439</f>
        <v>14</v>
      </c>
      <c r="G1440" s="15" t="str">
        <f>IFERROR(__xludf.DUMMYFUNCTION("IF(E1440&gt;AVERAGE(INDEX(GOOGLEFINANCE(B1440,""volume"",WORKDAY(TODAY(),-$F$1),TODAY()),,2)),""Breakout"","""")"),"")</f>
        <v/>
      </c>
      <c r="H1440" s="16">
        <f>IFERROR(__xludf.DUMMYFUNCTION("GOOGLEFINANCE(B1440,""price"")"),23.39)</f>
        <v>23.39</v>
      </c>
      <c r="I1440" s="17">
        <f>IFERROR(__xludf.DUMMYFUNCTION("AVERAGE(QUERY(SORT(GOOGLEFINANCE(B1440,""price"",TODAY()-365,TODAY()),1,0),""select Col2 limit 10""))"),24.468999999999998)</f>
        <v>24.469</v>
      </c>
      <c r="J1440" s="17">
        <f>IFERROR(__xludf.DUMMYFUNCTION("AVERAGE(QUERY(SORT(GOOGLEFINANCE(B1440,""price"",TODAY()-365,TODAY()),1,0),""select Col2 limit 30""))"),24.66733333333333)</f>
        <v>24.66733333</v>
      </c>
      <c r="K1440" s="18">
        <f>IFERROR(__xludf.DUMMYFUNCTION("AVERAGE(QUERY(SORT(GOOGLEFINANCE(B1440,""price"",TODAY()-365,TODAY()),1,0),""select Col2 limit 60""))"),24.70433333333332)</f>
        <v>24.70433333</v>
      </c>
      <c r="L1440" s="17">
        <f>IFERROR(__xludf.DUMMYFUNCTION("AVERAGE(QUERY(SORT(GOOGLEFINANCE(B1440,""price"",TODAY()-365,TODAY()),1,0),""select Col2 limit 90""))"),24.014444444444443)</f>
        <v>24.01444444</v>
      </c>
      <c r="M1440" s="17">
        <f>IFERROR(__xludf.DUMMYFUNCTION("AVERAGE(QUERY(SORT(GOOGLEFINANCE(B1440,""price"",TODAY()-365,TODAY()),1,0),""select Col2 limit 120""))"),24.502333333333336)</f>
        <v>24.50233333</v>
      </c>
      <c r="N1440" s="19">
        <f>IFERROR(__xludf.DUMMYFUNCTION("AVERAGE(QUERY(SORT(GOOGLEFINANCE(B1440,""price"",TODAY()-365,TODAY()),1,0),""select Col2 limit 200""))"),26.185649999999995)</f>
        <v>26.18565</v>
      </c>
      <c r="O1440" s="20" t="str">
        <f t="shared" si="2"/>
        <v>Avoid</v>
      </c>
      <c r="P1440" s="21" t="str">
        <f t="shared" si="3"/>
        <v/>
      </c>
      <c r="Q1440" s="21" t="str">
        <f t="shared" si="4"/>
        <v/>
      </c>
      <c r="R1440" s="22">
        <f>IFERROR(__xludf.DUMMYFUNCTION("GOOGLEFINANCE(B1440, ""pe"")
"),15.68)</f>
        <v>15.68</v>
      </c>
    </row>
    <row r="1441">
      <c r="A1441" s="9" t="s">
        <v>1451</v>
      </c>
      <c r="B1441" s="11" t="str">
        <f t="shared" si="1"/>
        <v>NSE:NOVAAGRI</v>
      </c>
      <c r="C1441" s="12">
        <f>IFERROR(__xludf.DUMMYFUNCTION("GOOGLEFINANCE(B1441,""marketcap"")/10000000"),521.3047183)</f>
        <v>521.3047183</v>
      </c>
      <c r="D1441" s="13">
        <f>IFERROR(__xludf.DUMMYFUNCTION("GOOGLEFINANCE(B1441,""price"")"),57.93)</f>
        <v>57.93</v>
      </c>
      <c r="E1441" s="14">
        <f>IFERROR(__xludf.DUMMYFUNCTION("GOOGLEFINANCE(B1441,""Volume"")"),154046.0)</f>
        <v>154046</v>
      </c>
      <c r="F1441" s="14">
        <f t="array" ref="F1441">F1440</f>
        <v>14</v>
      </c>
      <c r="G1441" s="15" t="str">
        <f>IFERROR(__xludf.DUMMYFUNCTION("IF(E1441&gt;AVERAGE(INDEX(GOOGLEFINANCE(B1441,""volume"",WORKDAY(TODAY(),-$F$1),TODAY()),,2)),""Breakout"","""")"),"")</f>
        <v/>
      </c>
      <c r="H1441" s="16">
        <f>IFERROR(__xludf.DUMMYFUNCTION("GOOGLEFINANCE(B1441,""price"")"),57.93)</f>
        <v>57.93</v>
      </c>
      <c r="I1441" s="17">
        <f>IFERROR(__xludf.DUMMYFUNCTION("AVERAGE(QUERY(SORT(GOOGLEFINANCE(B1441,""price"",TODAY()-365,TODAY()),1,0),""select Col2 limit 10""))"),58.234)</f>
        <v>58.234</v>
      </c>
      <c r="J1441" s="17">
        <f>IFERROR(__xludf.DUMMYFUNCTION("AVERAGE(QUERY(SORT(GOOGLEFINANCE(B1441,""price"",TODAY()-365,TODAY()),1,0),""select Col2 limit 30""))"),53.01266666666667)</f>
        <v>53.01266667</v>
      </c>
      <c r="K1441" s="18">
        <f>IFERROR(__xludf.DUMMYFUNCTION("AVERAGE(QUERY(SORT(GOOGLEFINANCE(B1441,""price"",TODAY()-365,TODAY()),1,0),""select Col2 limit 60""))"),50.96466666666665)</f>
        <v>50.96466667</v>
      </c>
      <c r="L1441" s="17">
        <f>IFERROR(__xludf.DUMMYFUNCTION("AVERAGE(QUERY(SORT(GOOGLEFINANCE(B1441,""price"",TODAY()-365,TODAY()),1,0),""select Col2 limit 90""))"),49.570444444444426)</f>
        <v>49.57044444</v>
      </c>
      <c r="M1441" s="17">
        <f>IFERROR(__xludf.DUMMYFUNCTION("AVERAGE(QUERY(SORT(GOOGLEFINANCE(B1441,""price"",TODAY()-365,TODAY()),1,0),""select Col2 limit 120""))"),50.739166666666634)</f>
        <v>50.73916667</v>
      </c>
      <c r="N1441" s="19">
        <f>IFERROR(__xludf.DUMMYFUNCTION("AVERAGE(QUERY(SORT(GOOGLEFINANCE(B1441,""price"",TODAY()-365,TODAY()),1,0),""select Col2 limit 200""))"),55.73995000000001)</f>
        <v>55.73995</v>
      </c>
      <c r="O1441" s="20" t="str">
        <f t="shared" si="2"/>
        <v>Avoid</v>
      </c>
      <c r="P1441" s="21" t="str">
        <f t="shared" si="3"/>
        <v>10 DMA</v>
      </c>
      <c r="Q1441" s="21" t="str">
        <f t="shared" si="4"/>
        <v/>
      </c>
      <c r="R1441" s="22">
        <f>IFERROR(__xludf.DUMMYFUNCTION("GOOGLEFINANCE(B1441, ""pe"")
"),19.03)</f>
        <v>19.03</v>
      </c>
    </row>
    <row r="1442">
      <c r="A1442" s="9" t="s">
        <v>1452</v>
      </c>
      <c r="B1442" s="11" t="str">
        <f t="shared" si="1"/>
        <v>NSE:HTMEDIA</v>
      </c>
      <c r="C1442" s="12">
        <f>IFERROR(__xludf.DUMMYFUNCTION("GOOGLEFINANCE(B1442,""marketcap"")/10000000"),548.6910241)</f>
        <v>548.6910241</v>
      </c>
      <c r="D1442" s="13">
        <f>IFERROR(__xludf.DUMMYFUNCTION("GOOGLEFINANCE(B1442,""price"")"),23.74)</f>
        <v>23.74</v>
      </c>
      <c r="E1442" s="14">
        <f>IFERROR(__xludf.DUMMYFUNCTION("GOOGLEFINANCE(B1442,""Volume"")"),94388.0)</f>
        <v>94388</v>
      </c>
      <c r="F1442" s="14">
        <f t="array" ref="F1442">F1441</f>
        <v>14</v>
      </c>
      <c r="G1442" s="15" t="str">
        <f>IFERROR(__xludf.DUMMYFUNCTION("IF(E1442&gt;AVERAGE(INDEX(GOOGLEFINANCE(B1442,""volume"",WORKDAY(TODAY(),-$F$1),TODAY()),,2)),""Breakout"","""")"),"")</f>
        <v/>
      </c>
      <c r="H1442" s="16">
        <f>IFERROR(__xludf.DUMMYFUNCTION("GOOGLEFINANCE(B1442,""price"")"),23.74)</f>
        <v>23.74</v>
      </c>
      <c r="I1442" s="17">
        <f>IFERROR(__xludf.DUMMYFUNCTION("AVERAGE(QUERY(SORT(GOOGLEFINANCE(B1442,""price"",TODAY()-365,TODAY()),1,0),""select Col2 limit 10""))"),22.848000000000003)</f>
        <v>22.848</v>
      </c>
      <c r="J1442" s="17">
        <f>IFERROR(__xludf.DUMMYFUNCTION("AVERAGE(QUERY(SORT(GOOGLEFINANCE(B1442,""price"",TODAY()-365,TODAY()),1,0),""select Col2 limit 30""))"),21.348000000000003)</f>
        <v>21.348</v>
      </c>
      <c r="K1442" s="18">
        <f>IFERROR(__xludf.DUMMYFUNCTION("AVERAGE(QUERY(SORT(GOOGLEFINANCE(B1442,""price"",TODAY()-365,TODAY()),1,0),""select Col2 limit 60""))"),20.0975)</f>
        <v>20.0975</v>
      </c>
      <c r="L1442" s="17">
        <f>IFERROR(__xludf.DUMMYFUNCTION("AVERAGE(QUERY(SORT(GOOGLEFINANCE(B1442,""price"",TODAY()-365,TODAY()),1,0),""select Col2 limit 90""))"),19.112777777777772)</f>
        <v>19.11277778</v>
      </c>
      <c r="M1442" s="17">
        <f>IFERROR(__xludf.DUMMYFUNCTION("AVERAGE(QUERY(SORT(GOOGLEFINANCE(B1442,""price"",TODAY()-365,TODAY()),1,0),""select Col2 limit 120""))"),19.212916666666665)</f>
        <v>19.21291667</v>
      </c>
      <c r="N1442" s="19">
        <f>IFERROR(__xludf.DUMMYFUNCTION("AVERAGE(QUERY(SORT(GOOGLEFINANCE(B1442,""price"",TODAY()-365,TODAY()),1,0),""select Col2 limit 200""))"),20.941999999999997)</f>
        <v>20.942</v>
      </c>
      <c r="O1442" s="20" t="str">
        <f t="shared" si="2"/>
        <v>Avoid</v>
      </c>
      <c r="P1442" s="21" t="str">
        <f t="shared" si="3"/>
        <v/>
      </c>
      <c r="Q1442" s="21" t="str">
        <f t="shared" si="4"/>
        <v/>
      </c>
      <c r="R1442" s="22">
        <f>IFERROR(__xludf.DUMMYFUNCTION("GOOGLEFINANCE(B1442, ""pe"")
"),296.63)</f>
        <v>296.63</v>
      </c>
    </row>
    <row r="1443">
      <c r="A1443" s="9" t="s">
        <v>1453</v>
      </c>
      <c r="B1443" s="11" t="str">
        <f t="shared" si="1"/>
        <v>NSE:MIRZAINT</v>
      </c>
      <c r="C1443" s="12">
        <f>IFERROR(__xludf.DUMMYFUNCTION("GOOGLEFINANCE(B1443,""marketcap"")/10000000"),467.2606428)</f>
        <v>467.2606428</v>
      </c>
      <c r="D1443" s="13">
        <f>IFERROR(__xludf.DUMMYFUNCTION("GOOGLEFINANCE(B1443,""price"")"),33.81)</f>
        <v>33.81</v>
      </c>
      <c r="E1443" s="14">
        <f>IFERROR(__xludf.DUMMYFUNCTION("GOOGLEFINANCE(B1443,""Volume"")"),355546.0)</f>
        <v>355546</v>
      </c>
      <c r="F1443" s="14">
        <f t="array" ref="F1443">F1442</f>
        <v>14</v>
      </c>
      <c r="G1443" s="15" t="str">
        <f>IFERROR(__xludf.DUMMYFUNCTION("IF(E1443&gt;AVERAGE(INDEX(GOOGLEFINANCE(B1443,""volume"",WORKDAY(TODAY(),-$F$1),TODAY()),,2)),""Breakout"","""")"),"")</f>
        <v/>
      </c>
      <c r="H1443" s="16">
        <f>IFERROR(__xludf.DUMMYFUNCTION("GOOGLEFINANCE(B1443,""price"")"),33.81)</f>
        <v>33.81</v>
      </c>
      <c r="I1443" s="17">
        <f>IFERROR(__xludf.DUMMYFUNCTION("AVERAGE(QUERY(SORT(GOOGLEFINANCE(B1443,""price"",TODAY()-365,TODAY()),1,0),""select Col2 limit 10""))"),33.019)</f>
        <v>33.019</v>
      </c>
      <c r="J1443" s="17">
        <f>IFERROR(__xludf.DUMMYFUNCTION("AVERAGE(QUERY(SORT(GOOGLEFINANCE(B1443,""price"",TODAY()-365,TODAY()),1,0),""select Col2 limit 30""))"),32.24733333333334)</f>
        <v>32.24733333</v>
      </c>
      <c r="K1443" s="18">
        <f>IFERROR(__xludf.DUMMYFUNCTION("AVERAGE(QUERY(SORT(GOOGLEFINANCE(B1443,""price"",TODAY()-365,TODAY()),1,0),""select Col2 limit 60""))"),31.47283333333333)</f>
        <v>31.47283333</v>
      </c>
      <c r="L1443" s="17">
        <f>IFERROR(__xludf.DUMMYFUNCTION("AVERAGE(QUERY(SORT(GOOGLEFINANCE(B1443,""price"",TODAY()-365,TODAY()),1,0),""select Col2 limit 90""))"),30.73744444444445)</f>
        <v>30.73744444</v>
      </c>
      <c r="M1443" s="17">
        <f>IFERROR(__xludf.DUMMYFUNCTION("AVERAGE(QUERY(SORT(GOOGLEFINANCE(B1443,""price"",TODAY()-365,TODAY()),1,0),""select Col2 limit 120""))"),31.19975)</f>
        <v>31.19975</v>
      </c>
      <c r="N1443" s="19">
        <f>IFERROR(__xludf.DUMMYFUNCTION("AVERAGE(QUERY(SORT(GOOGLEFINANCE(B1443,""price"",TODAY()-365,TODAY()),1,0),""select Col2 limit 200""))"),34.2859)</f>
        <v>34.2859</v>
      </c>
      <c r="O1443" s="20" t="str">
        <f t="shared" si="2"/>
        <v>Buy Above 200 DMA</v>
      </c>
      <c r="P1443" s="21" t="str">
        <f t="shared" si="3"/>
        <v/>
      </c>
      <c r="Q1443" s="21" t="str">
        <f t="shared" si="4"/>
        <v/>
      </c>
      <c r="R1443" s="22" t="str">
        <f>IFERROR(__xludf.DUMMYFUNCTION("GOOGLEFINANCE(B1443, ""pe"")
"),"#N/A")</f>
        <v>#N/A</v>
      </c>
    </row>
    <row r="1444">
      <c r="A1444" s="9" t="s">
        <v>1454</v>
      </c>
      <c r="B1444" s="11" t="str">
        <f t="shared" si="1"/>
        <v>NSE:GENUSPAPER</v>
      </c>
      <c r="C1444" s="12">
        <f>IFERROR(__xludf.DUMMYFUNCTION("GOOGLEFINANCE(B1444,""marketcap"")/10000000"),480.8254526)</f>
        <v>480.8254526</v>
      </c>
      <c r="D1444" s="13">
        <f>IFERROR(__xludf.DUMMYFUNCTION("GOOGLEFINANCE(B1444,""price"")"),18.7)</f>
        <v>18.7</v>
      </c>
      <c r="E1444" s="14">
        <f>IFERROR(__xludf.DUMMYFUNCTION("GOOGLEFINANCE(B1444,""Volume"")"),19670.0)</f>
        <v>19670</v>
      </c>
      <c r="F1444" s="14">
        <f t="array" ref="F1444">F1443</f>
        <v>14</v>
      </c>
      <c r="G1444" s="15" t="str">
        <f>IFERROR(__xludf.DUMMYFUNCTION("IF(E1444&gt;AVERAGE(INDEX(GOOGLEFINANCE(B1444,""volume"",WORKDAY(TODAY(),-$F$1),TODAY()),,2)),""Breakout"","""")"),"")</f>
        <v/>
      </c>
      <c r="H1444" s="16">
        <f>IFERROR(__xludf.DUMMYFUNCTION("GOOGLEFINANCE(B1444,""price"")"),18.7)</f>
        <v>18.7</v>
      </c>
      <c r="I1444" s="17">
        <f>IFERROR(__xludf.DUMMYFUNCTION("AVERAGE(QUERY(SORT(GOOGLEFINANCE(B1444,""price"",TODAY()-365,TODAY()),1,0),""select Col2 limit 10""))"),19.297000000000004)</f>
        <v>19.297</v>
      </c>
      <c r="J1444" s="17">
        <f>IFERROR(__xludf.DUMMYFUNCTION("AVERAGE(QUERY(SORT(GOOGLEFINANCE(B1444,""price"",TODAY()-365,TODAY()),1,0),""select Col2 limit 30""))"),19.415999999999997)</f>
        <v>19.416</v>
      </c>
      <c r="K1444" s="18">
        <f>IFERROR(__xludf.DUMMYFUNCTION("AVERAGE(QUERY(SORT(GOOGLEFINANCE(B1444,""price"",TODAY()-365,TODAY()),1,0),""select Col2 limit 60""))"),19.471666666666668)</f>
        <v>19.47166667</v>
      </c>
      <c r="L1444" s="17">
        <f>IFERROR(__xludf.DUMMYFUNCTION("AVERAGE(QUERY(SORT(GOOGLEFINANCE(B1444,""price"",TODAY()-365,TODAY()),1,0),""select Col2 limit 90""))"),19.20766666666666)</f>
        <v>19.20766667</v>
      </c>
      <c r="M1444" s="17">
        <f>IFERROR(__xludf.DUMMYFUNCTION("AVERAGE(QUERY(SORT(GOOGLEFINANCE(B1444,""price"",TODAY()-365,TODAY()),1,0),""select Col2 limit 120""))"),19.057499999999997)</f>
        <v>19.0575</v>
      </c>
      <c r="N1444" s="19">
        <f>IFERROR(__xludf.DUMMYFUNCTION("AVERAGE(QUERY(SORT(GOOGLEFINANCE(B1444,""price"",TODAY()-365,TODAY()),1,0),""select Col2 limit 200""))"),20.270099999999996)</f>
        <v>20.2701</v>
      </c>
      <c r="O1444" s="20" t="str">
        <f t="shared" si="2"/>
        <v>Avoid</v>
      </c>
      <c r="P1444" s="21" t="str">
        <f t="shared" si="3"/>
        <v/>
      </c>
      <c r="Q1444" s="21" t="str">
        <f t="shared" si="4"/>
        <v/>
      </c>
      <c r="R1444" s="22">
        <f>IFERROR(__xludf.DUMMYFUNCTION("GOOGLEFINANCE(B1444, ""pe"")
"),170.0)</f>
        <v>170</v>
      </c>
    </row>
    <row r="1445">
      <c r="A1445" s="9" t="s">
        <v>1455</v>
      </c>
      <c r="B1445" s="11" t="str">
        <f t="shared" si="1"/>
        <v>NSE:WANBURY</v>
      </c>
      <c r="C1445" s="12">
        <f>IFERROR(__xludf.DUMMYFUNCTION("GOOGLEFINANCE(B1445,""marketcap"")/10000000"),823.5360751)</f>
        <v>823.5360751</v>
      </c>
      <c r="D1445" s="13">
        <f>IFERROR(__xludf.DUMMYFUNCTION("GOOGLEFINANCE(B1445,""price"")"),246.25)</f>
        <v>246.25</v>
      </c>
      <c r="E1445" s="14">
        <f>IFERROR(__xludf.DUMMYFUNCTION("GOOGLEFINANCE(B1445,""Volume"")"),7728.0)</f>
        <v>7728</v>
      </c>
      <c r="F1445" s="14">
        <f t="array" ref="F1445">F1444</f>
        <v>14</v>
      </c>
      <c r="G1445" s="15" t="str">
        <f>IFERROR(__xludf.DUMMYFUNCTION("IF(E1445&gt;AVERAGE(INDEX(GOOGLEFINANCE(B1445,""volume"",WORKDAY(TODAY(),-$F$1),TODAY()),,2)),""Breakout"","""")"),"")</f>
        <v/>
      </c>
      <c r="H1445" s="16">
        <f>IFERROR(__xludf.DUMMYFUNCTION("GOOGLEFINANCE(B1445,""price"")"),246.25)</f>
        <v>246.25</v>
      </c>
      <c r="I1445" s="17">
        <f>IFERROR(__xludf.DUMMYFUNCTION("AVERAGE(QUERY(SORT(GOOGLEFINANCE(B1445,""price"",TODAY()-365,TODAY()),1,0),""select Col2 limit 10""))"),264.46000000000004)</f>
        <v>264.46</v>
      </c>
      <c r="J1445" s="17">
        <f>IFERROR(__xludf.DUMMYFUNCTION("AVERAGE(QUERY(SORT(GOOGLEFINANCE(B1445,""price"",TODAY()-365,TODAY()),1,0),""select Col2 limit 30""))"),274.0783333333333)</f>
        <v>274.0783333</v>
      </c>
      <c r="K1445" s="18">
        <f>IFERROR(__xludf.DUMMYFUNCTION("AVERAGE(QUERY(SORT(GOOGLEFINANCE(B1445,""price"",TODAY()-365,TODAY()),1,0),""select Col2 limit 60""))"),277.692)</f>
        <v>277.692</v>
      </c>
      <c r="L1445" s="17">
        <f>IFERROR(__xludf.DUMMYFUNCTION("AVERAGE(QUERY(SORT(GOOGLEFINANCE(B1445,""price"",TODAY()-365,TODAY()),1,0),""select Col2 limit 90""))"),267.8688888888889)</f>
        <v>267.8688889</v>
      </c>
      <c r="M1445" s="17">
        <f>IFERROR(__xludf.DUMMYFUNCTION("AVERAGE(QUERY(SORT(GOOGLEFINANCE(B1445,""price"",TODAY()-365,TODAY()),1,0),""select Col2 limit 120""))"),252.6025)</f>
        <v>252.6025</v>
      </c>
      <c r="N1445" s="19">
        <f>IFERROR(__xludf.DUMMYFUNCTION("AVERAGE(QUERY(SORT(GOOGLEFINANCE(B1445,""price"",TODAY()-365,TODAY()),1,0),""select Col2 limit 200""))"),253.24394999999987)</f>
        <v>253.24395</v>
      </c>
      <c r="O1445" s="20" t="str">
        <f t="shared" si="2"/>
        <v>Avoid</v>
      </c>
      <c r="P1445" s="21" t="str">
        <f t="shared" si="3"/>
        <v/>
      </c>
      <c r="Q1445" s="21" t="str">
        <f t="shared" si="4"/>
        <v/>
      </c>
      <c r="R1445" s="22">
        <f>IFERROR(__xludf.DUMMYFUNCTION("GOOGLEFINANCE(B1445, ""pe"")
"),27.42)</f>
        <v>27.42</v>
      </c>
    </row>
    <row r="1446">
      <c r="A1446" s="9" t="s">
        <v>1456</v>
      </c>
      <c r="B1446" s="11" t="str">
        <f t="shared" si="1"/>
        <v>NSE:RSSOFTWARE</v>
      </c>
      <c r="C1446" s="12">
        <f>IFERROR(__xludf.DUMMYFUNCTION("GOOGLEFINANCE(B1446,""marketcap"")/10000000"),213.9465482)</f>
        <v>213.9465482</v>
      </c>
      <c r="D1446" s="13">
        <f>IFERROR(__xludf.DUMMYFUNCTION("GOOGLEFINANCE(B1446,""price"")"),82.81)</f>
        <v>82.81</v>
      </c>
      <c r="E1446" s="14">
        <f>IFERROR(__xludf.DUMMYFUNCTION("GOOGLEFINANCE(B1446,""Volume"")"),851.0)</f>
        <v>851</v>
      </c>
      <c r="F1446" s="14">
        <f t="array" ref="F1446">F1445</f>
        <v>14</v>
      </c>
      <c r="G1446" s="15" t="str">
        <f>IFERROR(__xludf.DUMMYFUNCTION("IF(E1446&gt;AVERAGE(INDEX(GOOGLEFINANCE(B1446,""volume"",WORKDAY(TODAY(),-$F$1),TODAY()),,2)),""Breakout"","""")"),"")</f>
        <v/>
      </c>
      <c r="H1446" s="16">
        <f>IFERROR(__xludf.DUMMYFUNCTION("GOOGLEFINANCE(B1446,""price"")"),82.81)</f>
        <v>82.81</v>
      </c>
      <c r="I1446" s="17">
        <f>IFERROR(__xludf.DUMMYFUNCTION("AVERAGE(QUERY(SORT(GOOGLEFINANCE(B1446,""price"",TODAY()-365,TODAY()),1,0),""select Col2 limit 10""))"),87.228)</f>
        <v>87.228</v>
      </c>
      <c r="J1446" s="17">
        <f>IFERROR(__xludf.DUMMYFUNCTION("AVERAGE(QUERY(SORT(GOOGLEFINANCE(B1446,""price"",TODAY()-365,TODAY()),1,0),""select Col2 limit 30""))"),78.66466666666665)</f>
        <v>78.66466667</v>
      </c>
      <c r="K1446" s="18">
        <f>IFERROR(__xludf.DUMMYFUNCTION("AVERAGE(QUERY(SORT(GOOGLEFINANCE(B1446,""price"",TODAY()-365,TODAY()),1,0),""select Col2 limit 60""))"),68.15733333333331)</f>
        <v>68.15733333</v>
      </c>
      <c r="L1446" s="17">
        <f>IFERROR(__xludf.DUMMYFUNCTION("AVERAGE(QUERY(SORT(GOOGLEFINANCE(B1446,""price"",TODAY()-365,TODAY()),1,0),""select Col2 limit 90""))"),67.68744444444444)</f>
        <v>67.68744444</v>
      </c>
      <c r="M1446" s="17">
        <f>IFERROR(__xludf.DUMMYFUNCTION("AVERAGE(QUERY(SORT(GOOGLEFINANCE(B1446,""price"",TODAY()-365,TODAY()),1,0),""select Col2 limit 120""))"),75.94224999999999)</f>
        <v>75.94225</v>
      </c>
      <c r="N1446" s="19">
        <f>IFERROR(__xludf.DUMMYFUNCTION("AVERAGE(QUERY(SORT(GOOGLEFINANCE(B1446,""price"",TODAY()-365,TODAY()),1,0),""select Col2 limit 200""))"),134.69015)</f>
        <v>134.69015</v>
      </c>
      <c r="O1446" s="20" t="str">
        <f t="shared" si="2"/>
        <v>Avoid</v>
      </c>
      <c r="P1446" s="21" t="str">
        <f t="shared" si="3"/>
        <v/>
      </c>
      <c r="Q1446" s="21" t="str">
        <f t="shared" si="4"/>
        <v/>
      </c>
      <c r="R1446" s="22">
        <f>IFERROR(__xludf.DUMMYFUNCTION("GOOGLEFINANCE(B1446, ""pe"")
"),273.2)</f>
        <v>273.2</v>
      </c>
    </row>
    <row r="1447">
      <c r="A1447" s="9" t="s">
        <v>1457</v>
      </c>
      <c r="B1447" s="11" t="str">
        <f t="shared" si="1"/>
        <v>NSE:LGHL</v>
      </c>
      <c r="C1447" s="12">
        <f>IFERROR(__xludf.DUMMYFUNCTION("GOOGLEFINANCE(B1447,""marketcap"")/10000000"),1591.1684831)</f>
        <v>1591.168483</v>
      </c>
      <c r="D1447" s="13">
        <f>IFERROR(__xludf.DUMMYFUNCTION("GOOGLEFINANCE(B1447,""price"")"),762.4)</f>
        <v>762.4</v>
      </c>
      <c r="E1447" s="14">
        <f>IFERROR(__xludf.DUMMYFUNCTION("GOOGLEFINANCE(B1447,""Volume"")"),31204.0)</f>
        <v>31204</v>
      </c>
      <c r="F1447" s="14">
        <f t="array" ref="F1447">F1446</f>
        <v>14</v>
      </c>
      <c r="G1447" s="15" t="str">
        <f>IFERROR(__xludf.DUMMYFUNCTION("IF(E1447&gt;AVERAGE(INDEX(GOOGLEFINANCE(B1447,""volume"",WORKDAY(TODAY(),-$F$1),TODAY()),,2)),""Breakout"","""")"),"")</f>
        <v/>
      </c>
      <c r="H1447" s="16">
        <f>IFERROR(__xludf.DUMMYFUNCTION("GOOGLEFINANCE(B1447,""price"")"),762.4)</f>
        <v>762.4</v>
      </c>
      <c r="I1447" s="17">
        <f>IFERROR(__xludf.DUMMYFUNCTION("AVERAGE(QUERY(SORT(GOOGLEFINANCE(B1447,""price"",TODAY()-365,TODAY()),1,0),""select Col2 limit 10""))"),818.0000000000001)</f>
        <v>818</v>
      </c>
      <c r="J1447" s="17">
        <f>IFERROR(__xludf.DUMMYFUNCTION("AVERAGE(QUERY(SORT(GOOGLEFINANCE(B1447,""price"",TODAY()-365,TODAY()),1,0),""select Col2 limit 30""))"),765.7116666666667)</f>
        <v>765.7116667</v>
      </c>
      <c r="K1447" s="18">
        <f>IFERROR(__xludf.DUMMYFUNCTION("AVERAGE(QUERY(SORT(GOOGLEFINANCE(B1447,""price"",TODAY()-365,TODAY()),1,0),""select Col2 limit 60""))"),664.1449999999999)</f>
        <v>664.145</v>
      </c>
      <c r="L1447" s="17">
        <f>IFERROR(__xludf.DUMMYFUNCTION("AVERAGE(QUERY(SORT(GOOGLEFINANCE(B1447,""price"",TODAY()-365,TODAY()),1,0),""select Col2 limit 90""))"),617.3899999999999)</f>
        <v>617.39</v>
      </c>
      <c r="M1447" s="17">
        <f>IFERROR(__xludf.DUMMYFUNCTION("AVERAGE(QUERY(SORT(GOOGLEFINANCE(B1447,""price"",TODAY()-365,TODAY()),1,0),""select Col2 limit 120""))"),610.5549999999998)</f>
        <v>610.555</v>
      </c>
      <c r="N1447" s="19">
        <f>IFERROR(__xludf.DUMMYFUNCTION("AVERAGE(QUERY(SORT(GOOGLEFINANCE(B1447,""price"",TODAY()-365,TODAY()),1,0),""select Col2 limit 200""))"),528.00925)</f>
        <v>528.00925</v>
      </c>
      <c r="O1447" s="20" t="str">
        <f t="shared" si="2"/>
        <v>Avoid</v>
      </c>
      <c r="P1447" s="21" t="str">
        <f t="shared" si="3"/>
        <v>30 DMA</v>
      </c>
      <c r="Q1447" s="21" t="str">
        <f t="shared" si="4"/>
        <v/>
      </c>
      <c r="R1447" s="22">
        <f>IFERROR(__xludf.DUMMYFUNCTION("GOOGLEFINANCE(B1447, ""pe"")
"),151.57)</f>
        <v>151.57</v>
      </c>
    </row>
    <row r="1448">
      <c r="A1448" s="9" t="s">
        <v>1458</v>
      </c>
      <c r="B1448" s="11" t="str">
        <f t="shared" si="1"/>
        <v>NSE:BPL</v>
      </c>
      <c r="C1448" s="12">
        <f>IFERROR(__xludf.DUMMYFUNCTION("GOOGLEFINANCE(B1448,""marketcap"")/10000000"),417.9099983)</f>
        <v>417.9099983</v>
      </c>
      <c r="D1448" s="13">
        <f>IFERROR(__xludf.DUMMYFUNCTION("GOOGLEFINANCE(B1448,""price"")"),85.14)</f>
        <v>85.14</v>
      </c>
      <c r="E1448" s="14">
        <f>IFERROR(__xludf.DUMMYFUNCTION("GOOGLEFINANCE(B1448,""Volume"")"),11979.0)</f>
        <v>11979</v>
      </c>
      <c r="F1448" s="14">
        <f t="array" ref="F1448">F1447</f>
        <v>14</v>
      </c>
      <c r="G1448" s="15" t="str">
        <f>IFERROR(__xludf.DUMMYFUNCTION("IF(E1448&gt;AVERAGE(INDEX(GOOGLEFINANCE(B1448,""volume"",WORKDAY(TODAY(),-$F$1),TODAY()),,2)),""Breakout"","""")"),"")</f>
        <v/>
      </c>
      <c r="H1448" s="16">
        <f>IFERROR(__xludf.DUMMYFUNCTION("GOOGLEFINANCE(B1448,""price"")"),85.14)</f>
        <v>85.14</v>
      </c>
      <c r="I1448" s="17">
        <f>IFERROR(__xludf.DUMMYFUNCTION("AVERAGE(QUERY(SORT(GOOGLEFINANCE(B1448,""price"",TODAY()-365,TODAY()),1,0),""select Col2 limit 10""))"),86.58199999999998)</f>
        <v>86.582</v>
      </c>
      <c r="J1448" s="17">
        <f>IFERROR(__xludf.DUMMYFUNCTION("AVERAGE(QUERY(SORT(GOOGLEFINANCE(B1448,""price"",TODAY()-365,TODAY()),1,0),""select Col2 limit 30""))"),89.59566666666666)</f>
        <v>89.59566667</v>
      </c>
      <c r="K1448" s="18">
        <f>IFERROR(__xludf.DUMMYFUNCTION("AVERAGE(QUERY(SORT(GOOGLEFINANCE(B1448,""price"",TODAY()-365,TODAY()),1,0),""select Col2 limit 60""))"),85.819)</f>
        <v>85.819</v>
      </c>
      <c r="L1448" s="17">
        <f>IFERROR(__xludf.DUMMYFUNCTION("AVERAGE(QUERY(SORT(GOOGLEFINANCE(B1448,""price"",TODAY()-365,TODAY()),1,0),""select Col2 limit 90""))"),81.60277777777777)</f>
        <v>81.60277778</v>
      </c>
      <c r="M1448" s="17">
        <f>IFERROR(__xludf.DUMMYFUNCTION("AVERAGE(QUERY(SORT(GOOGLEFINANCE(B1448,""price"",TODAY()-365,TODAY()),1,0),""select Col2 limit 120""))"),82.03891666666665)</f>
        <v>82.03891667</v>
      </c>
      <c r="N1448" s="19">
        <f>IFERROR(__xludf.DUMMYFUNCTION("AVERAGE(QUERY(SORT(GOOGLEFINANCE(B1448,""price"",TODAY()-365,TODAY()),1,0),""select Col2 limit 200""))"),92.8965)</f>
        <v>92.8965</v>
      </c>
      <c r="O1448" s="20" t="str">
        <f t="shared" si="2"/>
        <v>Avoid</v>
      </c>
      <c r="P1448" s="21" t="str">
        <f t="shared" si="3"/>
        <v>60 DMA</v>
      </c>
      <c r="Q1448" s="21" t="str">
        <f t="shared" si="4"/>
        <v/>
      </c>
      <c r="R1448" s="22">
        <f>IFERROR(__xludf.DUMMYFUNCTION("GOOGLEFINANCE(B1448, ""pe"")
"),6.31)</f>
        <v>6.31</v>
      </c>
    </row>
    <row r="1449">
      <c r="A1449" s="9" t="s">
        <v>1459</v>
      </c>
      <c r="B1449" s="11" t="str">
        <f t="shared" si="1"/>
        <v>NSE:AARTISURF</v>
      </c>
      <c r="C1449" s="12">
        <f>IFERROR(__xludf.DUMMYFUNCTION("GOOGLEFINANCE(B1449,""marketcap"")/10000000"),478.7069892)</f>
        <v>478.7069892</v>
      </c>
      <c r="D1449" s="13">
        <f>IFERROR(__xludf.DUMMYFUNCTION("GOOGLEFINANCE(B1449,""price"")"),548.0)</f>
        <v>548</v>
      </c>
      <c r="E1449" s="14">
        <f>IFERROR(__xludf.DUMMYFUNCTION("GOOGLEFINANCE(B1449,""Volume"")"),2772.0)</f>
        <v>2772</v>
      </c>
      <c r="F1449" s="14">
        <f t="array" ref="F1449">F1448</f>
        <v>14</v>
      </c>
      <c r="G1449" s="15" t="str">
        <f>IFERROR(__xludf.DUMMYFUNCTION("IF(E1449&gt;AVERAGE(INDEX(GOOGLEFINANCE(B1449,""volume"",WORKDAY(TODAY(),-$F$1),TODAY()),,2)),""Breakout"","""")"),"")</f>
        <v/>
      </c>
      <c r="H1449" s="16">
        <f>IFERROR(__xludf.DUMMYFUNCTION("GOOGLEFINANCE(B1449,""price"")"),548.0)</f>
        <v>548</v>
      </c>
      <c r="I1449" s="17" t="str">
        <f>IFERROR(__xludf.DUMMYFUNCTION("AVERAGE(QUERY(SORT(GOOGLEFINANCE(B1449,""price"",TODAY()-365,TODAY()),1,0),""select Col2 limit 10""))"),"#N/A")</f>
        <v>#N/A</v>
      </c>
      <c r="J1449" s="17" t="str">
        <f>IFERROR(__xludf.DUMMYFUNCTION("AVERAGE(QUERY(SORT(GOOGLEFINANCE(B1449,""price"",TODAY()-365,TODAY()),1,0),""select Col2 limit 30""))"),"#N/A")</f>
        <v>#N/A</v>
      </c>
      <c r="K1449" s="18" t="str">
        <f>IFERROR(__xludf.DUMMYFUNCTION("AVERAGE(QUERY(SORT(GOOGLEFINANCE(B1449,""price"",TODAY()-365,TODAY()),1,0),""select Col2 limit 60""))"),"#N/A")</f>
        <v>#N/A</v>
      </c>
      <c r="L1449" s="17" t="str">
        <f>IFERROR(__xludf.DUMMYFUNCTION("AVERAGE(QUERY(SORT(GOOGLEFINANCE(B1449,""price"",TODAY()-365,TODAY()),1,0),""select Col2 limit 90""))"),"#N/A")</f>
        <v>#N/A</v>
      </c>
      <c r="M1449" s="17" t="str">
        <f>IFERROR(__xludf.DUMMYFUNCTION("AVERAGE(QUERY(SORT(GOOGLEFINANCE(B1449,""price"",TODAY()-365,TODAY()),1,0),""select Col2 limit 120""))"),"#N/A")</f>
        <v>#N/A</v>
      </c>
      <c r="N1449" s="19" t="str">
        <f>IFERROR(__xludf.DUMMYFUNCTION("AVERAGE(QUERY(SORT(GOOGLEFINANCE(B1449,""price"",TODAY()-365,TODAY()),1,0),""select Col2 limit 200""))"),"#N/A")</f>
        <v>#N/A</v>
      </c>
      <c r="O1449" s="20" t="str">
        <f t="shared" si="2"/>
        <v>#N/A</v>
      </c>
      <c r="P1449" s="21" t="str">
        <f t="shared" si="3"/>
        <v>#N/A</v>
      </c>
      <c r="Q1449" s="21" t="str">
        <f t="shared" si="4"/>
        <v>#N/A</v>
      </c>
      <c r="R1449" s="22">
        <f>IFERROR(__xludf.DUMMYFUNCTION("GOOGLEFINANCE(B1449, ""pe"")
"),30.94)</f>
        <v>30.94</v>
      </c>
    </row>
    <row r="1450">
      <c r="A1450" s="9" t="s">
        <v>1459</v>
      </c>
      <c r="B1450" s="11" t="str">
        <f t="shared" si="1"/>
        <v>NSE:AARTISURF</v>
      </c>
      <c r="C1450" s="12">
        <f>IFERROR(__xludf.DUMMYFUNCTION("GOOGLEFINANCE(B1450,""marketcap"")/10000000"),478.7069892)</f>
        <v>478.7069892</v>
      </c>
      <c r="D1450" s="13">
        <f>IFERROR(__xludf.DUMMYFUNCTION("GOOGLEFINANCE(B1450,""price"")"),548.0)</f>
        <v>548</v>
      </c>
      <c r="E1450" s="14">
        <f>IFERROR(__xludf.DUMMYFUNCTION("GOOGLEFINANCE(B1450,""Volume"")"),2772.0)</f>
        <v>2772</v>
      </c>
      <c r="F1450" s="14">
        <f t="array" ref="F1450">F1449</f>
        <v>14</v>
      </c>
      <c r="G1450" s="15" t="str">
        <f>IFERROR(__xludf.DUMMYFUNCTION("IF(E1450&gt;AVERAGE(INDEX(GOOGLEFINANCE(B1450,""volume"",WORKDAY(TODAY(),-$F$1),TODAY()),,2)),""Breakout"","""")"),"")</f>
        <v/>
      </c>
      <c r="H1450" s="16">
        <f>IFERROR(__xludf.DUMMYFUNCTION("GOOGLEFINANCE(B1450,""price"")"),548.0)</f>
        <v>548</v>
      </c>
      <c r="I1450" s="17" t="str">
        <f>IFERROR(__xludf.DUMMYFUNCTION("AVERAGE(QUERY(SORT(GOOGLEFINANCE(B1450,""price"",TODAY()-365,TODAY()),1,0),""select Col2 limit 10""))"),"#N/A")</f>
        <v>#N/A</v>
      </c>
      <c r="J1450" s="17" t="str">
        <f>IFERROR(__xludf.DUMMYFUNCTION("AVERAGE(QUERY(SORT(GOOGLEFINANCE(B1450,""price"",TODAY()-365,TODAY()),1,0),""select Col2 limit 30""))"),"#N/A")</f>
        <v>#N/A</v>
      </c>
      <c r="K1450" s="18" t="str">
        <f>IFERROR(__xludf.DUMMYFUNCTION("AVERAGE(QUERY(SORT(GOOGLEFINANCE(B1450,""price"",TODAY()-365,TODAY()),1,0),""select Col2 limit 60""))"),"#N/A")</f>
        <v>#N/A</v>
      </c>
      <c r="L1450" s="17" t="str">
        <f>IFERROR(__xludf.DUMMYFUNCTION("AVERAGE(QUERY(SORT(GOOGLEFINANCE(B1450,""price"",TODAY()-365,TODAY()),1,0),""select Col2 limit 90""))"),"#N/A")</f>
        <v>#N/A</v>
      </c>
      <c r="M1450" s="17" t="str">
        <f>IFERROR(__xludf.DUMMYFUNCTION("AVERAGE(QUERY(SORT(GOOGLEFINANCE(B1450,""price"",TODAY()-365,TODAY()),1,0),""select Col2 limit 120""))"),"#N/A")</f>
        <v>#N/A</v>
      </c>
      <c r="N1450" s="19" t="str">
        <f>IFERROR(__xludf.DUMMYFUNCTION("AVERAGE(QUERY(SORT(GOOGLEFINANCE(B1450,""price"",TODAY()-365,TODAY()),1,0),""select Col2 limit 200""))"),"#N/A")</f>
        <v>#N/A</v>
      </c>
      <c r="O1450" s="20" t="str">
        <f t="shared" si="2"/>
        <v>#N/A</v>
      </c>
      <c r="P1450" s="21" t="str">
        <f t="shared" si="3"/>
        <v>#N/A</v>
      </c>
      <c r="Q1450" s="21" t="str">
        <f t="shared" si="4"/>
        <v>#N/A</v>
      </c>
      <c r="R1450" s="22">
        <f>IFERROR(__xludf.DUMMYFUNCTION("GOOGLEFINANCE(B1450, ""pe"")
"),30.94)</f>
        <v>30.94</v>
      </c>
    </row>
    <row r="1451">
      <c r="A1451" s="9" t="s">
        <v>1460</v>
      </c>
      <c r="B1451" s="11" t="str">
        <f t="shared" si="1"/>
        <v>NSE:ORIENTCER</v>
      </c>
      <c r="C1451" s="12">
        <f>IFERROR(__xludf.DUMMYFUNCTION("GOOGLEFINANCE(B1451,""marketcap"")/10000000"),516.1235)</f>
        <v>516.1235</v>
      </c>
      <c r="D1451" s="13">
        <f>IFERROR(__xludf.DUMMYFUNCTION("GOOGLEFINANCE(B1451,""price"")"),42.22)</f>
        <v>42.22</v>
      </c>
      <c r="E1451" s="14">
        <f>IFERROR(__xludf.DUMMYFUNCTION("GOOGLEFINANCE(B1451,""Volume"")"),16829.0)</f>
        <v>16829</v>
      </c>
      <c r="F1451" s="14">
        <f t="array" ref="F1451">F1450</f>
        <v>14</v>
      </c>
      <c r="G1451" s="15" t="str">
        <f>IFERROR(__xludf.DUMMYFUNCTION("IF(E1451&gt;AVERAGE(INDEX(GOOGLEFINANCE(B1451,""volume"",WORKDAY(TODAY(),-$F$1),TODAY()),,2)),""Breakout"","""")"),"")</f>
        <v/>
      </c>
      <c r="H1451" s="16">
        <f>IFERROR(__xludf.DUMMYFUNCTION("GOOGLEFINANCE(B1451,""price"")"),42.22)</f>
        <v>42.22</v>
      </c>
      <c r="I1451" s="17">
        <f>IFERROR(__xludf.DUMMYFUNCTION("AVERAGE(QUERY(SORT(GOOGLEFINANCE(B1451,""price"",TODAY()-365,TODAY()),1,0),""select Col2 limit 10""))"),43.055)</f>
        <v>43.055</v>
      </c>
      <c r="J1451" s="17">
        <f>IFERROR(__xludf.DUMMYFUNCTION("AVERAGE(QUERY(SORT(GOOGLEFINANCE(B1451,""price"",TODAY()-365,TODAY()),1,0),""select Col2 limit 30""))"),39.40133333333334)</f>
        <v>39.40133333</v>
      </c>
      <c r="K1451" s="18">
        <f>IFERROR(__xludf.DUMMYFUNCTION("AVERAGE(QUERY(SORT(GOOGLEFINANCE(B1451,""price"",TODAY()-365,TODAY()),1,0),""select Col2 limit 60""))"),37.62433333333333)</f>
        <v>37.62433333</v>
      </c>
      <c r="L1451" s="17">
        <f>IFERROR(__xludf.DUMMYFUNCTION("AVERAGE(QUERY(SORT(GOOGLEFINANCE(B1451,""price"",TODAY()-365,TODAY()),1,0),""select Col2 limit 90""))"),36.21333333333333)</f>
        <v>36.21333333</v>
      </c>
      <c r="M1451" s="17">
        <f>IFERROR(__xludf.DUMMYFUNCTION("AVERAGE(QUERY(SORT(GOOGLEFINANCE(B1451,""price"",TODAY()-365,TODAY()),1,0),""select Col2 limit 120""))"),36.88441666666667)</f>
        <v>36.88441667</v>
      </c>
      <c r="N1451" s="19">
        <f>IFERROR(__xludf.DUMMYFUNCTION("AVERAGE(QUERY(SORT(GOOGLEFINANCE(B1451,""price"",TODAY()-365,TODAY()),1,0),""select Col2 limit 200""))"),41.002849999999995)</f>
        <v>41.00285</v>
      </c>
      <c r="O1451" s="20" t="str">
        <f t="shared" si="2"/>
        <v>Avoid</v>
      </c>
      <c r="P1451" s="21" t="str">
        <f t="shared" si="3"/>
        <v/>
      </c>
      <c r="Q1451" s="21" t="str">
        <f t="shared" si="4"/>
        <v/>
      </c>
      <c r="R1451" s="22" t="str">
        <f>IFERROR(__xludf.DUMMYFUNCTION("GOOGLEFINANCE(B1451, ""pe"")
"),"#N/A")</f>
        <v>#N/A</v>
      </c>
    </row>
    <row r="1452">
      <c r="A1452" s="9" t="s">
        <v>1461</v>
      </c>
      <c r="B1452" s="11" t="str">
        <f t="shared" si="1"/>
        <v>NSE:RADIOCITY</v>
      </c>
      <c r="C1452" s="12">
        <f>IFERROR(__xludf.DUMMYFUNCTION("GOOGLEFINANCE(B1452,""marketcap"")/10000000"),401.5011264)</f>
        <v>401.5011264</v>
      </c>
      <c r="D1452" s="13">
        <f>IFERROR(__xludf.DUMMYFUNCTION("GOOGLEFINANCE(B1452,""price"")"),8.79)</f>
        <v>8.79</v>
      </c>
      <c r="E1452" s="14">
        <f>IFERROR(__xludf.DUMMYFUNCTION("GOOGLEFINANCE(B1452,""Volume"")"),67719.0)</f>
        <v>67719</v>
      </c>
      <c r="F1452" s="14">
        <f t="array" ref="F1452">F1451</f>
        <v>14</v>
      </c>
      <c r="G1452" s="15" t="str">
        <f>IFERROR(__xludf.DUMMYFUNCTION("IF(E1452&gt;AVERAGE(INDEX(GOOGLEFINANCE(B1452,""volume"",WORKDAY(TODAY(),-$F$1),TODAY()),,2)),""Breakout"","""")"),"")</f>
        <v/>
      </c>
      <c r="H1452" s="16">
        <f>IFERROR(__xludf.DUMMYFUNCTION("GOOGLEFINANCE(B1452,""price"")"),8.79)</f>
        <v>8.79</v>
      </c>
      <c r="I1452" s="17">
        <f>IFERROR(__xludf.DUMMYFUNCTION("AVERAGE(QUERY(SORT(GOOGLEFINANCE(B1452,""price"",TODAY()-365,TODAY()),1,0),""select Col2 limit 10""))"),9.14)</f>
        <v>9.14</v>
      </c>
      <c r="J1452" s="17">
        <f>IFERROR(__xludf.DUMMYFUNCTION("AVERAGE(QUERY(SORT(GOOGLEFINANCE(B1452,""price"",TODAY()-365,TODAY()),1,0),""select Col2 limit 30""))"),9.051999999999998)</f>
        <v>9.052</v>
      </c>
      <c r="K1452" s="18">
        <f>IFERROR(__xludf.DUMMYFUNCTION("AVERAGE(QUERY(SORT(GOOGLEFINANCE(B1452,""price"",TODAY()-365,TODAY()),1,0),""select Col2 limit 60""))"),9.271333333333335)</f>
        <v>9.271333333</v>
      </c>
      <c r="L1452" s="17">
        <f>IFERROR(__xludf.DUMMYFUNCTION("AVERAGE(QUERY(SORT(GOOGLEFINANCE(B1452,""price"",TODAY()-365,TODAY()),1,0),""select Col2 limit 90""))"),9.403222222222224)</f>
        <v>9.403222222</v>
      </c>
      <c r="M1452" s="17">
        <f>IFERROR(__xludf.DUMMYFUNCTION("AVERAGE(QUERY(SORT(GOOGLEFINANCE(B1452,""price"",TODAY()-365,TODAY()),1,0),""select Col2 limit 120""))"),9.660833333333334)</f>
        <v>9.660833333</v>
      </c>
      <c r="N1452" s="19">
        <f>IFERROR(__xludf.DUMMYFUNCTION("AVERAGE(QUERY(SORT(GOOGLEFINANCE(B1452,""price"",TODAY()-365,TODAY()),1,0),""select Col2 limit 200""))"),11.017499999999998)</f>
        <v>11.0175</v>
      </c>
      <c r="O1452" s="20" t="str">
        <f t="shared" si="2"/>
        <v>Avoid</v>
      </c>
      <c r="P1452" s="21" t="str">
        <f t="shared" si="3"/>
        <v/>
      </c>
      <c r="Q1452" s="21" t="str">
        <f t="shared" si="4"/>
        <v/>
      </c>
      <c r="R1452" s="22" t="str">
        <f>IFERROR(__xludf.DUMMYFUNCTION("GOOGLEFINANCE(B1452, ""pe"")
"),"#N/A")</f>
        <v>#N/A</v>
      </c>
    </row>
    <row r="1453">
      <c r="A1453" s="9" t="s">
        <v>1461</v>
      </c>
      <c r="B1453" s="11" t="str">
        <f t="shared" si="1"/>
        <v>NSE:RADIOCITY</v>
      </c>
      <c r="C1453" s="12">
        <f>IFERROR(__xludf.DUMMYFUNCTION("GOOGLEFINANCE(B1453,""marketcap"")/10000000"),401.5011264)</f>
        <v>401.5011264</v>
      </c>
      <c r="D1453" s="13">
        <f>IFERROR(__xludf.DUMMYFUNCTION("GOOGLEFINANCE(B1453,""price"")"),8.79)</f>
        <v>8.79</v>
      </c>
      <c r="E1453" s="14">
        <f>IFERROR(__xludf.DUMMYFUNCTION("GOOGLEFINANCE(B1453,""Volume"")"),67719.0)</f>
        <v>67719</v>
      </c>
      <c r="F1453" s="14">
        <f t="array" ref="F1453">F1452</f>
        <v>14</v>
      </c>
      <c r="G1453" s="15" t="str">
        <f>IFERROR(__xludf.DUMMYFUNCTION("IF(E1453&gt;AVERAGE(INDEX(GOOGLEFINANCE(B1453,""volume"",WORKDAY(TODAY(),-$F$1),TODAY()),,2)),""Breakout"","""")"),"")</f>
        <v/>
      </c>
      <c r="H1453" s="16">
        <f>IFERROR(__xludf.DUMMYFUNCTION("GOOGLEFINANCE(B1453,""price"")"),8.79)</f>
        <v>8.79</v>
      </c>
      <c r="I1453" s="17">
        <f>IFERROR(__xludf.DUMMYFUNCTION("AVERAGE(QUERY(SORT(GOOGLEFINANCE(B1453,""price"",TODAY()-365,TODAY()),1,0),""select Col2 limit 10""))"),9.14)</f>
        <v>9.14</v>
      </c>
      <c r="J1453" s="17">
        <f>IFERROR(__xludf.DUMMYFUNCTION("AVERAGE(QUERY(SORT(GOOGLEFINANCE(B1453,""price"",TODAY()-365,TODAY()),1,0),""select Col2 limit 30""))"),9.051999999999998)</f>
        <v>9.052</v>
      </c>
      <c r="K1453" s="18">
        <f>IFERROR(__xludf.DUMMYFUNCTION("AVERAGE(QUERY(SORT(GOOGLEFINANCE(B1453,""price"",TODAY()-365,TODAY()),1,0),""select Col2 limit 60""))"),9.271333333333335)</f>
        <v>9.271333333</v>
      </c>
      <c r="L1453" s="17">
        <f>IFERROR(__xludf.DUMMYFUNCTION("AVERAGE(QUERY(SORT(GOOGLEFINANCE(B1453,""price"",TODAY()-365,TODAY()),1,0),""select Col2 limit 90""))"),9.403222222222224)</f>
        <v>9.403222222</v>
      </c>
      <c r="M1453" s="17">
        <f>IFERROR(__xludf.DUMMYFUNCTION("AVERAGE(QUERY(SORT(GOOGLEFINANCE(B1453,""price"",TODAY()-365,TODAY()),1,0),""select Col2 limit 120""))"),9.660833333333334)</f>
        <v>9.660833333</v>
      </c>
      <c r="N1453" s="19">
        <f>IFERROR(__xludf.DUMMYFUNCTION("AVERAGE(QUERY(SORT(GOOGLEFINANCE(B1453,""price"",TODAY()-365,TODAY()),1,0),""select Col2 limit 200""))"),11.017499999999998)</f>
        <v>11.0175</v>
      </c>
      <c r="O1453" s="20" t="str">
        <f t="shared" si="2"/>
        <v>Avoid</v>
      </c>
      <c r="P1453" s="21" t="str">
        <f t="shared" si="3"/>
        <v/>
      </c>
      <c r="Q1453" s="21" t="str">
        <f t="shared" si="4"/>
        <v/>
      </c>
      <c r="R1453" s="22" t="str">
        <f>IFERROR(__xludf.DUMMYFUNCTION("GOOGLEFINANCE(B1453, ""pe"")
"),"#N/A")</f>
        <v>#N/A</v>
      </c>
    </row>
    <row r="1454">
      <c r="A1454" s="9" t="s">
        <v>1462</v>
      </c>
      <c r="B1454" s="11" t="str">
        <f t="shared" si="1"/>
        <v>NSE:NRL</v>
      </c>
      <c r="C1454" s="12">
        <f>IFERROR(__xludf.DUMMYFUNCTION("GOOGLEFINANCE(B1454,""marketcap"")/10000000"),524.9244)</f>
        <v>524.9244</v>
      </c>
      <c r="D1454" s="13">
        <f>IFERROR(__xludf.DUMMYFUNCTION("GOOGLEFINANCE(B1454,""price"")"),75.5)</f>
        <v>75.5</v>
      </c>
      <c r="E1454" s="14">
        <f>IFERROR(__xludf.DUMMYFUNCTION("GOOGLEFINANCE(B1454,""Volume"")"),14007.0)</f>
        <v>14007</v>
      </c>
      <c r="F1454" s="14">
        <f t="array" ref="F1454">F1453</f>
        <v>14</v>
      </c>
      <c r="G1454" s="15" t="str">
        <f>IFERROR(__xludf.DUMMYFUNCTION("IF(E1454&gt;AVERAGE(INDEX(GOOGLEFINANCE(B1454,""volume"",WORKDAY(TODAY(),-$F$1),TODAY()),,2)),""Breakout"","""")"),"#N/A")</f>
        <v>#N/A</v>
      </c>
      <c r="H1454" s="16">
        <f>IFERROR(__xludf.DUMMYFUNCTION("GOOGLEFINANCE(B1454,""price"")"),75.5)</f>
        <v>75.5</v>
      </c>
      <c r="I1454" s="17">
        <f>IFERROR(__xludf.DUMMYFUNCTION("AVERAGE(QUERY(SORT(GOOGLEFINANCE(B1454,""price"",TODAY()-365,TODAY()),1,0),""select Col2 limit 10""))"),76.989)</f>
        <v>76.989</v>
      </c>
      <c r="J1454" s="17">
        <f>IFERROR(__xludf.DUMMYFUNCTION("AVERAGE(QUERY(SORT(GOOGLEFINANCE(B1454,""price"",TODAY()-365,TODAY()),1,0),""select Col2 limit 30""))"),79.03666666666666)</f>
        <v>79.03666667</v>
      </c>
      <c r="K1454" s="18">
        <f>IFERROR(__xludf.DUMMYFUNCTION("AVERAGE(QUERY(SORT(GOOGLEFINANCE(B1454,""price"",TODAY()-365,TODAY()),1,0),""select Col2 limit 60""))"),75.0495)</f>
        <v>75.0495</v>
      </c>
      <c r="L1454" s="17">
        <f>IFERROR(__xludf.DUMMYFUNCTION("AVERAGE(QUERY(SORT(GOOGLEFINANCE(B1454,""price"",TODAY()-365,TODAY()),1,0),""select Col2 limit 90""))"),70.40611111111109)</f>
        <v>70.40611111</v>
      </c>
      <c r="M1454" s="17">
        <f>IFERROR(__xludf.DUMMYFUNCTION("AVERAGE(QUERY(SORT(GOOGLEFINANCE(B1454,""price"",TODAY()-365,TODAY()),1,0),""select Col2 limit 120""))"),73.58899999999998)</f>
        <v>73.589</v>
      </c>
      <c r="N1454" s="19">
        <f>IFERROR(__xludf.DUMMYFUNCTION("AVERAGE(QUERY(SORT(GOOGLEFINANCE(B1454,""price"",TODAY()-365,TODAY()),1,0),""select Col2 limit 200""))"),88.00484999999998)</f>
        <v>88.00485</v>
      </c>
      <c r="O1454" s="20" t="str">
        <f t="shared" si="2"/>
        <v>Avoid</v>
      </c>
      <c r="P1454" s="21" t="str">
        <f t="shared" si="3"/>
        <v/>
      </c>
      <c r="Q1454" s="21" t="str">
        <f t="shared" si="4"/>
        <v/>
      </c>
      <c r="R1454" s="22">
        <f>IFERROR(__xludf.DUMMYFUNCTION("GOOGLEFINANCE(B1454, ""pe"")
"),251.67)</f>
        <v>251.67</v>
      </c>
    </row>
    <row r="1455">
      <c r="A1455" s="9" t="s">
        <v>1463</v>
      </c>
      <c r="B1455" s="11" t="str">
        <f t="shared" si="1"/>
        <v>NSE:INDOBORAX</v>
      </c>
      <c r="C1455" s="12">
        <f>IFERROR(__xludf.DUMMYFUNCTION("GOOGLEFINANCE(B1455,""marketcap"")/10000000"),946.1478517)</f>
        <v>946.1478517</v>
      </c>
      <c r="D1455" s="13">
        <f>IFERROR(__xludf.DUMMYFUNCTION("GOOGLEFINANCE(B1455,""price"")"),293.42)</f>
        <v>293.42</v>
      </c>
      <c r="E1455" s="14">
        <f>IFERROR(__xludf.DUMMYFUNCTION("GOOGLEFINANCE(B1455,""Volume"")"),282245.0)</f>
        <v>282245</v>
      </c>
      <c r="F1455" s="14">
        <f t="array" ref="F1455">F1454</f>
        <v>14</v>
      </c>
      <c r="G1455" s="15" t="str">
        <f>IFERROR(__xludf.DUMMYFUNCTION("IF(E1455&gt;AVERAGE(INDEX(GOOGLEFINANCE(B1455,""volume"",WORKDAY(TODAY(),-$F$1),TODAY()),,2)),""Breakout"","""")"),"")</f>
        <v/>
      </c>
      <c r="H1455" s="16">
        <f>IFERROR(__xludf.DUMMYFUNCTION("GOOGLEFINANCE(B1455,""price"")"),293.42)</f>
        <v>293.42</v>
      </c>
      <c r="I1455" s="17">
        <f>IFERROR(__xludf.DUMMYFUNCTION("AVERAGE(QUERY(SORT(GOOGLEFINANCE(B1455,""price"",TODAY()-365,TODAY()),1,0),""select Col2 limit 10""))"),250.129)</f>
        <v>250.129</v>
      </c>
      <c r="J1455" s="17">
        <f>IFERROR(__xludf.DUMMYFUNCTION("AVERAGE(QUERY(SORT(GOOGLEFINANCE(B1455,""price"",TODAY()-365,TODAY()),1,0),""select Col2 limit 30""))"),224.12866666666662)</f>
        <v>224.1286667</v>
      </c>
      <c r="K1455" s="18">
        <f>IFERROR(__xludf.DUMMYFUNCTION("AVERAGE(QUERY(SORT(GOOGLEFINANCE(B1455,""price"",TODAY()-365,TODAY()),1,0),""select Col2 limit 60""))"),207.21583333333328)</f>
        <v>207.2158333</v>
      </c>
      <c r="L1455" s="17">
        <f>IFERROR(__xludf.DUMMYFUNCTION("AVERAGE(QUERY(SORT(GOOGLEFINANCE(B1455,""price"",TODAY()-365,TODAY()),1,0),""select Col2 limit 90""))"),197.05855555555553)</f>
        <v>197.0585556</v>
      </c>
      <c r="M1455" s="17">
        <f>IFERROR(__xludf.DUMMYFUNCTION("AVERAGE(QUERY(SORT(GOOGLEFINANCE(B1455,""price"",TODAY()-365,TODAY()),1,0),""select Col2 limit 120""))"),188.17558333333326)</f>
        <v>188.1755833</v>
      </c>
      <c r="N1455" s="19">
        <f>IFERROR(__xludf.DUMMYFUNCTION("AVERAGE(QUERY(SORT(GOOGLEFINANCE(B1455,""price"",TODAY()-365,TODAY()),1,0),""select Col2 limit 200""))"),188.92854999999986)</f>
        <v>188.92855</v>
      </c>
      <c r="O1455" s="20" t="str">
        <f t="shared" si="2"/>
        <v>Avoid</v>
      </c>
      <c r="P1455" s="21" t="str">
        <f t="shared" si="3"/>
        <v/>
      </c>
      <c r="Q1455" s="21" t="str">
        <f t="shared" si="4"/>
        <v/>
      </c>
      <c r="R1455" s="22">
        <f>IFERROR(__xludf.DUMMYFUNCTION("GOOGLEFINANCE(B1455, ""pe"")
"),22.14)</f>
        <v>22.14</v>
      </c>
    </row>
    <row r="1456">
      <c r="A1456" s="9" t="s">
        <v>1464</v>
      </c>
      <c r="B1456" s="11" t="str">
        <f t="shared" si="1"/>
        <v>NSE:INSPIRISYS</v>
      </c>
      <c r="C1456" s="12">
        <f>IFERROR(__xludf.DUMMYFUNCTION("GOOGLEFINANCE(B1456,""marketcap"")/10000000"),410.7873347)</f>
        <v>410.7873347</v>
      </c>
      <c r="D1456" s="13">
        <f>IFERROR(__xludf.DUMMYFUNCTION("GOOGLEFINANCE(B1456,""price"")"),103.69)</f>
        <v>103.69</v>
      </c>
      <c r="E1456" s="14">
        <f>IFERROR(__xludf.DUMMYFUNCTION("GOOGLEFINANCE(B1456,""Volume"")"),1314.0)</f>
        <v>1314</v>
      </c>
      <c r="F1456" s="14">
        <f t="array" ref="F1456">F1455</f>
        <v>14</v>
      </c>
      <c r="G1456" s="15" t="str">
        <f>IFERROR(__xludf.DUMMYFUNCTION("IF(E1456&gt;AVERAGE(INDEX(GOOGLEFINANCE(B1456,""volume"",WORKDAY(TODAY(),-$F$1),TODAY()),,2)),""Breakout"","""")"),"")</f>
        <v/>
      </c>
      <c r="H1456" s="16">
        <f>IFERROR(__xludf.DUMMYFUNCTION("GOOGLEFINANCE(B1456,""price"")"),103.69)</f>
        <v>103.69</v>
      </c>
      <c r="I1456" s="17">
        <f>IFERROR(__xludf.DUMMYFUNCTION("AVERAGE(QUERY(SORT(GOOGLEFINANCE(B1456,""price"",TODAY()-365,TODAY()),1,0),""select Col2 limit 10""))"),104.835)</f>
        <v>104.835</v>
      </c>
      <c r="J1456" s="17">
        <f>IFERROR(__xludf.DUMMYFUNCTION("AVERAGE(QUERY(SORT(GOOGLEFINANCE(B1456,""price"",TODAY()-365,TODAY()),1,0),""select Col2 limit 30""))"),104.94466666666668)</f>
        <v>104.9446667</v>
      </c>
      <c r="K1456" s="18">
        <f>IFERROR(__xludf.DUMMYFUNCTION("AVERAGE(QUERY(SORT(GOOGLEFINANCE(B1456,""price"",TODAY()-365,TODAY()),1,0),""select Col2 limit 60""))"),102.94916666666668)</f>
        <v>102.9491667</v>
      </c>
      <c r="L1456" s="17">
        <f>IFERROR(__xludf.DUMMYFUNCTION("AVERAGE(QUERY(SORT(GOOGLEFINANCE(B1456,""price"",TODAY()-365,TODAY()),1,0),""select Col2 limit 90""))"),94.58777777777777)</f>
        <v>94.58777778</v>
      </c>
      <c r="M1456" s="17">
        <f>IFERROR(__xludf.DUMMYFUNCTION("AVERAGE(QUERY(SORT(GOOGLEFINANCE(B1456,""price"",TODAY()-365,TODAY()),1,0),""select Col2 limit 120""))"),92.49366666666666)</f>
        <v>92.49366667</v>
      </c>
      <c r="N1456" s="19">
        <f>IFERROR(__xludf.DUMMYFUNCTION("AVERAGE(QUERY(SORT(GOOGLEFINANCE(B1456,""price"",TODAY()-365,TODAY()),1,0),""select Col2 limit 200""))"),99.90404999999998)</f>
        <v>99.90405</v>
      </c>
      <c r="O1456" s="20" t="str">
        <f t="shared" si="2"/>
        <v>Avoid</v>
      </c>
      <c r="P1456" s="21" t="str">
        <f t="shared" si="3"/>
        <v/>
      </c>
      <c r="Q1456" s="21" t="str">
        <f t="shared" si="4"/>
        <v/>
      </c>
      <c r="R1456" s="22">
        <f>IFERROR(__xludf.DUMMYFUNCTION("GOOGLEFINANCE(B1456, ""pe"")
"),15.54)</f>
        <v>15.54</v>
      </c>
    </row>
    <row r="1457">
      <c r="A1457" s="9" t="s">
        <v>1465</v>
      </c>
      <c r="B1457" s="11" t="str">
        <f t="shared" si="1"/>
        <v>NSE:PAVNAIND</v>
      </c>
      <c r="C1457" s="12">
        <f>IFERROR(__xludf.DUMMYFUNCTION("GOOGLEFINANCE(B1457,""marketcap"")/10000000"),553.096515)</f>
        <v>553.096515</v>
      </c>
      <c r="D1457" s="13">
        <f>IFERROR(__xludf.DUMMYFUNCTION("GOOGLEFINANCE(B1457,""price"")"),397.4)</f>
        <v>397.4</v>
      </c>
      <c r="E1457" s="14">
        <f>IFERROR(__xludf.DUMMYFUNCTION("GOOGLEFINANCE(B1457,""Volume"")"),4524.0)</f>
        <v>4524</v>
      </c>
      <c r="F1457" s="14">
        <f t="array" ref="F1457">F1456</f>
        <v>14</v>
      </c>
      <c r="G1457" s="15" t="str">
        <f>IFERROR(__xludf.DUMMYFUNCTION("IF(E1457&gt;AVERAGE(INDEX(GOOGLEFINANCE(B1457,""volume"",WORKDAY(TODAY(),-$F$1),TODAY()),,2)),""Breakout"","""")"),"")</f>
        <v/>
      </c>
      <c r="H1457" s="16">
        <f>IFERROR(__xludf.DUMMYFUNCTION("GOOGLEFINANCE(B1457,""price"")"),397.4)</f>
        <v>397.4</v>
      </c>
      <c r="I1457" s="17">
        <f>IFERROR(__xludf.DUMMYFUNCTION("AVERAGE(QUERY(SORT(GOOGLEFINANCE(B1457,""price"",TODAY()-365,TODAY()),1,0),""select Col2 limit 10""))"),418.28000000000003)</f>
        <v>418.28</v>
      </c>
      <c r="J1457" s="17">
        <f>IFERROR(__xludf.DUMMYFUNCTION("AVERAGE(QUERY(SORT(GOOGLEFINANCE(B1457,""price"",TODAY()-365,TODAY()),1,0),""select Col2 limit 30""))"),418.9933333333334)</f>
        <v>418.9933333</v>
      </c>
      <c r="K1457" s="18">
        <f>IFERROR(__xludf.DUMMYFUNCTION("AVERAGE(QUERY(SORT(GOOGLEFINANCE(B1457,""price"",TODAY()-365,TODAY()),1,0),""select Col2 limit 60""))"),406.1033333333333)</f>
        <v>406.1033333</v>
      </c>
      <c r="L1457" s="17">
        <f>IFERROR(__xludf.DUMMYFUNCTION("AVERAGE(QUERY(SORT(GOOGLEFINANCE(B1457,""price"",TODAY()-365,TODAY()),1,0),""select Col2 limit 90""))"),388.4650000000001)</f>
        <v>388.465</v>
      </c>
      <c r="M1457" s="17">
        <f>IFERROR(__xludf.DUMMYFUNCTION("AVERAGE(QUERY(SORT(GOOGLEFINANCE(B1457,""price"",TODAY()-365,TODAY()),1,0),""select Col2 limit 120""))"),392.38124999999985)</f>
        <v>392.38125</v>
      </c>
      <c r="N1457" s="19">
        <f>IFERROR(__xludf.DUMMYFUNCTION("AVERAGE(QUERY(SORT(GOOGLEFINANCE(B1457,""price"",TODAY()-365,TODAY()),1,0),""select Col2 limit 200""))"),457.82074999999975)</f>
        <v>457.82075</v>
      </c>
      <c r="O1457" s="20" t="str">
        <f t="shared" si="2"/>
        <v>Avoid</v>
      </c>
      <c r="P1457" s="21" t="str">
        <f t="shared" si="3"/>
        <v/>
      </c>
      <c r="Q1457" s="21" t="str">
        <f t="shared" si="4"/>
        <v/>
      </c>
      <c r="R1457" s="22">
        <f>IFERROR(__xludf.DUMMYFUNCTION("GOOGLEFINANCE(B1457, ""pe"")
"),67.07)</f>
        <v>67.07</v>
      </c>
    </row>
    <row r="1458">
      <c r="A1458" s="9" t="s">
        <v>1466</v>
      </c>
      <c r="B1458" s="11" t="str">
        <f t="shared" si="1"/>
        <v>NSE:CYBERTECH</v>
      </c>
      <c r="C1458" s="12">
        <f>IFERROR(__xludf.DUMMYFUNCTION("GOOGLEFINANCE(B1458,""marketcap"")/10000000"),493.1085265)</f>
        <v>493.1085265</v>
      </c>
      <c r="D1458" s="13">
        <f>IFERROR(__xludf.DUMMYFUNCTION("GOOGLEFINANCE(B1458,""price"")"),158.4)</f>
        <v>158.4</v>
      </c>
      <c r="E1458" s="14">
        <f>IFERROR(__xludf.DUMMYFUNCTION("GOOGLEFINANCE(B1458,""Volume"")"),86669.0)</f>
        <v>86669</v>
      </c>
      <c r="F1458" s="14">
        <f t="array" ref="F1458">F1457</f>
        <v>14</v>
      </c>
      <c r="G1458" s="15" t="str">
        <f>IFERROR(__xludf.DUMMYFUNCTION("IF(E1458&gt;AVERAGE(INDEX(GOOGLEFINANCE(B1458,""volume"",WORKDAY(TODAY(),-$F$1),TODAY()),,2)),""Breakout"","""")"),"Breakout")</f>
        <v>Breakout</v>
      </c>
      <c r="H1458" s="16">
        <f>IFERROR(__xludf.DUMMYFUNCTION("GOOGLEFINANCE(B1458,""price"")"),158.4)</f>
        <v>158.4</v>
      </c>
      <c r="I1458" s="17">
        <f>IFERROR(__xludf.DUMMYFUNCTION("AVERAGE(QUERY(SORT(GOOGLEFINANCE(B1458,""price"",TODAY()-365,TODAY()),1,0),""select Col2 limit 10""))"),173.137)</f>
        <v>173.137</v>
      </c>
      <c r="J1458" s="17">
        <f>IFERROR(__xludf.DUMMYFUNCTION("AVERAGE(QUERY(SORT(GOOGLEFINANCE(B1458,""price"",TODAY()-365,TODAY()),1,0),""select Col2 limit 30""))"),166.29866666666666)</f>
        <v>166.2986667</v>
      </c>
      <c r="K1458" s="18">
        <f>IFERROR(__xludf.DUMMYFUNCTION("AVERAGE(QUERY(SORT(GOOGLEFINANCE(B1458,""price"",TODAY()-365,TODAY()),1,0),""select Col2 limit 60""))"),162.7905)</f>
        <v>162.7905</v>
      </c>
      <c r="L1458" s="17">
        <f>IFERROR(__xludf.DUMMYFUNCTION("AVERAGE(QUERY(SORT(GOOGLEFINANCE(B1458,""price"",TODAY()-365,TODAY()),1,0),""select Col2 limit 90""))"),158.02700000000002)</f>
        <v>158.027</v>
      </c>
      <c r="M1458" s="17">
        <f>IFERROR(__xludf.DUMMYFUNCTION("AVERAGE(QUERY(SORT(GOOGLEFINANCE(B1458,""price"",TODAY()-365,TODAY()),1,0),""select Col2 limit 120""))"),162.94558333333333)</f>
        <v>162.9455833</v>
      </c>
      <c r="N1458" s="19">
        <f>IFERROR(__xludf.DUMMYFUNCTION("AVERAGE(QUERY(SORT(GOOGLEFINANCE(B1458,""price"",TODAY()-365,TODAY()),1,0),""select Col2 limit 200""))"),184.6120499999999)</f>
        <v>184.61205</v>
      </c>
      <c r="O1458" s="20" t="str">
        <f t="shared" si="2"/>
        <v>Avoid</v>
      </c>
      <c r="P1458" s="21" t="str">
        <f t="shared" si="3"/>
        <v/>
      </c>
      <c r="Q1458" s="21" t="str">
        <f t="shared" si="4"/>
        <v/>
      </c>
      <c r="R1458" s="22">
        <f>IFERROR(__xludf.DUMMYFUNCTION("GOOGLEFINANCE(B1458, ""pe"")
"),13.78)</f>
        <v>13.78</v>
      </c>
    </row>
    <row r="1459">
      <c r="A1459" s="9" t="s">
        <v>1467</v>
      </c>
      <c r="B1459" s="11" t="str">
        <f t="shared" si="1"/>
        <v>NSE:PRECOT</v>
      </c>
      <c r="C1459" s="12">
        <f>IFERROR(__xludf.DUMMYFUNCTION("GOOGLEFINANCE(B1459,""marketcap"")/10000000"),756.0)</f>
        <v>756</v>
      </c>
      <c r="D1459" s="13">
        <f>IFERROR(__xludf.DUMMYFUNCTION("GOOGLEFINANCE(B1459,""price"")"),632.1)</f>
        <v>632.1</v>
      </c>
      <c r="E1459" s="14">
        <f>IFERROR(__xludf.DUMMYFUNCTION("GOOGLEFINANCE(B1459,""Volume"")"),9080.0)</f>
        <v>9080</v>
      </c>
      <c r="F1459" s="14">
        <f t="array" ref="F1459">F1458</f>
        <v>14</v>
      </c>
      <c r="G1459" s="15" t="str">
        <f>IFERROR(__xludf.DUMMYFUNCTION("IF(E1459&gt;AVERAGE(INDEX(GOOGLEFINANCE(B1459,""volume"",WORKDAY(TODAY(),-$F$1),TODAY()),,2)),""Breakout"","""")"),"Breakout")</f>
        <v>Breakout</v>
      </c>
      <c r="H1459" s="16">
        <f>IFERROR(__xludf.DUMMYFUNCTION("GOOGLEFINANCE(B1459,""price"")"),632.1)</f>
        <v>632.1</v>
      </c>
      <c r="I1459" s="17">
        <f>IFERROR(__xludf.DUMMYFUNCTION("AVERAGE(QUERY(SORT(GOOGLEFINANCE(B1459,""price"",TODAY()-365,TODAY()),1,0),""select Col2 limit 10""))"),609.5600000000001)</f>
        <v>609.56</v>
      </c>
      <c r="J1459" s="17">
        <f>IFERROR(__xludf.DUMMYFUNCTION("AVERAGE(QUERY(SORT(GOOGLEFINANCE(B1459,""price"",TODAY()-365,TODAY()),1,0),""select Col2 limit 30""))"),567.2016666666667)</f>
        <v>567.2016667</v>
      </c>
      <c r="K1459" s="18">
        <f>IFERROR(__xludf.DUMMYFUNCTION("AVERAGE(QUERY(SORT(GOOGLEFINANCE(B1459,""price"",TODAY()-365,TODAY()),1,0),""select Col2 limit 60""))"),540.2383333333335)</f>
        <v>540.2383333</v>
      </c>
      <c r="L1459" s="17">
        <f>IFERROR(__xludf.DUMMYFUNCTION("AVERAGE(QUERY(SORT(GOOGLEFINANCE(B1459,""price"",TODAY()-365,TODAY()),1,0),""select Col2 limit 90""))"),503.3822222222225)</f>
        <v>503.3822222</v>
      </c>
      <c r="M1459" s="17">
        <f>IFERROR(__xludf.DUMMYFUNCTION("AVERAGE(QUERY(SORT(GOOGLEFINANCE(B1459,""price"",TODAY()-365,TODAY()),1,0),""select Col2 limit 120""))"),493.5100000000003)</f>
        <v>493.51</v>
      </c>
      <c r="N1459" s="19">
        <f>IFERROR(__xludf.DUMMYFUNCTION("AVERAGE(QUERY(SORT(GOOGLEFINANCE(B1459,""price"",TODAY()-365,TODAY()),1,0),""select Col2 limit 200""))"),511.78799999999995)</f>
        <v>511.788</v>
      </c>
      <c r="O1459" s="20" t="str">
        <f t="shared" si="2"/>
        <v>Avoid</v>
      </c>
      <c r="P1459" s="21" t="str">
        <f t="shared" si="3"/>
        <v/>
      </c>
      <c r="Q1459" s="21" t="str">
        <f t="shared" si="4"/>
        <v/>
      </c>
      <c r="R1459" s="22">
        <f>IFERROR(__xludf.DUMMYFUNCTION("GOOGLEFINANCE(B1459, ""pe"")
"),14.65)</f>
        <v>14.65</v>
      </c>
    </row>
    <row r="1460">
      <c r="A1460" s="9" t="s">
        <v>1468</v>
      </c>
      <c r="B1460" s="11" t="str">
        <f t="shared" si="1"/>
        <v>NSE:NAHARINDUS</v>
      </c>
      <c r="C1460" s="12">
        <f>IFERROR(__xludf.DUMMYFUNCTION("GOOGLEFINANCE(B1460,""marketcap"")/10000000"),550.0502284)</f>
        <v>550.0502284</v>
      </c>
      <c r="D1460" s="13">
        <f>IFERROR(__xludf.DUMMYFUNCTION("GOOGLEFINANCE(B1460,""price"")"),127.31)</f>
        <v>127.31</v>
      </c>
      <c r="E1460" s="14">
        <f>IFERROR(__xludf.DUMMYFUNCTION("GOOGLEFINANCE(B1460,""Volume"")"),1543.0)</f>
        <v>1543</v>
      </c>
      <c r="F1460" s="14">
        <f t="array" ref="F1460">F1459</f>
        <v>14</v>
      </c>
      <c r="G1460" s="15" t="str">
        <f>IFERROR(__xludf.DUMMYFUNCTION("IF(E1460&gt;AVERAGE(INDEX(GOOGLEFINANCE(B1460,""volume"",WORKDAY(TODAY(),-$F$1),TODAY()),,2)),""Breakout"","""")"),"")</f>
        <v/>
      </c>
      <c r="H1460" s="16">
        <f>IFERROR(__xludf.DUMMYFUNCTION("GOOGLEFINANCE(B1460,""price"")"),127.31)</f>
        <v>127.31</v>
      </c>
      <c r="I1460" s="17">
        <f>IFERROR(__xludf.DUMMYFUNCTION("AVERAGE(QUERY(SORT(GOOGLEFINANCE(B1460,""price"",TODAY()-365,TODAY()),1,0),""select Col2 limit 10""))"),129.07)</f>
        <v>129.07</v>
      </c>
      <c r="J1460" s="17">
        <f>IFERROR(__xludf.DUMMYFUNCTION("AVERAGE(QUERY(SORT(GOOGLEFINANCE(B1460,""price"",TODAY()-365,TODAY()),1,0),""select Col2 limit 30""))"),133.51566666666668)</f>
        <v>133.5156667</v>
      </c>
      <c r="K1460" s="18">
        <f>IFERROR(__xludf.DUMMYFUNCTION("AVERAGE(QUERY(SORT(GOOGLEFINANCE(B1460,""price"",TODAY()-365,TODAY()),1,0),""select Col2 limit 60""))"),127.10100000000001)</f>
        <v>127.101</v>
      </c>
      <c r="L1460" s="17">
        <f>IFERROR(__xludf.DUMMYFUNCTION("AVERAGE(QUERY(SORT(GOOGLEFINANCE(B1460,""price"",TODAY()-365,TODAY()),1,0),""select Col2 limit 90""))"),117.34577777777783)</f>
        <v>117.3457778</v>
      </c>
      <c r="M1460" s="17">
        <f>IFERROR(__xludf.DUMMYFUNCTION("AVERAGE(QUERY(SORT(GOOGLEFINANCE(B1460,""price"",TODAY()-365,TODAY()),1,0),""select Col2 limit 120""))"),116.41808333333333)</f>
        <v>116.4180833</v>
      </c>
      <c r="N1460" s="19">
        <f>IFERROR(__xludf.DUMMYFUNCTION("AVERAGE(QUERY(SORT(GOOGLEFINANCE(B1460,""price"",TODAY()-365,TODAY()),1,0),""select Col2 limit 200""))"),126.16194999999995)</f>
        <v>126.16195</v>
      </c>
      <c r="O1460" s="20" t="str">
        <f t="shared" si="2"/>
        <v>Avoid</v>
      </c>
      <c r="P1460" s="21" t="str">
        <f t="shared" si="3"/>
        <v/>
      </c>
      <c r="Q1460" s="21" t="str">
        <f t="shared" si="4"/>
        <v/>
      </c>
      <c r="R1460" s="22">
        <f>IFERROR(__xludf.DUMMYFUNCTION("GOOGLEFINANCE(B1460, ""pe"")
"),29.75)</f>
        <v>29.75</v>
      </c>
    </row>
    <row r="1461">
      <c r="A1461" s="9" t="s">
        <v>1469</v>
      </c>
      <c r="B1461" s="11" t="str">
        <f t="shared" si="1"/>
        <v>NSE:RPPINFRA</v>
      </c>
      <c r="C1461" s="12">
        <f>IFERROR(__xludf.DUMMYFUNCTION("GOOGLEFINANCE(B1461,""marketcap"")/10000000"),606.118577)</f>
        <v>606.118577</v>
      </c>
      <c r="D1461" s="13">
        <f>IFERROR(__xludf.DUMMYFUNCTION("GOOGLEFINANCE(B1461,""price"")"),122.64)</f>
        <v>122.64</v>
      </c>
      <c r="E1461" s="14">
        <f>IFERROR(__xludf.DUMMYFUNCTION("GOOGLEFINANCE(B1461,""Volume"")"),57177.0)</f>
        <v>57177</v>
      </c>
      <c r="F1461" s="14">
        <f t="array" ref="F1461">F1460</f>
        <v>14</v>
      </c>
      <c r="G1461" s="15" t="str">
        <f>IFERROR(__xludf.DUMMYFUNCTION("IF(E1461&gt;AVERAGE(INDEX(GOOGLEFINANCE(B1461,""volume"",WORKDAY(TODAY(),-$F$1),TODAY()),,2)),""Breakout"","""")"),"")</f>
        <v/>
      </c>
      <c r="H1461" s="16">
        <f>IFERROR(__xludf.DUMMYFUNCTION("GOOGLEFINANCE(B1461,""price"")"),122.64)</f>
        <v>122.64</v>
      </c>
      <c r="I1461" s="17">
        <f>IFERROR(__xludf.DUMMYFUNCTION("AVERAGE(QUERY(SORT(GOOGLEFINANCE(B1461,""price"",TODAY()-365,TODAY()),1,0),""select Col2 limit 10""))"),132.899)</f>
        <v>132.899</v>
      </c>
      <c r="J1461" s="17">
        <f>IFERROR(__xludf.DUMMYFUNCTION("AVERAGE(QUERY(SORT(GOOGLEFINANCE(B1461,""price"",TODAY()-365,TODAY()),1,0),""select Col2 limit 30""))"),134.3573333333333)</f>
        <v>134.3573333</v>
      </c>
      <c r="K1461" s="18">
        <f>IFERROR(__xludf.DUMMYFUNCTION("AVERAGE(QUERY(SORT(GOOGLEFINANCE(B1461,""price"",TODAY()-365,TODAY()),1,0),""select Col2 limit 60""))"),144.11499999999998)</f>
        <v>144.115</v>
      </c>
      <c r="L1461" s="17">
        <f>IFERROR(__xludf.DUMMYFUNCTION("AVERAGE(QUERY(SORT(GOOGLEFINANCE(B1461,""price"",TODAY()-365,TODAY()),1,0),""select Col2 limit 90""))"),147.27422222222225)</f>
        <v>147.2742222</v>
      </c>
      <c r="M1461" s="17">
        <f>IFERROR(__xludf.DUMMYFUNCTION("AVERAGE(QUERY(SORT(GOOGLEFINANCE(B1461,""price"",TODAY()-365,TODAY()),1,0),""select Col2 limit 120""))"),147.2845)</f>
        <v>147.2845</v>
      </c>
      <c r="N1461" s="19">
        <f>IFERROR(__xludf.DUMMYFUNCTION("AVERAGE(QUERY(SORT(GOOGLEFINANCE(B1461,""price"",TODAY()-365,TODAY()),1,0),""select Col2 limit 200""))"),164.32074999999998)</f>
        <v>164.32075</v>
      </c>
      <c r="O1461" s="20" t="str">
        <f t="shared" si="2"/>
        <v>Avoid</v>
      </c>
      <c r="P1461" s="21" t="str">
        <f t="shared" si="3"/>
        <v/>
      </c>
      <c r="Q1461" s="21" t="str">
        <f t="shared" si="4"/>
        <v/>
      </c>
      <c r="R1461" s="22">
        <f>IFERROR(__xludf.DUMMYFUNCTION("GOOGLEFINANCE(B1461, ""pe"")
"),9.34)</f>
        <v>9.34</v>
      </c>
    </row>
    <row r="1462">
      <c r="A1462" s="9" t="s">
        <v>1470</v>
      </c>
      <c r="B1462" s="11" t="str">
        <f t="shared" si="1"/>
        <v>NSE:TARACHAND</v>
      </c>
      <c r="C1462" s="12">
        <f>IFERROR(__xludf.DUMMYFUNCTION("GOOGLEFINANCE(B1462,""marketcap"")/10000000"),556.740247)</f>
        <v>556.740247</v>
      </c>
      <c r="D1462" s="13">
        <f>IFERROR(__xludf.DUMMYFUNCTION("GOOGLEFINANCE(B1462,""price"")"),70.48)</f>
        <v>70.48</v>
      </c>
      <c r="E1462" s="14">
        <f>IFERROR(__xludf.DUMMYFUNCTION("GOOGLEFINANCE(B1462,""Volume"")"),97388.0)</f>
        <v>97388</v>
      </c>
      <c r="F1462" s="14">
        <f t="array" ref="F1462">F1461</f>
        <v>14</v>
      </c>
      <c r="G1462" s="15" t="str">
        <f>IFERROR(__xludf.DUMMYFUNCTION("IF(E1462&gt;AVERAGE(INDEX(GOOGLEFINANCE(B1462,""volume"",WORKDAY(TODAY(),-$F$1),TODAY()),,2)),""Breakout"","""")"),"")</f>
        <v/>
      </c>
      <c r="H1462" s="16">
        <f>IFERROR(__xludf.DUMMYFUNCTION("GOOGLEFINANCE(B1462,""price"")"),70.48)</f>
        <v>70.48</v>
      </c>
      <c r="I1462" s="17">
        <f>IFERROR(__xludf.DUMMYFUNCTION("AVERAGE(QUERY(SORT(GOOGLEFINANCE(B1462,""price"",TODAY()-365,TODAY()),1,0),""select Col2 limit 10""))"),75.29499999999999)</f>
        <v>75.295</v>
      </c>
      <c r="J1462" s="17">
        <f>IFERROR(__xludf.DUMMYFUNCTION("AVERAGE(QUERY(SORT(GOOGLEFINANCE(B1462,""price"",TODAY()-365,TODAY()),1,0),""select Col2 limit 30""))"),69.71866666666668)</f>
        <v>69.71866667</v>
      </c>
      <c r="K1462" s="18">
        <f>IFERROR(__xludf.DUMMYFUNCTION("AVERAGE(QUERY(SORT(GOOGLEFINANCE(B1462,""price"",TODAY()-365,TODAY()),1,0),""select Col2 limit 60""))"),65.37166666666668)</f>
        <v>65.37166667</v>
      </c>
      <c r="L1462" s="17">
        <f>IFERROR(__xludf.DUMMYFUNCTION("AVERAGE(QUERY(SORT(GOOGLEFINANCE(B1462,""price"",TODAY()-365,TODAY()),1,0),""select Col2 limit 90""))"),64.22199999999998)</f>
        <v>64.222</v>
      </c>
      <c r="M1462" s="17">
        <f>IFERROR(__xludf.DUMMYFUNCTION("AVERAGE(QUERY(SORT(GOOGLEFINANCE(B1462,""price"",TODAY()-365,TODAY()),1,0),""select Col2 limit 120""))"),62.07874999999999)</f>
        <v>62.07875</v>
      </c>
      <c r="N1462" s="19">
        <f>IFERROR(__xludf.DUMMYFUNCTION("AVERAGE(QUERY(SORT(GOOGLEFINANCE(B1462,""price"",TODAY()-365,TODAY()),1,0),""select Col2 limit 200""))"),66.06755)</f>
        <v>66.06755</v>
      </c>
      <c r="O1462" s="20" t="str">
        <f t="shared" si="2"/>
        <v>Avoid</v>
      </c>
      <c r="P1462" s="21" t="str">
        <f t="shared" si="3"/>
        <v/>
      </c>
      <c r="Q1462" s="21" t="str">
        <f t="shared" si="4"/>
        <v/>
      </c>
      <c r="R1462" s="22">
        <f>IFERROR(__xludf.DUMMYFUNCTION("GOOGLEFINANCE(B1462, ""pe"")
"),22.42)</f>
        <v>22.42</v>
      </c>
    </row>
    <row r="1463">
      <c r="A1463" s="9" t="s">
        <v>1471</v>
      </c>
      <c r="B1463" s="11" t="str">
        <f t="shared" si="1"/>
        <v>NSE:VALIANTLAB</v>
      </c>
      <c r="C1463" s="12">
        <f>IFERROR(__xludf.DUMMYFUNCTION("GOOGLEFINANCE(B1463,""marketcap"")/10000000"),491.799704)</f>
        <v>491.799704</v>
      </c>
      <c r="D1463" s="13">
        <f>IFERROR(__xludf.DUMMYFUNCTION("GOOGLEFINANCE(B1463,""price"")"),90.4)</f>
        <v>90.4</v>
      </c>
      <c r="E1463" s="14">
        <f>IFERROR(__xludf.DUMMYFUNCTION("GOOGLEFINANCE(B1463,""Volume"")"),32581.0)</f>
        <v>32581</v>
      </c>
      <c r="F1463" s="14">
        <f t="array" ref="F1463">F1462</f>
        <v>14</v>
      </c>
      <c r="G1463" s="15" t="str">
        <f>IFERROR(__xludf.DUMMYFUNCTION("IF(E1463&gt;AVERAGE(INDEX(GOOGLEFINANCE(B1463,""volume"",WORKDAY(TODAY(),-$F$1),TODAY()),,2)),""Breakout"","""")"),"")</f>
        <v/>
      </c>
      <c r="H1463" s="16">
        <f>IFERROR(__xludf.DUMMYFUNCTION("GOOGLEFINANCE(B1463,""price"")"),90.4)</f>
        <v>90.4</v>
      </c>
      <c r="I1463" s="17">
        <f>IFERROR(__xludf.DUMMYFUNCTION("AVERAGE(QUERY(SORT(GOOGLEFINANCE(B1463,""price"",TODAY()-365,TODAY()),1,0),""select Col2 limit 10""))"),101.29100000000001)</f>
        <v>101.291</v>
      </c>
      <c r="J1463" s="17">
        <f>IFERROR(__xludf.DUMMYFUNCTION("AVERAGE(QUERY(SORT(GOOGLEFINANCE(B1463,""price"",TODAY()-365,TODAY()),1,0),""select Col2 limit 30""))"),104.15166666666666)</f>
        <v>104.1516667</v>
      </c>
      <c r="K1463" s="18">
        <f>IFERROR(__xludf.DUMMYFUNCTION("AVERAGE(QUERY(SORT(GOOGLEFINANCE(B1463,""price"",TODAY()-365,TODAY()),1,0),""select Col2 limit 60""))"),100.80633333333331)</f>
        <v>100.8063333</v>
      </c>
      <c r="L1463" s="17">
        <f>IFERROR(__xludf.DUMMYFUNCTION("AVERAGE(QUERY(SORT(GOOGLEFINANCE(B1463,""price"",TODAY()-365,TODAY()),1,0),""select Col2 limit 90""))"),95.43077777777776)</f>
        <v>95.43077778</v>
      </c>
      <c r="M1463" s="17">
        <f>IFERROR(__xludf.DUMMYFUNCTION("AVERAGE(QUERY(SORT(GOOGLEFINANCE(B1463,""price"",TODAY()-365,TODAY()),1,0),""select Col2 limit 120""))"),93.14983333333332)</f>
        <v>93.14983333</v>
      </c>
      <c r="N1463" s="19">
        <f>IFERROR(__xludf.DUMMYFUNCTION("AVERAGE(QUERY(SORT(GOOGLEFINANCE(B1463,""price"",TODAY()-365,TODAY()),1,0),""select Col2 limit 200""))"),97.78495000000001)</f>
        <v>97.78495</v>
      </c>
      <c r="O1463" s="20" t="str">
        <f t="shared" si="2"/>
        <v>Avoid</v>
      </c>
      <c r="P1463" s="21" t="str">
        <f t="shared" si="3"/>
        <v/>
      </c>
      <c r="Q1463" s="21" t="str">
        <f t="shared" si="4"/>
        <v/>
      </c>
      <c r="R1463" s="22" t="str">
        <f>IFERROR(__xludf.DUMMYFUNCTION("GOOGLEFINANCE(B1463, ""pe"")
"),"#N/A")</f>
        <v>#N/A</v>
      </c>
    </row>
    <row r="1464">
      <c r="A1464" s="9" t="s">
        <v>1472</v>
      </c>
      <c r="B1464" s="11" t="str">
        <f t="shared" si="1"/>
        <v>NSE:AYMSYNTEX</v>
      </c>
      <c r="C1464" s="12">
        <f>IFERROR(__xludf.DUMMYFUNCTION("GOOGLEFINANCE(B1464,""marketcap"")/10000000"),1259.8390603)</f>
        <v>1259.83906</v>
      </c>
      <c r="D1464" s="13">
        <f>IFERROR(__xludf.DUMMYFUNCTION("GOOGLEFINANCE(B1464,""price"")"),214.03)</f>
        <v>214.03</v>
      </c>
      <c r="E1464" s="14">
        <f>IFERROR(__xludf.DUMMYFUNCTION("GOOGLEFINANCE(B1464,""Volume"")"),102797.0)</f>
        <v>102797</v>
      </c>
      <c r="F1464" s="14">
        <f t="array" ref="F1464">F1463</f>
        <v>14</v>
      </c>
      <c r="G1464" s="15" t="str">
        <f>IFERROR(__xludf.DUMMYFUNCTION("IF(E1464&gt;AVERAGE(INDEX(GOOGLEFINANCE(B1464,""volume"",WORKDAY(TODAY(),-$F$1),TODAY()),,2)),""Breakout"","""")"),"Breakout")</f>
        <v>Breakout</v>
      </c>
      <c r="H1464" s="16">
        <f>IFERROR(__xludf.DUMMYFUNCTION("GOOGLEFINANCE(B1464,""price"")"),214.03)</f>
        <v>214.03</v>
      </c>
      <c r="I1464" s="17">
        <f>IFERROR(__xludf.DUMMYFUNCTION("AVERAGE(QUERY(SORT(GOOGLEFINANCE(B1464,""price"",TODAY()-365,TODAY()),1,0),""select Col2 limit 10""))"),227.10499999999996)</f>
        <v>227.105</v>
      </c>
      <c r="J1464" s="17">
        <f>IFERROR(__xludf.DUMMYFUNCTION("AVERAGE(QUERY(SORT(GOOGLEFINANCE(B1464,""price"",TODAY()-365,TODAY()),1,0),""select Col2 limit 30""))"),235.92766666666662)</f>
        <v>235.9276667</v>
      </c>
      <c r="K1464" s="18">
        <f>IFERROR(__xludf.DUMMYFUNCTION("AVERAGE(QUERY(SORT(GOOGLEFINANCE(B1464,""price"",TODAY()-365,TODAY()),1,0),""select Col2 limit 60""))"),229.6046666666666)</f>
        <v>229.6046667</v>
      </c>
      <c r="L1464" s="17">
        <f>IFERROR(__xludf.DUMMYFUNCTION("AVERAGE(QUERY(SORT(GOOGLEFINANCE(B1464,""price"",TODAY()-365,TODAY()),1,0),""select Col2 limit 90""))"),224.5535555555555)</f>
        <v>224.5535556</v>
      </c>
      <c r="M1464" s="17">
        <f>IFERROR(__xludf.DUMMYFUNCTION("AVERAGE(QUERY(SORT(GOOGLEFINANCE(B1464,""price"",TODAY()-365,TODAY()),1,0),""select Col2 limit 120""))"),219.77316666666655)</f>
        <v>219.7731667</v>
      </c>
      <c r="N1464" s="19">
        <f>IFERROR(__xludf.DUMMYFUNCTION("AVERAGE(QUERY(SORT(GOOGLEFINANCE(B1464,""price"",TODAY()-365,TODAY()),1,0),""select Col2 limit 200""))"),231.20754999999983)</f>
        <v>231.20755</v>
      </c>
      <c r="O1464" s="20" t="str">
        <f t="shared" si="2"/>
        <v>Avoid</v>
      </c>
      <c r="P1464" s="21" t="str">
        <f t="shared" si="3"/>
        <v/>
      </c>
      <c r="Q1464" s="21" t="str">
        <f t="shared" si="4"/>
        <v/>
      </c>
      <c r="R1464" s="22">
        <f>IFERROR(__xludf.DUMMYFUNCTION("GOOGLEFINANCE(B1464, ""pe"")
"),100.69)</f>
        <v>100.69</v>
      </c>
    </row>
    <row r="1465">
      <c r="A1465" s="9" t="s">
        <v>1473</v>
      </c>
      <c r="B1465" s="11" t="str">
        <f t="shared" si="1"/>
        <v>NSE:MEDICAMEQ</v>
      </c>
      <c r="C1465" s="12">
        <f>IFERROR(__xludf.DUMMYFUNCTION("GOOGLEFINANCE(B1465,""marketcap"")/10000000"),518.099342)</f>
        <v>518.099342</v>
      </c>
      <c r="D1465" s="13">
        <f>IFERROR(__xludf.DUMMYFUNCTION("GOOGLEFINANCE(B1465,""price"")"),382.0)</f>
        <v>382</v>
      </c>
      <c r="E1465" s="14">
        <f>IFERROR(__xludf.DUMMYFUNCTION("GOOGLEFINANCE(B1465,""Volume"")"),8561.0)</f>
        <v>8561</v>
      </c>
      <c r="F1465" s="14">
        <f t="array" ref="F1465">F1464</f>
        <v>14</v>
      </c>
      <c r="G1465" s="15" t="str">
        <f>IFERROR(__xludf.DUMMYFUNCTION("IF(E1465&gt;AVERAGE(INDEX(GOOGLEFINANCE(B1465,""volume"",WORKDAY(TODAY(),-$F$1),TODAY()),,2)),""Breakout"","""")"),"")</f>
        <v/>
      </c>
      <c r="H1465" s="16">
        <f>IFERROR(__xludf.DUMMYFUNCTION("GOOGLEFINANCE(B1465,""price"")"),382.0)</f>
        <v>382</v>
      </c>
      <c r="I1465" s="17">
        <f>IFERROR(__xludf.DUMMYFUNCTION("AVERAGE(QUERY(SORT(GOOGLEFINANCE(B1465,""price"",TODAY()-365,TODAY()),1,0),""select Col2 limit 10""))"),396.695)</f>
        <v>396.695</v>
      </c>
      <c r="J1465" s="17">
        <f>IFERROR(__xludf.DUMMYFUNCTION("AVERAGE(QUERY(SORT(GOOGLEFINANCE(B1465,""price"",TODAY()-365,TODAY()),1,0),""select Col2 limit 30""))"),402.4550000000001)</f>
        <v>402.455</v>
      </c>
      <c r="K1465" s="18">
        <f>IFERROR(__xludf.DUMMYFUNCTION("AVERAGE(QUERY(SORT(GOOGLEFINANCE(B1465,""price"",TODAY()-365,TODAY()),1,0),""select Col2 limit 60""))"),416.66833333333346)</f>
        <v>416.6683333</v>
      </c>
      <c r="L1465" s="17">
        <f>IFERROR(__xludf.DUMMYFUNCTION("AVERAGE(QUERY(SORT(GOOGLEFINANCE(B1465,""price"",TODAY()-365,TODAY()),1,0),""select Col2 limit 90""))"),433.32833333333343)</f>
        <v>433.3283333</v>
      </c>
      <c r="M1465" s="17">
        <f>IFERROR(__xludf.DUMMYFUNCTION("AVERAGE(QUERY(SORT(GOOGLEFINANCE(B1465,""price"",TODAY()-365,TODAY()),1,0),""select Col2 limit 120""))"),446.1316666666667)</f>
        <v>446.1316667</v>
      </c>
      <c r="N1465" s="19">
        <f>IFERROR(__xludf.DUMMYFUNCTION("AVERAGE(QUERY(SORT(GOOGLEFINANCE(B1465,""price"",TODAY()-365,TODAY()),1,0),""select Col2 limit 200""))"),472.01449999999966)</f>
        <v>472.0145</v>
      </c>
      <c r="O1465" s="20" t="str">
        <f t="shared" si="2"/>
        <v>Avoid</v>
      </c>
      <c r="P1465" s="21" t="str">
        <f t="shared" si="3"/>
        <v/>
      </c>
      <c r="Q1465" s="21" t="str">
        <f t="shared" si="4"/>
        <v/>
      </c>
      <c r="R1465" s="22">
        <f>IFERROR(__xludf.DUMMYFUNCTION("GOOGLEFINANCE(B1465, ""pe"")
"),68.19)</f>
        <v>68.19</v>
      </c>
    </row>
    <row r="1466">
      <c r="A1466" s="9" t="s">
        <v>1474</v>
      </c>
      <c r="B1466" s="11" t="str">
        <f t="shared" si="1"/>
        <v>NSE:SILINV</v>
      </c>
      <c r="C1466" s="12">
        <f>IFERROR(__xludf.DUMMYFUNCTION("GOOGLEFINANCE(B1466,""marketcap"")/10000000"),620.1221212)</f>
        <v>620.1221212</v>
      </c>
      <c r="D1466" s="13">
        <f>IFERROR(__xludf.DUMMYFUNCTION("GOOGLEFINANCE(B1466,""price"")"),585.25)</f>
        <v>585.25</v>
      </c>
      <c r="E1466" s="14">
        <f>IFERROR(__xludf.DUMMYFUNCTION("GOOGLEFINANCE(B1466,""Volume"")"),207.0)</f>
        <v>207</v>
      </c>
      <c r="F1466" s="14">
        <f t="array" ref="F1466">F1465</f>
        <v>14</v>
      </c>
      <c r="G1466" s="15" t="str">
        <f>IFERROR(__xludf.DUMMYFUNCTION("IF(E1466&gt;AVERAGE(INDEX(GOOGLEFINANCE(B1466,""volume"",WORKDAY(TODAY(),-$F$1),TODAY()),,2)),""Breakout"","""")"),"")</f>
        <v/>
      </c>
      <c r="H1466" s="16">
        <f>IFERROR(__xludf.DUMMYFUNCTION("GOOGLEFINANCE(B1466,""price"")"),585.25)</f>
        <v>585.25</v>
      </c>
      <c r="I1466" s="17">
        <f>IFERROR(__xludf.DUMMYFUNCTION("AVERAGE(QUERY(SORT(GOOGLEFINANCE(B1466,""price"",TODAY()-365,TODAY()),1,0),""select Col2 limit 10""))"),603.345)</f>
        <v>603.345</v>
      </c>
      <c r="J1466" s="17">
        <f>IFERROR(__xludf.DUMMYFUNCTION("AVERAGE(QUERY(SORT(GOOGLEFINANCE(B1466,""price"",TODAY()-365,TODAY()),1,0),""select Col2 limit 30""))"),603.9966666666666)</f>
        <v>603.9966667</v>
      </c>
      <c r="K1466" s="18">
        <f>IFERROR(__xludf.DUMMYFUNCTION("AVERAGE(QUERY(SORT(GOOGLEFINANCE(B1466,""price"",TODAY()-365,TODAY()),1,0),""select Col2 limit 60""))"),609.4108333333335)</f>
        <v>609.4108333</v>
      </c>
      <c r="L1466" s="17">
        <f>IFERROR(__xludf.DUMMYFUNCTION("AVERAGE(QUERY(SORT(GOOGLEFINANCE(B1466,""price"",TODAY()-365,TODAY()),1,0),""select Col2 limit 90""))"),598.4733333333336)</f>
        <v>598.4733333</v>
      </c>
      <c r="M1466" s="17">
        <f>IFERROR(__xludf.DUMMYFUNCTION("AVERAGE(QUERY(SORT(GOOGLEFINANCE(B1466,""price"",TODAY()-365,TODAY()),1,0),""select Col2 limit 120""))"),578.7983333333334)</f>
        <v>578.7983333</v>
      </c>
      <c r="N1466" s="19">
        <f>IFERROR(__xludf.DUMMYFUNCTION("AVERAGE(QUERY(SORT(GOOGLEFINANCE(B1466,""price"",TODAY()-365,TODAY()),1,0),""select Col2 limit 200""))"),612.2775000000003)</f>
        <v>612.2775</v>
      </c>
      <c r="O1466" s="20" t="str">
        <f t="shared" si="2"/>
        <v>Avoid</v>
      </c>
      <c r="P1466" s="21" t="str">
        <f t="shared" si="3"/>
        <v/>
      </c>
      <c r="Q1466" s="21" t="str">
        <f t="shared" si="4"/>
        <v/>
      </c>
      <c r="R1466" s="22">
        <f>IFERROR(__xludf.DUMMYFUNCTION("GOOGLEFINANCE(B1466, ""pe"")
"),20.05)</f>
        <v>20.05</v>
      </c>
    </row>
    <row r="1467">
      <c r="A1467" s="9" t="s">
        <v>1475</v>
      </c>
      <c r="B1467" s="11" t="str">
        <f t="shared" si="1"/>
        <v>NSE:KRITINUT</v>
      </c>
      <c r="C1467" s="12">
        <f>IFERROR(__xludf.DUMMYFUNCTION("GOOGLEFINANCE(B1467,""marketcap"")/10000000"),547.4811462)</f>
        <v>547.4811462</v>
      </c>
      <c r="D1467" s="13">
        <f>IFERROR(__xludf.DUMMYFUNCTION("GOOGLEFINANCE(B1467,""price"")"),109.11)</f>
        <v>109.11</v>
      </c>
      <c r="E1467" s="14">
        <f>IFERROR(__xludf.DUMMYFUNCTION("GOOGLEFINANCE(B1467,""Volume"")"),3916.0)</f>
        <v>3916</v>
      </c>
      <c r="F1467" s="14">
        <f t="array" ref="F1467">F1466</f>
        <v>14</v>
      </c>
      <c r="G1467" s="15" t="str">
        <f>IFERROR(__xludf.DUMMYFUNCTION("IF(E1467&gt;AVERAGE(INDEX(GOOGLEFINANCE(B1467,""volume"",WORKDAY(TODAY(),-$F$1),TODAY()),,2)),""Breakout"","""")"),"")</f>
        <v/>
      </c>
      <c r="H1467" s="16">
        <f>IFERROR(__xludf.DUMMYFUNCTION("GOOGLEFINANCE(B1467,""price"")"),109.11)</f>
        <v>109.11</v>
      </c>
      <c r="I1467" s="17">
        <f>IFERROR(__xludf.DUMMYFUNCTION("AVERAGE(QUERY(SORT(GOOGLEFINANCE(B1467,""price"",TODAY()-365,TODAY()),1,0),""select Col2 limit 10""))"),109.345)</f>
        <v>109.345</v>
      </c>
      <c r="J1467" s="17">
        <f>IFERROR(__xludf.DUMMYFUNCTION("AVERAGE(QUERY(SORT(GOOGLEFINANCE(B1467,""price"",TODAY()-365,TODAY()),1,0),""select Col2 limit 30""))"),112.76700000000002)</f>
        <v>112.767</v>
      </c>
      <c r="K1467" s="18">
        <f>IFERROR(__xludf.DUMMYFUNCTION("AVERAGE(QUERY(SORT(GOOGLEFINANCE(B1467,""price"",TODAY()-365,TODAY()),1,0),""select Col2 limit 60""))"),112.4538333333333)</f>
        <v>112.4538333</v>
      </c>
      <c r="L1467" s="17">
        <f>IFERROR(__xludf.DUMMYFUNCTION("AVERAGE(QUERY(SORT(GOOGLEFINANCE(B1467,""price"",TODAY()-365,TODAY()),1,0),""select Col2 limit 90""))"),108.52566666666668)</f>
        <v>108.5256667</v>
      </c>
      <c r="M1467" s="17">
        <f>IFERROR(__xludf.DUMMYFUNCTION("AVERAGE(QUERY(SORT(GOOGLEFINANCE(B1467,""price"",TODAY()-365,TODAY()),1,0),""select Col2 limit 120""))"),108.07316666666671)</f>
        <v>108.0731667</v>
      </c>
      <c r="N1467" s="19">
        <f>IFERROR(__xludf.DUMMYFUNCTION("AVERAGE(QUERY(SORT(GOOGLEFINANCE(B1467,""price"",TODAY()-365,TODAY()),1,0),""select Col2 limit 200""))"),117.74425000000008)</f>
        <v>117.74425</v>
      </c>
      <c r="O1467" s="20" t="str">
        <f t="shared" si="2"/>
        <v>Avoid</v>
      </c>
      <c r="P1467" s="21" t="str">
        <f t="shared" si="3"/>
        <v>10 DMA</v>
      </c>
      <c r="Q1467" s="21" t="str">
        <f t="shared" si="4"/>
        <v/>
      </c>
      <c r="R1467" s="22">
        <f>IFERROR(__xludf.DUMMYFUNCTION("GOOGLEFINANCE(B1467, ""pe"")
"),14.8)</f>
        <v>14.8</v>
      </c>
    </row>
    <row r="1468">
      <c r="A1468" s="9" t="s">
        <v>1476</v>
      </c>
      <c r="B1468" s="11" t="str">
        <f t="shared" si="1"/>
        <v>NSE:APCL</v>
      </c>
      <c r="C1468" s="12">
        <f>IFERROR(__xludf.DUMMYFUNCTION("GOOGLEFINANCE(B1468,""marketcap"")/10000000"),440.6214)</f>
        <v>440.6214</v>
      </c>
      <c r="D1468" s="13">
        <f>IFERROR(__xludf.DUMMYFUNCTION("GOOGLEFINANCE(B1468,""price"")"),150.0)</f>
        <v>150</v>
      </c>
      <c r="E1468" s="14">
        <f>IFERROR(__xludf.DUMMYFUNCTION("GOOGLEFINANCE(B1468,""Volume"")"),9091.0)</f>
        <v>9091</v>
      </c>
      <c r="F1468" s="14">
        <f t="array" ref="F1468">F1467</f>
        <v>14</v>
      </c>
      <c r="G1468" s="15" t="str">
        <f>IFERROR(__xludf.DUMMYFUNCTION("IF(E1468&gt;AVERAGE(INDEX(GOOGLEFINANCE(B1468,""volume"",WORKDAY(TODAY(),-$F$1),TODAY()),,2)),""Breakout"","""")"),"Breakout")</f>
        <v>Breakout</v>
      </c>
      <c r="H1468" s="16">
        <f>IFERROR(__xludf.DUMMYFUNCTION("GOOGLEFINANCE(B1468,""price"")"),150.0)</f>
        <v>150</v>
      </c>
      <c r="I1468" s="17">
        <f>IFERROR(__xludf.DUMMYFUNCTION("AVERAGE(QUERY(SORT(GOOGLEFINANCE(B1468,""price"",TODAY()-365,TODAY()),1,0),""select Col2 limit 10""))"),150.54000000000002)</f>
        <v>150.54</v>
      </c>
      <c r="J1468" s="17">
        <f>IFERROR(__xludf.DUMMYFUNCTION("AVERAGE(QUERY(SORT(GOOGLEFINANCE(B1468,""price"",TODAY()-365,TODAY()),1,0),""select Col2 limit 30""))"),146.74366666666668)</f>
        <v>146.7436667</v>
      </c>
      <c r="K1468" s="18">
        <f>IFERROR(__xludf.DUMMYFUNCTION("AVERAGE(QUERY(SORT(GOOGLEFINANCE(B1468,""price"",TODAY()-365,TODAY()),1,0),""select Col2 limit 60""))"),140.70783333333338)</f>
        <v>140.7078333</v>
      </c>
      <c r="L1468" s="17">
        <f>IFERROR(__xludf.DUMMYFUNCTION("AVERAGE(QUERY(SORT(GOOGLEFINANCE(B1468,""price"",TODAY()-365,TODAY()),1,0),""select Col2 limit 90""))"),131.6716666666667)</f>
        <v>131.6716667</v>
      </c>
      <c r="M1468" s="17">
        <f>IFERROR(__xludf.DUMMYFUNCTION("AVERAGE(QUERY(SORT(GOOGLEFINANCE(B1468,""price"",TODAY()-365,TODAY()),1,0),""select Col2 limit 120""))"),131.50350000000003)</f>
        <v>131.5035</v>
      </c>
      <c r="N1468" s="19">
        <f>IFERROR(__xludf.DUMMYFUNCTION("AVERAGE(QUERY(SORT(GOOGLEFINANCE(B1468,""price"",TODAY()-365,TODAY()),1,0),""select Col2 limit 200""))"),145.42610000000005)</f>
        <v>145.4261</v>
      </c>
      <c r="O1468" s="20" t="str">
        <f t="shared" si="2"/>
        <v>Avoid</v>
      </c>
      <c r="P1468" s="21" t="str">
        <f t="shared" si="3"/>
        <v>10 DMA</v>
      </c>
      <c r="Q1468" s="21" t="str">
        <f t="shared" si="4"/>
        <v/>
      </c>
      <c r="R1468" s="22" t="str">
        <f>IFERROR(__xludf.DUMMYFUNCTION("GOOGLEFINANCE(B1468, ""pe"")
"),"#N/A")</f>
        <v>#N/A</v>
      </c>
    </row>
    <row r="1469">
      <c r="A1469" s="9" t="s">
        <v>1477</v>
      </c>
      <c r="B1469" s="11" t="str">
        <f t="shared" si="1"/>
        <v>NSE:DIAMINESQ</v>
      </c>
      <c r="C1469" s="12">
        <f>IFERROR(__xludf.DUMMYFUNCTION("GOOGLEFINANCE(B1469,""marketcap"")/10000000"),374.9714167)</f>
        <v>374.9714167</v>
      </c>
      <c r="D1469" s="13">
        <f>IFERROR(__xludf.DUMMYFUNCTION("GOOGLEFINANCE(B1469,""price"")"),384.25)</f>
        <v>384.25</v>
      </c>
      <c r="E1469" s="14">
        <f>IFERROR(__xludf.DUMMYFUNCTION("GOOGLEFINANCE(B1469,""Volume"")"),1165.0)</f>
        <v>1165</v>
      </c>
      <c r="F1469" s="14">
        <f t="array" ref="F1469">F1468</f>
        <v>14</v>
      </c>
      <c r="G1469" s="15" t="str">
        <f>IFERROR(__xludf.DUMMYFUNCTION("IF(E1469&gt;AVERAGE(INDEX(GOOGLEFINANCE(B1469,""volume"",WORKDAY(TODAY(),-$F$1),TODAY()),,2)),""Breakout"","""")"),"")</f>
        <v/>
      </c>
      <c r="H1469" s="16">
        <f>IFERROR(__xludf.DUMMYFUNCTION("GOOGLEFINANCE(B1469,""price"")"),384.25)</f>
        <v>384.25</v>
      </c>
      <c r="I1469" s="17">
        <f>IFERROR(__xludf.DUMMYFUNCTION("AVERAGE(QUERY(SORT(GOOGLEFINANCE(B1469,""price"",TODAY()-365,TODAY()),1,0),""select Col2 limit 10""))"),395.59000000000003)</f>
        <v>395.59</v>
      </c>
      <c r="J1469" s="17">
        <f>IFERROR(__xludf.DUMMYFUNCTION("AVERAGE(QUERY(SORT(GOOGLEFINANCE(B1469,""price"",TODAY()-365,TODAY()),1,0),""select Col2 limit 30""))"),406.8550000000001)</f>
        <v>406.855</v>
      </c>
      <c r="K1469" s="18">
        <f>IFERROR(__xludf.DUMMYFUNCTION("AVERAGE(QUERY(SORT(GOOGLEFINANCE(B1469,""price"",TODAY()-365,TODAY()),1,0),""select Col2 limit 60""))"),391.16416666666663)</f>
        <v>391.1641667</v>
      </c>
      <c r="L1469" s="17">
        <f>IFERROR(__xludf.DUMMYFUNCTION("AVERAGE(QUERY(SORT(GOOGLEFINANCE(B1469,""price"",TODAY()-365,TODAY()),1,0),""select Col2 limit 90""))"),376.4566666666667)</f>
        <v>376.4566667</v>
      </c>
      <c r="M1469" s="17">
        <f>IFERROR(__xludf.DUMMYFUNCTION("AVERAGE(QUERY(SORT(GOOGLEFINANCE(B1469,""price"",TODAY()-365,TODAY()),1,0),""select Col2 limit 120""))"),381.0200000000001)</f>
        <v>381.02</v>
      </c>
      <c r="N1469" s="19">
        <f>IFERROR(__xludf.DUMMYFUNCTION("AVERAGE(QUERY(SORT(GOOGLEFINANCE(B1469,""price"",TODAY()-365,TODAY()),1,0),""select Col2 limit 200""))"),431.18175)</f>
        <v>431.18175</v>
      </c>
      <c r="O1469" s="20" t="str">
        <f t="shared" si="2"/>
        <v>Avoid</v>
      </c>
      <c r="P1469" s="21" t="str">
        <f t="shared" si="3"/>
        <v/>
      </c>
      <c r="Q1469" s="21" t="str">
        <f t="shared" si="4"/>
        <v/>
      </c>
      <c r="R1469" s="22">
        <f>IFERROR(__xludf.DUMMYFUNCTION("GOOGLEFINANCE(B1469, ""pe"")
"),137.37)</f>
        <v>137.37</v>
      </c>
    </row>
    <row r="1470">
      <c r="A1470" s="9" t="s">
        <v>1478</v>
      </c>
      <c r="B1470" s="11" t="str">
        <f t="shared" si="1"/>
        <v>NSE:TRF</v>
      </c>
      <c r="C1470" s="12">
        <f>IFERROR(__xludf.DUMMYFUNCTION("GOOGLEFINANCE(B1470,""marketcap"")/10000000"),399.6251424)</f>
        <v>399.6251424</v>
      </c>
      <c r="D1470" s="13">
        <f>IFERROR(__xludf.DUMMYFUNCTION("GOOGLEFINANCE(B1470,""price"")"),364.25)</f>
        <v>364.25</v>
      </c>
      <c r="E1470" s="14">
        <f>IFERROR(__xludf.DUMMYFUNCTION("GOOGLEFINANCE(B1470,""Volume"")"),5199.0)</f>
        <v>5199</v>
      </c>
      <c r="F1470" s="14">
        <f t="array" ref="F1470">F1469</f>
        <v>14</v>
      </c>
      <c r="G1470" s="15" t="str">
        <f>IFERROR(__xludf.DUMMYFUNCTION("IF(E1470&gt;AVERAGE(INDEX(GOOGLEFINANCE(B1470,""volume"",WORKDAY(TODAY(),-$F$1),TODAY()),,2)),""Breakout"","""")"),"")</f>
        <v/>
      </c>
      <c r="H1470" s="16">
        <f>IFERROR(__xludf.DUMMYFUNCTION("GOOGLEFINANCE(B1470,""price"")"),364.25)</f>
        <v>364.25</v>
      </c>
      <c r="I1470" s="17">
        <f>IFERROR(__xludf.DUMMYFUNCTION("AVERAGE(QUERY(SORT(GOOGLEFINANCE(B1470,""price"",TODAY()-365,TODAY()),1,0),""select Col2 limit 10""))"),379.88)</f>
        <v>379.88</v>
      </c>
      <c r="J1470" s="17">
        <f>IFERROR(__xludf.DUMMYFUNCTION("AVERAGE(QUERY(SORT(GOOGLEFINANCE(B1470,""price"",TODAY()-365,TODAY()),1,0),""select Col2 limit 30""))"),380.6316666666668)</f>
        <v>380.6316667</v>
      </c>
      <c r="K1470" s="18">
        <f>IFERROR(__xludf.DUMMYFUNCTION("AVERAGE(QUERY(SORT(GOOGLEFINANCE(B1470,""price"",TODAY()-365,TODAY()),1,0),""select Col2 limit 60""))"),381.6083333333334)</f>
        <v>381.6083333</v>
      </c>
      <c r="L1470" s="17">
        <f>IFERROR(__xludf.DUMMYFUNCTION("AVERAGE(QUERY(SORT(GOOGLEFINANCE(B1470,""price"",TODAY()-365,TODAY()),1,0),""select Col2 limit 90""))"),377.5805555555556)</f>
        <v>377.5805556</v>
      </c>
      <c r="M1470" s="17">
        <f>IFERROR(__xludf.DUMMYFUNCTION("AVERAGE(QUERY(SORT(GOOGLEFINANCE(B1470,""price"",TODAY()-365,TODAY()),1,0),""select Col2 limit 120""))"),369.4829166666667)</f>
        <v>369.4829167</v>
      </c>
      <c r="N1470" s="19">
        <f>IFERROR(__xludf.DUMMYFUNCTION("AVERAGE(QUERY(SORT(GOOGLEFINANCE(B1470,""price"",TODAY()-365,TODAY()),1,0),""select Col2 limit 200""))"),396.34375)</f>
        <v>396.34375</v>
      </c>
      <c r="O1470" s="20" t="str">
        <f t="shared" si="2"/>
        <v>Avoid</v>
      </c>
      <c r="P1470" s="21" t="str">
        <f t="shared" si="3"/>
        <v/>
      </c>
      <c r="Q1470" s="21" t="str">
        <f t="shared" si="4"/>
        <v/>
      </c>
      <c r="R1470" s="22">
        <f>IFERROR(__xludf.DUMMYFUNCTION("GOOGLEFINANCE(B1470, ""pe"")
"),15.49)</f>
        <v>15.49</v>
      </c>
    </row>
    <row r="1471">
      <c r="A1471" s="9" t="s">
        <v>1479</v>
      </c>
      <c r="B1471" s="11" t="str">
        <f t="shared" si="1"/>
        <v>NSE:IRIS</v>
      </c>
      <c r="C1471" s="12">
        <f>IFERROR(__xludf.DUMMYFUNCTION("GOOGLEFINANCE(B1471,""marketcap"")/10000000"),766.071503)</f>
        <v>766.071503</v>
      </c>
      <c r="D1471" s="13">
        <f>IFERROR(__xludf.DUMMYFUNCTION("GOOGLEFINANCE(B1471,""price"")"),373.0)</f>
        <v>373</v>
      </c>
      <c r="E1471" s="14">
        <f>IFERROR(__xludf.DUMMYFUNCTION("GOOGLEFINANCE(B1471,""Volume"")"),10674.0)</f>
        <v>10674</v>
      </c>
      <c r="F1471" s="14">
        <f t="array" ref="F1471">F1470</f>
        <v>14</v>
      </c>
      <c r="G1471" s="15" t="str">
        <f>IFERROR(__xludf.DUMMYFUNCTION("IF(E1471&gt;AVERAGE(INDEX(GOOGLEFINANCE(B1471,""volume"",WORKDAY(TODAY(),-$F$1),TODAY()),,2)),""Breakout"","""")"),"")</f>
        <v/>
      </c>
      <c r="H1471" s="16">
        <f>IFERROR(__xludf.DUMMYFUNCTION("GOOGLEFINANCE(B1471,""price"")"),373.0)</f>
        <v>373</v>
      </c>
      <c r="I1471" s="17">
        <f>IFERROR(__xludf.DUMMYFUNCTION("AVERAGE(QUERY(SORT(GOOGLEFINANCE(B1471,""price"",TODAY()-365,TODAY()),1,0),""select Col2 limit 10""))"),386.425)</f>
        <v>386.425</v>
      </c>
      <c r="J1471" s="17">
        <f>IFERROR(__xludf.DUMMYFUNCTION("AVERAGE(QUERY(SORT(GOOGLEFINANCE(B1471,""price"",TODAY()-365,TODAY()),1,0),""select Col2 limit 30""))"),334.6316666666666)</f>
        <v>334.6316667</v>
      </c>
      <c r="K1471" s="18">
        <f>IFERROR(__xludf.DUMMYFUNCTION("AVERAGE(QUERY(SORT(GOOGLEFINANCE(B1471,""price"",TODAY()-365,TODAY()),1,0),""select Col2 limit 60""))"),299.55499999999995)</f>
        <v>299.555</v>
      </c>
      <c r="L1471" s="17">
        <f>IFERROR(__xludf.DUMMYFUNCTION("AVERAGE(QUERY(SORT(GOOGLEFINANCE(B1471,""price"",TODAY()-365,TODAY()),1,0),""select Col2 limit 90""))"),315.33111111111106)</f>
        <v>315.3311111</v>
      </c>
      <c r="M1471" s="17">
        <f>IFERROR(__xludf.DUMMYFUNCTION("AVERAGE(QUERY(SORT(GOOGLEFINANCE(B1471,""price"",TODAY()-365,TODAY()),1,0),""select Col2 limit 120""))"),336.11374999999987)</f>
        <v>336.11375</v>
      </c>
      <c r="N1471" s="19">
        <f>IFERROR(__xludf.DUMMYFUNCTION("AVERAGE(QUERY(SORT(GOOGLEFINANCE(B1471,""price"",TODAY()-365,TODAY()),1,0),""select Col2 limit 200""))"),373.40625)</f>
        <v>373.40625</v>
      </c>
      <c r="O1471" s="20" t="str">
        <f t="shared" si="2"/>
        <v>Avoid</v>
      </c>
      <c r="P1471" s="21" t="str">
        <f t="shared" si="3"/>
        <v>200 DMA</v>
      </c>
      <c r="Q1471" s="21" t="str">
        <f t="shared" si="4"/>
        <v/>
      </c>
      <c r="R1471" s="22">
        <f>IFERROR(__xludf.DUMMYFUNCTION("GOOGLEFINANCE(B1471, ""pe"")
"),57.71)</f>
        <v>57.71</v>
      </c>
    </row>
    <row r="1472">
      <c r="A1472" s="9" t="s">
        <v>1480</v>
      </c>
      <c r="B1472" s="11" t="str">
        <f t="shared" si="1"/>
        <v>NSE:PTL</v>
      </c>
      <c r="C1472" s="12">
        <f>IFERROR(__xludf.DUMMYFUNCTION("GOOGLEFINANCE(B1472,""marketcap"")/10000000"),532.9497797)</f>
        <v>532.9497797</v>
      </c>
      <c r="D1472" s="13">
        <f>IFERROR(__xludf.DUMMYFUNCTION("GOOGLEFINANCE(B1472,""price"")"),40.26)</f>
        <v>40.26</v>
      </c>
      <c r="E1472" s="14">
        <f>IFERROR(__xludf.DUMMYFUNCTION("GOOGLEFINANCE(B1472,""Volume"")"),48293.0)</f>
        <v>48293</v>
      </c>
      <c r="F1472" s="14">
        <f t="array" ref="F1472">F1471</f>
        <v>14</v>
      </c>
      <c r="G1472" s="15" t="str">
        <f>IFERROR(__xludf.DUMMYFUNCTION("IF(E1472&gt;AVERAGE(INDEX(GOOGLEFINANCE(B1472,""volume"",WORKDAY(TODAY(),-$F$1),TODAY()),,2)),""Breakout"","""")"),"")</f>
        <v/>
      </c>
      <c r="H1472" s="16">
        <f>IFERROR(__xludf.DUMMYFUNCTION("GOOGLEFINANCE(B1472,""price"")"),40.26)</f>
        <v>40.26</v>
      </c>
      <c r="I1472" s="17">
        <f>IFERROR(__xludf.DUMMYFUNCTION("AVERAGE(QUERY(SORT(GOOGLEFINANCE(B1472,""price"",TODAY()-365,TODAY()),1,0),""select Col2 limit 10""))"),40.803000000000004)</f>
        <v>40.803</v>
      </c>
      <c r="J1472" s="17">
        <f>IFERROR(__xludf.DUMMYFUNCTION("AVERAGE(QUERY(SORT(GOOGLEFINANCE(B1472,""price"",TODAY()-365,TODAY()),1,0),""select Col2 limit 30""))"),42.86533333333333)</f>
        <v>42.86533333</v>
      </c>
      <c r="K1472" s="18">
        <f>IFERROR(__xludf.DUMMYFUNCTION("AVERAGE(QUERY(SORT(GOOGLEFINANCE(B1472,""price"",TODAY()-365,TODAY()),1,0),""select Col2 limit 60""))"),42.07566666666666)</f>
        <v>42.07566667</v>
      </c>
      <c r="L1472" s="17">
        <f>IFERROR(__xludf.DUMMYFUNCTION("AVERAGE(QUERY(SORT(GOOGLEFINANCE(B1472,""price"",TODAY()-365,TODAY()),1,0),""select Col2 limit 90""))"),41.04888888888889)</f>
        <v>41.04888889</v>
      </c>
      <c r="M1472" s="17">
        <f>IFERROR(__xludf.DUMMYFUNCTION("AVERAGE(QUERY(SORT(GOOGLEFINANCE(B1472,""price"",TODAY()-365,TODAY()),1,0),""select Col2 limit 120""))"),40.46091666666666)</f>
        <v>40.46091667</v>
      </c>
      <c r="N1472" s="19">
        <f>IFERROR(__xludf.DUMMYFUNCTION("AVERAGE(QUERY(SORT(GOOGLEFINANCE(B1472,""price"",TODAY()-365,TODAY()),1,0),""select Col2 limit 200""))"),40.911)</f>
        <v>40.911</v>
      </c>
      <c r="O1472" s="20" t="str">
        <f t="shared" si="2"/>
        <v>Avoid</v>
      </c>
      <c r="P1472" s="21" t="str">
        <f t="shared" si="3"/>
        <v>120 DMA</v>
      </c>
      <c r="Q1472" s="21" t="str">
        <f t="shared" si="4"/>
        <v/>
      </c>
      <c r="R1472" s="22">
        <f>IFERROR(__xludf.DUMMYFUNCTION("GOOGLEFINANCE(B1472, ""pe"")
"),14.68)</f>
        <v>14.68</v>
      </c>
    </row>
    <row r="1473">
      <c r="A1473" s="9" t="s">
        <v>1481</v>
      </c>
      <c r="B1473" s="11" t="str">
        <f t="shared" si="1"/>
        <v>NSE:MAZDA</v>
      </c>
      <c r="C1473" s="12">
        <f>IFERROR(__xludf.DUMMYFUNCTION("GOOGLEFINANCE(B1473,""marketcap"")/10000000"),575.3581224)</f>
        <v>575.3581224</v>
      </c>
      <c r="D1473" s="13">
        <f>IFERROR(__xludf.DUMMYFUNCTION("GOOGLEFINANCE(B1473,""price"")"),297.7)</f>
        <v>297.7</v>
      </c>
      <c r="E1473" s="14">
        <f>IFERROR(__xludf.DUMMYFUNCTION("GOOGLEFINANCE(B1473,""Volume"")"),71772.0)</f>
        <v>71772</v>
      </c>
      <c r="F1473" s="14">
        <f t="array" ref="F1473">F1472</f>
        <v>14</v>
      </c>
      <c r="G1473" s="15" t="str">
        <f>IFERROR(__xludf.DUMMYFUNCTION("IF(E1473&gt;AVERAGE(INDEX(GOOGLEFINANCE(B1473,""volume"",WORKDAY(TODAY(),-$F$1),TODAY()),,2)),""Breakout"","""")"),"")</f>
        <v/>
      </c>
      <c r="H1473" s="16">
        <f>IFERROR(__xludf.DUMMYFUNCTION("GOOGLEFINANCE(B1473,""price"")"),297.7)</f>
        <v>297.7</v>
      </c>
      <c r="I1473" s="17">
        <f>IFERROR(__xludf.DUMMYFUNCTION("AVERAGE(QUERY(SORT(GOOGLEFINANCE(B1473,""price"",TODAY()-365,TODAY()),1,0),""select Col2 limit 10""))"),298.17299999999994)</f>
        <v>298.173</v>
      </c>
      <c r="J1473" s="17">
        <f>IFERROR(__xludf.DUMMYFUNCTION("AVERAGE(QUERY(SORT(GOOGLEFINANCE(B1473,""price"",TODAY()-365,TODAY()),1,0),""select Col2 limit 30""))"),273.3076666666666)</f>
        <v>273.3076667</v>
      </c>
      <c r="K1473" s="18">
        <f>IFERROR(__xludf.DUMMYFUNCTION("AVERAGE(QUERY(SORT(GOOGLEFINANCE(B1473,""price"",TODAY()-365,TODAY()),1,0),""select Col2 limit 60""))"),260.5698333333333)</f>
        <v>260.5698333</v>
      </c>
      <c r="L1473" s="17">
        <f>IFERROR(__xludf.DUMMYFUNCTION("AVERAGE(QUERY(SORT(GOOGLEFINANCE(B1473,""price"",TODAY()-365,TODAY()),1,0),""select Col2 limit 90""))"),255.27988888888896)</f>
        <v>255.2798889</v>
      </c>
      <c r="M1473" s="17">
        <f>IFERROR(__xludf.DUMMYFUNCTION("AVERAGE(QUERY(SORT(GOOGLEFINANCE(B1473,""price"",TODAY()-365,TODAY()),1,0),""select Col2 limit 120""))"),256.82508333333345)</f>
        <v>256.8250833</v>
      </c>
      <c r="N1473" s="19">
        <f>IFERROR(__xludf.DUMMYFUNCTION("AVERAGE(QUERY(SORT(GOOGLEFINANCE(B1473,""price"",TODAY()-365,TODAY()),1,0),""select Col2 limit 200""))"),277.5782500000002)</f>
        <v>277.57825</v>
      </c>
      <c r="O1473" s="20" t="str">
        <f t="shared" si="2"/>
        <v>Avoid</v>
      </c>
      <c r="P1473" s="21" t="str">
        <f t="shared" si="3"/>
        <v>10 DMA</v>
      </c>
      <c r="Q1473" s="21" t="str">
        <f t="shared" si="4"/>
        <v/>
      </c>
      <c r="R1473" s="22">
        <f>IFERROR(__xludf.DUMMYFUNCTION("GOOGLEFINANCE(B1473, ""pe"")
"),23.95)</f>
        <v>23.95</v>
      </c>
    </row>
    <row r="1474">
      <c r="A1474" s="9" t="s">
        <v>1482</v>
      </c>
      <c r="B1474" s="11" t="str">
        <f t="shared" si="1"/>
        <v>NSE:BANSWRAS</v>
      </c>
      <c r="C1474" s="12">
        <f>IFERROR(__xludf.DUMMYFUNCTION("GOOGLEFINANCE(B1474,""marketcap"")/10000000"),496.3309467)</f>
        <v>496.3309467</v>
      </c>
      <c r="D1474" s="13">
        <f>IFERROR(__xludf.DUMMYFUNCTION("GOOGLEFINANCE(B1474,""price"")"),145.21)</f>
        <v>145.21</v>
      </c>
      <c r="E1474" s="14">
        <f>IFERROR(__xludf.DUMMYFUNCTION("GOOGLEFINANCE(B1474,""Volume"")"),13415.0)</f>
        <v>13415</v>
      </c>
      <c r="F1474" s="14">
        <f t="array" ref="F1474">F1473</f>
        <v>14</v>
      </c>
      <c r="G1474" s="15" t="str">
        <f>IFERROR(__xludf.DUMMYFUNCTION("IF(E1474&gt;AVERAGE(INDEX(GOOGLEFINANCE(B1474,""volume"",WORKDAY(TODAY(),-$F$1),TODAY()),,2)),""Breakout"","""")"),"")</f>
        <v/>
      </c>
      <c r="H1474" s="16">
        <f>IFERROR(__xludf.DUMMYFUNCTION("GOOGLEFINANCE(B1474,""price"")"),145.21)</f>
        <v>145.21</v>
      </c>
      <c r="I1474" s="17">
        <f>IFERROR(__xludf.DUMMYFUNCTION("AVERAGE(QUERY(SORT(GOOGLEFINANCE(B1474,""price"",TODAY()-365,TODAY()),1,0),""select Col2 limit 10""))"),145.74600000000004)</f>
        <v>145.746</v>
      </c>
      <c r="J1474" s="17">
        <f>IFERROR(__xludf.DUMMYFUNCTION("AVERAGE(QUERY(SORT(GOOGLEFINANCE(B1474,""price"",TODAY()-365,TODAY()),1,0),""select Col2 limit 30""))"),146.64933333333335)</f>
        <v>146.6493333</v>
      </c>
      <c r="K1474" s="18">
        <f>IFERROR(__xludf.DUMMYFUNCTION("AVERAGE(QUERY(SORT(GOOGLEFINANCE(B1474,""price"",TODAY()-365,TODAY()),1,0),""select Col2 limit 60""))"),145.95700000000005)</f>
        <v>145.957</v>
      </c>
      <c r="L1474" s="17">
        <f>IFERROR(__xludf.DUMMYFUNCTION("AVERAGE(QUERY(SORT(GOOGLEFINANCE(B1474,""price"",TODAY()-365,TODAY()),1,0),""select Col2 limit 90""))"),140.45111111111117)</f>
        <v>140.4511111</v>
      </c>
      <c r="M1474" s="17">
        <f>IFERROR(__xludf.DUMMYFUNCTION("AVERAGE(QUERY(SORT(GOOGLEFINANCE(B1474,""price"",TODAY()-365,TODAY()),1,0),""select Col2 limit 120""))"),138.65325000000004)</f>
        <v>138.65325</v>
      </c>
      <c r="N1474" s="19">
        <f>IFERROR(__xludf.DUMMYFUNCTION("AVERAGE(QUERY(SORT(GOOGLEFINANCE(B1474,""price"",TODAY()-365,TODAY()),1,0),""select Col2 limit 200""))"),139.68190000000007)</f>
        <v>139.6819</v>
      </c>
      <c r="O1474" s="20" t="str">
        <f t="shared" si="2"/>
        <v>Avoid</v>
      </c>
      <c r="P1474" s="21" t="str">
        <f t="shared" si="3"/>
        <v>10 DMA</v>
      </c>
      <c r="Q1474" s="21" t="str">
        <f t="shared" si="4"/>
        <v/>
      </c>
      <c r="R1474" s="22">
        <f>IFERROR(__xludf.DUMMYFUNCTION("GOOGLEFINANCE(B1474, ""pe"")
"),22.39)</f>
        <v>22.39</v>
      </c>
    </row>
    <row r="1475">
      <c r="A1475" s="9" t="s">
        <v>1483</v>
      </c>
      <c r="B1475" s="11" t="str">
        <f t="shared" si="1"/>
        <v>NSE:BIL</v>
      </c>
      <c r="C1475" s="12">
        <f>IFERROR(__xludf.DUMMYFUNCTION("GOOGLEFINANCE(B1475,""marketcap"")/10000000"),1106.2059738)</f>
        <v>1106.205974</v>
      </c>
      <c r="D1475" s="13">
        <f>IFERROR(__xludf.DUMMYFUNCTION("GOOGLEFINANCE(B1475,""price"")"),851.0)</f>
        <v>851</v>
      </c>
      <c r="E1475" s="14">
        <f>IFERROR(__xludf.DUMMYFUNCTION("GOOGLEFINANCE(B1475,""Volume"")"),3087.0)</f>
        <v>3087</v>
      </c>
      <c r="F1475" s="14">
        <f t="array" ref="F1475">F1474</f>
        <v>14</v>
      </c>
      <c r="G1475" s="15" t="str">
        <f>IFERROR(__xludf.DUMMYFUNCTION("IF(E1475&gt;AVERAGE(INDEX(GOOGLEFINANCE(B1475,""volume"",WORKDAY(TODAY(),-$F$1),TODAY()),,2)),""Breakout"","""")"),"")</f>
        <v/>
      </c>
      <c r="H1475" s="16">
        <f>IFERROR(__xludf.DUMMYFUNCTION("GOOGLEFINANCE(B1475,""price"")"),851.0)</f>
        <v>851</v>
      </c>
      <c r="I1475" s="17">
        <f>IFERROR(__xludf.DUMMYFUNCTION("AVERAGE(QUERY(SORT(GOOGLEFINANCE(B1475,""price"",TODAY()-365,TODAY()),1,0),""select Col2 limit 10""))"),865.1850000000001)</f>
        <v>865.185</v>
      </c>
      <c r="J1475" s="17">
        <f>IFERROR(__xludf.DUMMYFUNCTION("AVERAGE(QUERY(SORT(GOOGLEFINANCE(B1475,""price"",TODAY()-365,TODAY()),1,0),""select Col2 limit 30""))"),769.19)</f>
        <v>769.19</v>
      </c>
      <c r="K1475" s="18">
        <f>IFERROR(__xludf.DUMMYFUNCTION("AVERAGE(QUERY(SORT(GOOGLEFINANCE(B1475,""price"",TODAY()-365,TODAY()),1,0),""select Col2 limit 60""))"),739.4516666666669)</f>
        <v>739.4516667</v>
      </c>
      <c r="L1475" s="17">
        <f>IFERROR(__xludf.DUMMYFUNCTION("AVERAGE(QUERY(SORT(GOOGLEFINANCE(B1475,""price"",TODAY()-365,TODAY()),1,0),""select Col2 limit 90""))"),657.2211111111112)</f>
        <v>657.2211111</v>
      </c>
      <c r="M1475" s="17">
        <f>IFERROR(__xludf.DUMMYFUNCTION("AVERAGE(QUERY(SORT(GOOGLEFINANCE(B1475,""price"",TODAY()-365,TODAY()),1,0),""select Col2 limit 120""))"),649.4250000000001)</f>
        <v>649.425</v>
      </c>
      <c r="N1475" s="19">
        <f>IFERROR(__xludf.DUMMYFUNCTION("AVERAGE(QUERY(SORT(GOOGLEFINANCE(B1475,""price"",TODAY()-365,TODAY()),1,0),""select Col2 limit 200""))"),690.0909999999998)</f>
        <v>690.091</v>
      </c>
      <c r="O1475" s="20" t="str">
        <f t="shared" si="2"/>
        <v>Avoid</v>
      </c>
      <c r="P1475" s="21" t="str">
        <f t="shared" si="3"/>
        <v/>
      </c>
      <c r="Q1475" s="21" t="str">
        <f t="shared" si="4"/>
        <v/>
      </c>
      <c r="R1475" s="22">
        <f>IFERROR(__xludf.DUMMYFUNCTION("GOOGLEFINANCE(B1475, ""pe"")
"),68.32)</f>
        <v>68.32</v>
      </c>
    </row>
    <row r="1476">
      <c r="A1476" s="9" t="s">
        <v>1484</v>
      </c>
      <c r="B1476" s="11" t="str">
        <f t="shared" si="1"/>
        <v>NSE:KCPSUGIND</v>
      </c>
      <c r="C1476" s="12">
        <f>IFERROR(__xludf.DUMMYFUNCTION("GOOGLEFINANCE(B1476,""marketcap"")/10000000"),384.9420836)</f>
        <v>384.9420836</v>
      </c>
      <c r="D1476" s="13">
        <f>IFERROR(__xludf.DUMMYFUNCTION("GOOGLEFINANCE(B1476,""price"")"),33.95)</f>
        <v>33.95</v>
      </c>
      <c r="E1476" s="14">
        <f>IFERROR(__xludf.DUMMYFUNCTION("GOOGLEFINANCE(B1476,""Volume"")"),68324.0)</f>
        <v>68324</v>
      </c>
      <c r="F1476" s="14">
        <f t="array" ref="F1476">F1475</f>
        <v>14</v>
      </c>
      <c r="G1476" s="15" t="str">
        <f>IFERROR(__xludf.DUMMYFUNCTION("IF(E1476&gt;AVERAGE(INDEX(GOOGLEFINANCE(B1476,""volume"",WORKDAY(TODAY(),-$F$1),TODAY()),,2)),""Breakout"","""")"),"")</f>
        <v/>
      </c>
      <c r="H1476" s="16">
        <f>IFERROR(__xludf.DUMMYFUNCTION("GOOGLEFINANCE(B1476,""price"")"),33.95)</f>
        <v>33.95</v>
      </c>
      <c r="I1476" s="17">
        <f>IFERROR(__xludf.DUMMYFUNCTION("AVERAGE(QUERY(SORT(GOOGLEFINANCE(B1476,""price"",TODAY()-365,TODAY()),1,0),""select Col2 limit 10""))"),34.93)</f>
        <v>34.93</v>
      </c>
      <c r="J1476" s="17">
        <f>IFERROR(__xludf.DUMMYFUNCTION("AVERAGE(QUERY(SORT(GOOGLEFINANCE(B1476,""price"",TODAY()-365,TODAY()),1,0),""select Col2 limit 30""))"),35.41033333333334)</f>
        <v>35.41033333</v>
      </c>
      <c r="K1476" s="18">
        <f>IFERROR(__xludf.DUMMYFUNCTION("AVERAGE(QUERY(SORT(GOOGLEFINANCE(B1476,""price"",TODAY()-365,TODAY()),1,0),""select Col2 limit 60""))"),36.09250000000001)</f>
        <v>36.0925</v>
      </c>
      <c r="L1476" s="17">
        <f>IFERROR(__xludf.DUMMYFUNCTION("AVERAGE(QUERY(SORT(GOOGLEFINANCE(B1476,""price"",TODAY()-365,TODAY()),1,0),""select Col2 limit 90""))"),36.048333333333325)</f>
        <v>36.04833333</v>
      </c>
      <c r="M1476" s="17">
        <f>IFERROR(__xludf.DUMMYFUNCTION("AVERAGE(QUERY(SORT(GOOGLEFINANCE(B1476,""price"",TODAY()-365,TODAY()),1,0),""select Col2 limit 120""))"),36.246749999999984)</f>
        <v>36.24675</v>
      </c>
      <c r="N1476" s="19">
        <f>IFERROR(__xludf.DUMMYFUNCTION("AVERAGE(QUERY(SORT(GOOGLEFINANCE(B1476,""price"",TODAY()-365,TODAY()),1,0),""select Col2 limit 200""))"),40.31709999999999)</f>
        <v>40.3171</v>
      </c>
      <c r="O1476" s="20" t="str">
        <f t="shared" si="2"/>
        <v>Avoid</v>
      </c>
      <c r="P1476" s="21" t="str">
        <f t="shared" si="3"/>
        <v/>
      </c>
      <c r="Q1476" s="21" t="str">
        <f t="shared" si="4"/>
        <v/>
      </c>
      <c r="R1476" s="22">
        <f>IFERROR(__xludf.DUMMYFUNCTION("GOOGLEFINANCE(B1476, ""pe"")
"),26.73)</f>
        <v>26.73</v>
      </c>
    </row>
    <row r="1477">
      <c r="A1477" s="9" t="s">
        <v>1485</v>
      </c>
      <c r="B1477" s="11" t="str">
        <f t="shared" si="1"/>
        <v>NSE:KAMATHOTEL</v>
      </c>
      <c r="C1477" s="12">
        <f>IFERROR(__xludf.DUMMYFUNCTION("GOOGLEFINANCE(B1477,""marketcap"")/10000000"),703.3944881)</f>
        <v>703.3944881</v>
      </c>
      <c r="D1477" s="13">
        <f>IFERROR(__xludf.DUMMYFUNCTION("GOOGLEFINANCE(B1477,""price"")"),239.05)</f>
        <v>239.05</v>
      </c>
      <c r="E1477" s="14">
        <f>IFERROR(__xludf.DUMMYFUNCTION("GOOGLEFINANCE(B1477,""Volume"")"),24130.0)</f>
        <v>24130</v>
      </c>
      <c r="F1477" s="14">
        <f t="array" ref="F1477">F1476</f>
        <v>14</v>
      </c>
      <c r="G1477" s="15" t="str">
        <f>IFERROR(__xludf.DUMMYFUNCTION("IF(E1477&gt;AVERAGE(INDEX(GOOGLEFINANCE(B1477,""volume"",WORKDAY(TODAY(),-$F$1),TODAY()),,2)),""Breakout"","""")"),"")</f>
        <v/>
      </c>
      <c r="H1477" s="16">
        <f>IFERROR(__xludf.DUMMYFUNCTION("GOOGLEFINANCE(B1477,""price"")"),239.05)</f>
        <v>239.05</v>
      </c>
      <c r="I1477" s="17">
        <f>IFERROR(__xludf.DUMMYFUNCTION("AVERAGE(QUERY(SORT(GOOGLEFINANCE(B1477,""price"",TODAY()-365,TODAY()),1,0),""select Col2 limit 10""))"),239.76500000000001)</f>
        <v>239.765</v>
      </c>
      <c r="J1477" s="17">
        <f>IFERROR(__xludf.DUMMYFUNCTION("AVERAGE(QUERY(SORT(GOOGLEFINANCE(B1477,""price"",TODAY()-365,TODAY()),1,0),""select Col2 limit 30""))"),237.18833333333333)</f>
        <v>237.1883333</v>
      </c>
      <c r="K1477" s="18">
        <f>IFERROR(__xludf.DUMMYFUNCTION("AVERAGE(QUERY(SORT(GOOGLEFINANCE(B1477,""price"",TODAY()-365,TODAY()),1,0),""select Col2 limit 60""))"),237.05116666666663)</f>
        <v>237.0511667</v>
      </c>
      <c r="L1477" s="17">
        <f>IFERROR(__xludf.DUMMYFUNCTION("AVERAGE(QUERY(SORT(GOOGLEFINANCE(B1477,""price"",TODAY()-365,TODAY()),1,0),""select Col2 limit 90""))"),251.44244444444428)</f>
        <v>251.4424444</v>
      </c>
      <c r="M1477" s="17">
        <f>IFERROR(__xludf.DUMMYFUNCTION("AVERAGE(QUERY(SORT(GOOGLEFINANCE(B1477,""price"",TODAY()-365,TODAY()),1,0),""select Col2 limit 120""))"),258.8598333333332)</f>
        <v>258.8598333</v>
      </c>
      <c r="N1477" s="19">
        <f>IFERROR(__xludf.DUMMYFUNCTION("AVERAGE(QUERY(SORT(GOOGLEFINANCE(B1477,""price"",TODAY()-365,TODAY()),1,0),""select Col2 limit 200""))"),241.15965)</f>
        <v>241.15965</v>
      </c>
      <c r="O1477" s="20" t="str">
        <f t="shared" si="2"/>
        <v>Avoid</v>
      </c>
      <c r="P1477" s="21" t="str">
        <f t="shared" si="3"/>
        <v>10 DMA</v>
      </c>
      <c r="Q1477" s="21" t="str">
        <f t="shared" si="4"/>
        <v/>
      </c>
      <c r="R1477" s="22">
        <f>IFERROR(__xludf.DUMMYFUNCTION("GOOGLEFINANCE(B1477, ""pe"")
"),15.35)</f>
        <v>15.35</v>
      </c>
    </row>
    <row r="1478">
      <c r="A1478" s="9" t="s">
        <v>1486</v>
      </c>
      <c r="B1478" s="11" t="str">
        <f t="shared" si="1"/>
        <v>NSE:SINCLAIR</v>
      </c>
      <c r="C1478" s="12">
        <f>IFERROR(__xludf.DUMMYFUNCTION("GOOGLEFINANCE(B1478,""marketcap"")/10000000"),543.1015752)</f>
        <v>543.1015752</v>
      </c>
      <c r="D1478" s="13">
        <f>IFERROR(__xludf.DUMMYFUNCTION("GOOGLEFINANCE(B1478,""price"")"),105.64)</f>
        <v>105.64</v>
      </c>
      <c r="E1478" s="14">
        <f>IFERROR(__xludf.DUMMYFUNCTION("GOOGLEFINANCE(B1478,""Volume"")"),58007.0)</f>
        <v>58007</v>
      </c>
      <c r="F1478" s="14">
        <f t="array" ref="F1478">F1477</f>
        <v>14</v>
      </c>
      <c r="G1478" s="15" t="str">
        <f>IFERROR(__xludf.DUMMYFUNCTION("IF(E1478&gt;AVERAGE(INDEX(GOOGLEFINANCE(B1478,""volume"",WORKDAY(TODAY(),-$F$1),TODAY()),,2)),""Breakout"","""")"),"")</f>
        <v/>
      </c>
      <c r="H1478" s="16">
        <f>IFERROR(__xludf.DUMMYFUNCTION("GOOGLEFINANCE(B1478,""price"")"),105.64)</f>
        <v>105.64</v>
      </c>
      <c r="I1478" s="17">
        <f>IFERROR(__xludf.DUMMYFUNCTION("AVERAGE(QUERY(SORT(GOOGLEFINANCE(B1478,""price"",TODAY()-365,TODAY()),1,0),""select Col2 limit 10""))"),100.24700000000003)</f>
        <v>100.247</v>
      </c>
      <c r="J1478" s="17">
        <f>IFERROR(__xludf.DUMMYFUNCTION("AVERAGE(QUERY(SORT(GOOGLEFINANCE(B1478,""price"",TODAY()-365,TODAY()),1,0),""select Col2 limit 30""))"),95.42566666666667)</f>
        <v>95.42566667</v>
      </c>
      <c r="K1478" s="18">
        <f>IFERROR(__xludf.DUMMYFUNCTION("AVERAGE(QUERY(SORT(GOOGLEFINANCE(B1478,""price"",TODAY()-365,TODAY()),1,0),""select Col2 limit 60""))"),93.29299999999999)</f>
        <v>93.293</v>
      </c>
      <c r="L1478" s="17">
        <f>IFERROR(__xludf.DUMMYFUNCTION("AVERAGE(QUERY(SORT(GOOGLEFINANCE(B1478,""price"",TODAY()-365,TODAY()),1,0),""select Col2 limit 90""))"),91.93433333333331)</f>
        <v>91.93433333</v>
      </c>
      <c r="M1478" s="17">
        <f>IFERROR(__xludf.DUMMYFUNCTION("AVERAGE(QUERY(SORT(GOOGLEFINANCE(B1478,""price"",TODAY()-365,TODAY()),1,0),""select Col2 limit 120""))"),91.38166666666665)</f>
        <v>91.38166667</v>
      </c>
      <c r="N1478" s="19">
        <f>IFERROR(__xludf.DUMMYFUNCTION("AVERAGE(QUERY(SORT(GOOGLEFINANCE(B1478,""price"",TODAY()-365,TODAY()),1,0),""select Col2 limit 200""))"),96.71849999999999)</f>
        <v>96.7185</v>
      </c>
      <c r="O1478" s="20" t="str">
        <f t="shared" si="2"/>
        <v>Avoid</v>
      </c>
      <c r="P1478" s="21" t="str">
        <f t="shared" si="3"/>
        <v/>
      </c>
      <c r="Q1478" s="21" t="str">
        <f t="shared" si="4"/>
        <v/>
      </c>
      <c r="R1478" s="22">
        <f>IFERROR(__xludf.DUMMYFUNCTION("GOOGLEFINANCE(B1478, ""pe"")
"),38.3)</f>
        <v>38.3</v>
      </c>
    </row>
    <row r="1479">
      <c r="A1479" s="9" t="s">
        <v>1487</v>
      </c>
      <c r="B1479" s="11" t="str">
        <f t="shared" si="1"/>
        <v>NSE:HCL-INSYS</v>
      </c>
      <c r="C1479" s="12">
        <f>IFERROR(__xludf.DUMMYFUNCTION("GOOGLEFINANCE(B1479,""marketcap"")/10000000"),516.8595367)</f>
        <v>516.8595367</v>
      </c>
      <c r="D1479" s="13">
        <f>IFERROR(__xludf.DUMMYFUNCTION("GOOGLEFINANCE(B1479,""price"")"),15.7)</f>
        <v>15.7</v>
      </c>
      <c r="E1479" s="14">
        <f>IFERROR(__xludf.DUMMYFUNCTION("GOOGLEFINANCE(B1479,""Volume"")"),83259.0)</f>
        <v>83259</v>
      </c>
      <c r="F1479" s="14">
        <f t="array" ref="F1479">F1478</f>
        <v>14</v>
      </c>
      <c r="G1479" s="15" t="str">
        <f>IFERROR(__xludf.DUMMYFUNCTION("IF(E1479&gt;AVERAGE(INDEX(GOOGLEFINANCE(B1479,""volume"",WORKDAY(TODAY(),-$F$1),TODAY()),,2)),""Breakout"","""")"),"")</f>
        <v/>
      </c>
      <c r="H1479" s="16">
        <f>IFERROR(__xludf.DUMMYFUNCTION("GOOGLEFINANCE(B1479,""price"")"),15.7)</f>
        <v>15.7</v>
      </c>
      <c r="I1479" s="17">
        <f>IFERROR(__xludf.DUMMYFUNCTION("AVERAGE(QUERY(SORT(GOOGLEFINANCE(B1479,""price"",TODAY()-365,TODAY()),1,0),""select Col2 limit 10""))"),16.066)</f>
        <v>16.066</v>
      </c>
      <c r="J1479" s="17">
        <f>IFERROR(__xludf.DUMMYFUNCTION("AVERAGE(QUERY(SORT(GOOGLEFINANCE(B1479,""price"",TODAY()-365,TODAY()),1,0),""select Col2 limit 30""))"),16.600333333333335)</f>
        <v>16.60033333</v>
      </c>
      <c r="K1479" s="18">
        <f>IFERROR(__xludf.DUMMYFUNCTION("AVERAGE(QUERY(SORT(GOOGLEFINANCE(B1479,""price"",TODAY()-365,TODAY()),1,0),""select Col2 limit 60""))"),16.921166666666668)</f>
        <v>16.92116667</v>
      </c>
      <c r="L1479" s="17">
        <f>IFERROR(__xludf.DUMMYFUNCTION("AVERAGE(QUERY(SORT(GOOGLEFINANCE(B1479,""price"",TODAY()-365,TODAY()),1,0),""select Col2 limit 90""))"),15.601111111111107)</f>
        <v>15.60111111</v>
      </c>
      <c r="M1479" s="17">
        <f>IFERROR(__xludf.DUMMYFUNCTION("AVERAGE(QUERY(SORT(GOOGLEFINANCE(B1479,""price"",TODAY()-365,TODAY()),1,0),""select Col2 limit 120""))"),15.13508333333333)</f>
        <v>15.13508333</v>
      </c>
      <c r="N1479" s="19">
        <f>IFERROR(__xludf.DUMMYFUNCTION("AVERAGE(QUERY(SORT(GOOGLEFINANCE(B1479,""price"",TODAY()-365,TODAY()),1,0),""select Col2 limit 200""))"),15.80254999999999)</f>
        <v>15.80255</v>
      </c>
      <c r="O1479" s="20" t="str">
        <f t="shared" si="2"/>
        <v>Avoid</v>
      </c>
      <c r="P1479" s="21" t="str">
        <f t="shared" si="3"/>
        <v>200 DMA</v>
      </c>
      <c r="Q1479" s="21" t="str">
        <f t="shared" si="4"/>
        <v/>
      </c>
      <c r="R1479" s="22" t="str">
        <f>IFERROR(__xludf.DUMMYFUNCTION("GOOGLEFINANCE(B1479, ""pe"")
"),"#N/A")</f>
        <v>#N/A</v>
      </c>
    </row>
    <row r="1480">
      <c r="A1480" s="9" t="s">
        <v>1488</v>
      </c>
      <c r="B1480" s="11" t="str">
        <f t="shared" si="1"/>
        <v>NSE:AXITA</v>
      </c>
      <c r="C1480" s="12">
        <f>IFERROR(__xludf.DUMMYFUNCTION("GOOGLEFINANCE(B1480,""marketcap"")/10000000"),312.99516)</f>
        <v>312.99516</v>
      </c>
      <c r="D1480" s="13">
        <f>IFERROR(__xludf.DUMMYFUNCTION("GOOGLEFINANCE(B1480,""price"")"),9.01)</f>
        <v>9.01</v>
      </c>
      <c r="E1480" s="14">
        <f>IFERROR(__xludf.DUMMYFUNCTION("GOOGLEFINANCE(B1480,""Volume"")"),576467.0)</f>
        <v>576467</v>
      </c>
      <c r="F1480" s="14">
        <f t="array" ref="F1480">F1479</f>
        <v>14</v>
      </c>
      <c r="G1480" s="15" t="str">
        <f>IFERROR(__xludf.DUMMYFUNCTION("IF(E1480&gt;AVERAGE(INDEX(GOOGLEFINANCE(B1480,""volume"",WORKDAY(TODAY(),-$F$1),TODAY()),,2)),""Breakout"","""")"),"")</f>
        <v/>
      </c>
      <c r="H1480" s="16">
        <f>IFERROR(__xludf.DUMMYFUNCTION("GOOGLEFINANCE(B1480,""price"")"),9.01)</f>
        <v>9.01</v>
      </c>
      <c r="I1480" s="17">
        <f>IFERROR(__xludf.DUMMYFUNCTION("AVERAGE(QUERY(SORT(GOOGLEFINANCE(B1480,""price"",TODAY()-365,TODAY()),1,0),""select Col2 limit 10""))"),9.083)</f>
        <v>9.083</v>
      </c>
      <c r="J1480" s="17">
        <f>IFERROR(__xludf.DUMMYFUNCTION("AVERAGE(QUERY(SORT(GOOGLEFINANCE(B1480,""price"",TODAY()-365,TODAY()),1,0),""select Col2 limit 30""))"),9.027000000000003)</f>
        <v>9.027</v>
      </c>
      <c r="K1480" s="18">
        <f>IFERROR(__xludf.DUMMYFUNCTION("AVERAGE(QUERY(SORT(GOOGLEFINANCE(B1480,""price"",TODAY()-365,TODAY()),1,0),""select Col2 limit 60""))"),9.233833333333335)</f>
        <v>9.233833333</v>
      </c>
      <c r="L1480" s="17">
        <f>IFERROR(__xludf.DUMMYFUNCTION("AVERAGE(QUERY(SORT(GOOGLEFINANCE(B1480,""price"",TODAY()-365,TODAY()),1,0),""select Col2 limit 90""))"),9.495888888888889)</f>
        <v>9.495888889</v>
      </c>
      <c r="M1480" s="17">
        <f>IFERROR(__xludf.DUMMYFUNCTION("AVERAGE(QUERY(SORT(GOOGLEFINANCE(B1480,""price"",TODAY()-365,TODAY()),1,0),""select Col2 limit 120""))"),9.72383333333333)</f>
        <v>9.723833333</v>
      </c>
      <c r="N1480" s="19">
        <f>IFERROR(__xludf.DUMMYFUNCTION("AVERAGE(QUERY(SORT(GOOGLEFINANCE(B1480,""price"",TODAY()-365,TODAY()),1,0),""select Col2 limit 200""))"),10.879149999999997)</f>
        <v>10.87915</v>
      </c>
      <c r="O1480" s="20" t="str">
        <f t="shared" si="2"/>
        <v>Avoid</v>
      </c>
      <c r="P1480" s="21" t="str">
        <f t="shared" si="3"/>
        <v>10 DMA</v>
      </c>
      <c r="Q1480" s="21" t="str">
        <f t="shared" si="4"/>
        <v>10 DMA cross best</v>
      </c>
      <c r="R1480" s="22">
        <f>IFERROR(__xludf.DUMMYFUNCTION("GOOGLEFINANCE(B1480, ""pe"")
"),450.0)</f>
        <v>450</v>
      </c>
    </row>
    <row r="1481">
      <c r="A1481" s="9" t="s">
        <v>1489</v>
      </c>
      <c r="B1481" s="11" t="str">
        <f t="shared" si="1"/>
        <v>NSE:KRONOX</v>
      </c>
      <c r="C1481" s="12">
        <f>IFERROR(__xludf.DUMMYFUNCTION("GOOGLEFINANCE(B1481,""marketcap"")/10000000"),661.9351589)</f>
        <v>661.9351589</v>
      </c>
      <c r="D1481" s="13">
        <f>IFERROR(__xludf.DUMMYFUNCTION("GOOGLEFINANCE(B1481,""price"")"),178.57)</f>
        <v>178.57</v>
      </c>
      <c r="E1481" s="14">
        <f>IFERROR(__xludf.DUMMYFUNCTION("GOOGLEFINANCE(B1481,""Volume"")"),47335.0)</f>
        <v>47335</v>
      </c>
      <c r="F1481" s="14">
        <f t="array" ref="F1481">F1480</f>
        <v>14</v>
      </c>
      <c r="G1481" s="15" t="str">
        <f>IFERROR(__xludf.DUMMYFUNCTION("IF(E1481&gt;AVERAGE(INDEX(GOOGLEFINANCE(B1481,""volume"",WORKDAY(TODAY(),-$F$1),TODAY()),,2)),""Breakout"","""")"),"")</f>
        <v/>
      </c>
      <c r="H1481" s="16">
        <f>IFERROR(__xludf.DUMMYFUNCTION("GOOGLEFINANCE(B1481,""price"")"),178.57)</f>
        <v>178.57</v>
      </c>
      <c r="I1481" s="17">
        <f>IFERROR(__xludf.DUMMYFUNCTION("AVERAGE(QUERY(SORT(GOOGLEFINANCE(B1481,""price"",TODAY()-365,TODAY()),1,0),""select Col2 limit 10""))"),187.007)</f>
        <v>187.007</v>
      </c>
      <c r="J1481" s="17">
        <f>IFERROR(__xludf.DUMMYFUNCTION("AVERAGE(QUERY(SORT(GOOGLEFINANCE(B1481,""price"",TODAY()-365,TODAY()),1,0),""select Col2 limit 30""))"),184.8283333333333)</f>
        <v>184.8283333</v>
      </c>
      <c r="K1481" s="18">
        <f>IFERROR(__xludf.DUMMYFUNCTION("AVERAGE(QUERY(SORT(GOOGLEFINANCE(B1481,""price"",TODAY()-365,TODAY()),1,0),""select Col2 limit 60""))"),169.32350000000005)</f>
        <v>169.3235</v>
      </c>
      <c r="L1481" s="17">
        <f>IFERROR(__xludf.DUMMYFUNCTION("AVERAGE(QUERY(SORT(GOOGLEFINANCE(B1481,""price"",TODAY()-365,TODAY()),1,0),""select Col2 limit 90""))"),161.6353333333334)</f>
        <v>161.6353333</v>
      </c>
      <c r="M1481" s="17">
        <f>IFERROR(__xludf.DUMMYFUNCTION("AVERAGE(QUERY(SORT(GOOGLEFINANCE(B1481,""price"",TODAY()-365,TODAY()),1,0),""select Col2 limit 120""))"),161.81274999999997)</f>
        <v>161.81275</v>
      </c>
      <c r="N1481" s="19">
        <f>IFERROR(__xludf.DUMMYFUNCTION("AVERAGE(QUERY(SORT(GOOGLEFINANCE(B1481,""price"",TODAY()-365,TODAY()),1,0),""select Col2 limit 200""))"),170.7573000000001)</f>
        <v>170.7573</v>
      </c>
      <c r="O1481" s="20" t="str">
        <f t="shared" si="2"/>
        <v>Avoid</v>
      </c>
      <c r="P1481" s="21" t="str">
        <f t="shared" si="3"/>
        <v/>
      </c>
      <c r="Q1481" s="21" t="str">
        <f t="shared" si="4"/>
        <v/>
      </c>
      <c r="R1481" s="22">
        <f>IFERROR(__xludf.DUMMYFUNCTION("GOOGLEFINANCE(B1481, ""pe"")
"),25.82)</f>
        <v>25.82</v>
      </c>
    </row>
    <row r="1482">
      <c r="A1482" s="9" t="s">
        <v>1490</v>
      </c>
      <c r="B1482" s="11" t="str">
        <f t="shared" si="1"/>
        <v>NSE:TRU</v>
      </c>
      <c r="C1482" s="12">
        <f>IFERROR(__xludf.DUMMYFUNCTION("GOOGLEFINANCE(B1482,""marketcap"")/10000000"),187.207335)</f>
        <v>187.207335</v>
      </c>
      <c r="D1482" s="13">
        <f>IFERROR(__xludf.DUMMYFUNCTION("GOOGLEFINANCE(B1482,""price"")"),15.75)</f>
        <v>15.75</v>
      </c>
      <c r="E1482" s="14">
        <f>IFERROR(__xludf.DUMMYFUNCTION("GOOGLEFINANCE(B1482,""Volume"")"),2587532.0)</f>
        <v>2587532</v>
      </c>
      <c r="F1482" s="14">
        <f t="array" ref="F1482">F1481</f>
        <v>14</v>
      </c>
      <c r="G1482" s="15" t="str">
        <f>IFERROR(__xludf.DUMMYFUNCTION("IF(E1482&gt;AVERAGE(INDEX(GOOGLEFINANCE(B1482,""volume"",WORKDAY(TODAY(),-$F$1),TODAY()),,2)),""Breakout"","""")"),"#N/A")</f>
        <v>#N/A</v>
      </c>
      <c r="H1482" s="16">
        <f>IFERROR(__xludf.DUMMYFUNCTION("GOOGLEFINANCE(B1482,""price"")"),15.75)</f>
        <v>15.75</v>
      </c>
      <c r="I1482" s="17">
        <f>IFERROR(__xludf.DUMMYFUNCTION("AVERAGE(QUERY(SORT(GOOGLEFINANCE(B1482,""price"",TODAY()-365,TODAY()),1,0),""select Col2 limit 10""))"),17.924000000000003)</f>
        <v>17.924</v>
      </c>
      <c r="J1482" s="17">
        <f>IFERROR(__xludf.DUMMYFUNCTION("AVERAGE(QUERY(SORT(GOOGLEFINANCE(B1482,""price"",TODAY()-365,TODAY()),1,0),""select Col2 limit 30""))"),17.562)</f>
        <v>17.562</v>
      </c>
      <c r="K1482" s="18">
        <f>IFERROR(__xludf.DUMMYFUNCTION("AVERAGE(QUERY(SORT(GOOGLEFINANCE(B1482,""price"",TODAY()-365,TODAY()),1,0),""select Col2 limit 60""))"),13.854000000000001)</f>
        <v>13.854</v>
      </c>
      <c r="L1482" s="17">
        <f>IFERROR(__xludf.DUMMYFUNCTION("AVERAGE(QUERY(SORT(GOOGLEFINANCE(B1482,""price"",TODAY()-365,TODAY()),1,0),""select Col2 limit 90""))"),11.812666666666663)</f>
        <v>11.81266667</v>
      </c>
      <c r="M1482" s="17">
        <f>IFERROR(__xludf.DUMMYFUNCTION("AVERAGE(QUERY(SORT(GOOGLEFINANCE(B1482,""price"",TODAY()-365,TODAY()),1,0),""select Col2 limit 120""))"),11.787833333333328)</f>
        <v>11.78783333</v>
      </c>
      <c r="N1482" s="19">
        <f>IFERROR(__xludf.DUMMYFUNCTION("AVERAGE(QUERY(SORT(GOOGLEFINANCE(B1482,""price"",TODAY()-365,TODAY()),1,0),""select Col2 limit 200""))"),14.978850000000001)</f>
        <v>14.97885</v>
      </c>
      <c r="O1482" s="20" t="str">
        <f t="shared" si="2"/>
        <v>Avoid</v>
      </c>
      <c r="P1482" s="21" t="str">
        <f t="shared" si="3"/>
        <v/>
      </c>
      <c r="Q1482" s="21" t="str">
        <f t="shared" si="4"/>
        <v/>
      </c>
      <c r="R1482" s="22" t="str">
        <f>IFERROR(__xludf.DUMMYFUNCTION("GOOGLEFINANCE(B1482, ""pe"")
"),"#N/A")</f>
        <v>#N/A</v>
      </c>
    </row>
    <row r="1483">
      <c r="A1483" s="9" t="s">
        <v>1491</v>
      </c>
      <c r="B1483" s="11" t="str">
        <f t="shared" si="1"/>
        <v>NSE:DEEPENR</v>
      </c>
      <c r="C1483" s="12" t="str">
        <f>IFERROR(__xludf.DUMMYFUNCTION("GOOGLEFINANCE(B1483,""marketcap"")/10000000"),"#N/A")</f>
        <v>#N/A</v>
      </c>
      <c r="D1483" s="13" t="str">
        <f>IFERROR(__xludf.DUMMYFUNCTION("GOOGLEFINANCE(B1483,""price"")"),"#N/A")</f>
        <v>#N/A</v>
      </c>
      <c r="E1483" s="14" t="str">
        <f>IFERROR(__xludf.DUMMYFUNCTION("GOOGLEFINANCE(B1483,""Volume"")"),"#N/A")</f>
        <v>#N/A</v>
      </c>
      <c r="F1483" s="14">
        <f t="array" ref="F1483">F1482</f>
        <v>14</v>
      </c>
      <c r="G1483" s="15" t="str">
        <f>IFERROR(__xludf.DUMMYFUNCTION("IF(E1483&gt;AVERAGE(INDEX(GOOGLEFINANCE(B1483,""volume"",WORKDAY(TODAY(),-$F$1),TODAY()),,2)),""Breakout"","""")"),"#N/A")</f>
        <v>#N/A</v>
      </c>
      <c r="H1483" s="16" t="str">
        <f>IFERROR(__xludf.DUMMYFUNCTION("GOOGLEFINANCE(B1483,""price"")"),"#N/A")</f>
        <v>#N/A</v>
      </c>
      <c r="I1483" s="17" t="str">
        <f>IFERROR(__xludf.DUMMYFUNCTION("AVERAGE(QUERY(SORT(GOOGLEFINANCE(B1483,""price"",TODAY()-365,TODAY()),1,0),""select Col2 limit 10""))"),"#N/A")</f>
        <v>#N/A</v>
      </c>
      <c r="J1483" s="17" t="str">
        <f>IFERROR(__xludf.DUMMYFUNCTION("AVERAGE(QUERY(SORT(GOOGLEFINANCE(B1483,""price"",TODAY()-365,TODAY()),1,0),""select Col2 limit 30""))"),"#N/A")</f>
        <v>#N/A</v>
      </c>
      <c r="K1483" s="18" t="str">
        <f>IFERROR(__xludf.DUMMYFUNCTION("AVERAGE(QUERY(SORT(GOOGLEFINANCE(B1483,""price"",TODAY()-365,TODAY()),1,0),""select Col2 limit 60""))"),"#N/A")</f>
        <v>#N/A</v>
      </c>
      <c r="L1483" s="17" t="str">
        <f>IFERROR(__xludf.DUMMYFUNCTION("AVERAGE(QUERY(SORT(GOOGLEFINANCE(B1483,""price"",TODAY()-365,TODAY()),1,0),""select Col2 limit 90""))"),"#N/A")</f>
        <v>#N/A</v>
      </c>
      <c r="M1483" s="17" t="str">
        <f>IFERROR(__xludf.DUMMYFUNCTION("AVERAGE(QUERY(SORT(GOOGLEFINANCE(B1483,""price"",TODAY()-365,TODAY()),1,0),""select Col2 limit 120""))"),"#N/A")</f>
        <v>#N/A</v>
      </c>
      <c r="N1483" s="19" t="str">
        <f>IFERROR(__xludf.DUMMYFUNCTION("AVERAGE(QUERY(SORT(GOOGLEFINANCE(B1483,""price"",TODAY()-365,TODAY()),1,0),""select Col2 limit 200""))"),"#N/A")</f>
        <v>#N/A</v>
      </c>
      <c r="O1483" s="20" t="str">
        <f t="shared" si="2"/>
        <v>#N/A</v>
      </c>
      <c r="P1483" s="21" t="str">
        <f t="shared" si="3"/>
        <v>#N/A</v>
      </c>
      <c r="Q1483" s="21" t="str">
        <f t="shared" si="4"/>
        <v>#N/A</v>
      </c>
      <c r="R1483" s="22" t="str">
        <f>IFERROR(__xludf.DUMMYFUNCTION("GOOGLEFINANCE(B1483, ""pe"")
"),"#N/A")</f>
        <v>#N/A</v>
      </c>
    </row>
    <row r="1484">
      <c r="A1484" s="9" t="s">
        <v>1492</v>
      </c>
      <c r="B1484" s="11" t="str">
        <f t="shared" si="1"/>
        <v>NSE:ORIENTBELL</v>
      </c>
      <c r="C1484" s="12">
        <f>IFERROR(__xludf.DUMMYFUNCTION("GOOGLEFINANCE(B1484,""marketcap"")/10000000"),443.6909675)</f>
        <v>443.6909675</v>
      </c>
      <c r="D1484" s="13">
        <f>IFERROR(__xludf.DUMMYFUNCTION("GOOGLEFINANCE(B1484,""price"")"),302.5)</f>
        <v>302.5</v>
      </c>
      <c r="E1484" s="14">
        <f>IFERROR(__xludf.DUMMYFUNCTION("GOOGLEFINANCE(B1484,""Volume"")"),6859.0)</f>
        <v>6859</v>
      </c>
      <c r="F1484" s="14">
        <f t="array" ref="F1484">F1483</f>
        <v>14</v>
      </c>
      <c r="G1484" s="15" t="str">
        <f>IFERROR(__xludf.DUMMYFUNCTION("IF(E1484&gt;AVERAGE(INDEX(GOOGLEFINANCE(B1484,""volume"",WORKDAY(TODAY(),-$F$1),TODAY()),,2)),""Breakout"","""")"),"#N/A")</f>
        <v>#N/A</v>
      </c>
      <c r="H1484" s="16">
        <f>IFERROR(__xludf.DUMMYFUNCTION("GOOGLEFINANCE(B1484,""price"")"),302.5)</f>
        <v>302.5</v>
      </c>
      <c r="I1484" s="17">
        <f>IFERROR(__xludf.DUMMYFUNCTION("AVERAGE(QUERY(SORT(GOOGLEFINANCE(B1484,""price"",TODAY()-365,TODAY()),1,0),""select Col2 limit 10""))"),306.51)</f>
        <v>306.51</v>
      </c>
      <c r="J1484" s="17">
        <f>IFERROR(__xludf.DUMMYFUNCTION("AVERAGE(QUERY(SORT(GOOGLEFINANCE(B1484,""price"",TODAY()-365,TODAY()),1,0),""select Col2 limit 30""))"),307.75433333333336)</f>
        <v>307.7543333</v>
      </c>
      <c r="K1484" s="18">
        <f>IFERROR(__xludf.DUMMYFUNCTION("AVERAGE(QUERY(SORT(GOOGLEFINANCE(B1484,""price"",TODAY()-365,TODAY()),1,0),""select Col2 limit 60""))"),285.38649999999996)</f>
        <v>285.3865</v>
      </c>
      <c r="L1484" s="17">
        <f>IFERROR(__xludf.DUMMYFUNCTION("AVERAGE(QUERY(SORT(GOOGLEFINANCE(B1484,""price"",TODAY()-365,TODAY()),1,0),""select Col2 limit 90""))"),272.59577777777787)</f>
        <v>272.5957778</v>
      </c>
      <c r="M1484" s="17">
        <f>IFERROR(__xludf.DUMMYFUNCTION("AVERAGE(QUERY(SORT(GOOGLEFINANCE(B1484,""price"",TODAY()-365,TODAY()),1,0),""select Col2 limit 120""))"),272.6480833333334)</f>
        <v>272.6480833</v>
      </c>
      <c r="N1484" s="19">
        <f>IFERROR(__xludf.DUMMYFUNCTION("AVERAGE(QUERY(SORT(GOOGLEFINANCE(B1484,""price"",TODAY()-365,TODAY()),1,0),""select Col2 limit 200""))"),292.51985)</f>
        <v>292.51985</v>
      </c>
      <c r="O1484" s="20" t="str">
        <f t="shared" si="2"/>
        <v>Avoid</v>
      </c>
      <c r="P1484" s="21" t="str">
        <f t="shared" si="3"/>
        <v/>
      </c>
      <c r="Q1484" s="21" t="str">
        <f t="shared" si="4"/>
        <v/>
      </c>
      <c r="R1484" s="22">
        <f>IFERROR(__xludf.DUMMYFUNCTION("GOOGLEFINANCE(B1484, ""pe"")
"),156.39)</f>
        <v>156.39</v>
      </c>
    </row>
    <row r="1485">
      <c r="A1485" s="9" t="s">
        <v>1493</v>
      </c>
      <c r="B1485" s="11" t="str">
        <f t="shared" si="1"/>
        <v>NSE:KANORICHEM</v>
      </c>
      <c r="C1485" s="12">
        <f>IFERROR(__xludf.DUMMYFUNCTION("GOOGLEFINANCE(B1485,""marketcap"")/10000000"),391.4047685)</f>
        <v>391.4047685</v>
      </c>
      <c r="D1485" s="13">
        <f>IFERROR(__xludf.DUMMYFUNCTION("GOOGLEFINANCE(B1485,""price"")"),89.58)</f>
        <v>89.58</v>
      </c>
      <c r="E1485" s="14">
        <f>IFERROR(__xludf.DUMMYFUNCTION("GOOGLEFINANCE(B1485,""Volume"")"),2893.0)</f>
        <v>2893</v>
      </c>
      <c r="F1485" s="14">
        <f t="array" ref="F1485">F1484</f>
        <v>14</v>
      </c>
      <c r="G1485" s="15" t="str">
        <f>IFERROR(__xludf.DUMMYFUNCTION("IF(E1485&gt;AVERAGE(INDEX(GOOGLEFINANCE(B1485,""volume"",WORKDAY(TODAY(),-$F$1),TODAY()),,2)),""Breakout"","""")"),"")</f>
        <v/>
      </c>
      <c r="H1485" s="16">
        <f>IFERROR(__xludf.DUMMYFUNCTION("GOOGLEFINANCE(B1485,""price"")"),89.58)</f>
        <v>89.58</v>
      </c>
      <c r="I1485" s="17">
        <f>IFERROR(__xludf.DUMMYFUNCTION("AVERAGE(QUERY(SORT(GOOGLEFINANCE(B1485,""price"",TODAY()-365,TODAY()),1,0),""select Col2 limit 10""))"),90.751)</f>
        <v>90.751</v>
      </c>
      <c r="J1485" s="17">
        <f>IFERROR(__xludf.DUMMYFUNCTION("AVERAGE(QUERY(SORT(GOOGLEFINANCE(B1485,""price"",TODAY()-365,TODAY()),1,0),""select Col2 limit 30""))"),92.61399999999999)</f>
        <v>92.614</v>
      </c>
      <c r="K1485" s="18">
        <f>IFERROR(__xludf.DUMMYFUNCTION("AVERAGE(QUERY(SORT(GOOGLEFINANCE(B1485,""price"",TODAY()-365,TODAY()),1,0),""select Col2 limit 60""))"),92.65183333333331)</f>
        <v>92.65183333</v>
      </c>
      <c r="L1485" s="17">
        <f>IFERROR(__xludf.DUMMYFUNCTION("AVERAGE(QUERY(SORT(GOOGLEFINANCE(B1485,""price"",TODAY()-365,TODAY()),1,0),""select Col2 limit 90""))"),89.89011111111111)</f>
        <v>89.89011111</v>
      </c>
      <c r="M1485" s="17">
        <f>IFERROR(__xludf.DUMMYFUNCTION("AVERAGE(QUERY(SORT(GOOGLEFINANCE(B1485,""price"",TODAY()-365,TODAY()),1,0),""select Col2 limit 120""))"),90.52308333333329)</f>
        <v>90.52308333</v>
      </c>
      <c r="N1485" s="19">
        <f>IFERROR(__xludf.DUMMYFUNCTION("AVERAGE(QUERY(SORT(GOOGLEFINANCE(B1485,""price"",TODAY()-365,TODAY()),1,0),""select Col2 limit 200""))"),102.67429999999996)</f>
        <v>102.6743</v>
      </c>
      <c r="O1485" s="20" t="str">
        <f t="shared" si="2"/>
        <v>Avoid</v>
      </c>
      <c r="P1485" s="21" t="str">
        <f t="shared" si="3"/>
        <v>90 DMA</v>
      </c>
      <c r="Q1485" s="21" t="str">
        <f t="shared" si="4"/>
        <v/>
      </c>
      <c r="R1485" s="22" t="str">
        <f>IFERROR(__xludf.DUMMYFUNCTION("GOOGLEFINANCE(B1485, ""pe"")
"),"#N/A")</f>
        <v>#N/A</v>
      </c>
    </row>
    <row r="1486">
      <c r="A1486" s="9" t="s">
        <v>1494</v>
      </c>
      <c r="B1486" s="11" t="str">
        <f t="shared" si="1"/>
        <v>NSE:NITCO</v>
      </c>
      <c r="C1486" s="12">
        <f>IFERROR(__xludf.DUMMYFUNCTION("GOOGLEFINANCE(B1486,""marketcap"")/10000000"),3023.0173104)</f>
        <v>3023.01731</v>
      </c>
      <c r="D1486" s="13">
        <f>IFERROR(__xludf.DUMMYFUNCTION("GOOGLEFINANCE(B1486,""price"")"),132.17)</f>
        <v>132.17</v>
      </c>
      <c r="E1486" s="14">
        <f>IFERROR(__xludf.DUMMYFUNCTION("GOOGLEFINANCE(B1486,""Volume"")"),111898.0)</f>
        <v>111898</v>
      </c>
      <c r="F1486" s="14">
        <f t="array" ref="F1486">F1485</f>
        <v>14</v>
      </c>
      <c r="G1486" s="15" t="str">
        <f>IFERROR(__xludf.DUMMYFUNCTION("IF(E1486&gt;AVERAGE(INDEX(GOOGLEFINANCE(B1486,""volume"",WORKDAY(TODAY(),-$F$1),TODAY()),,2)),""Breakout"","""")"),"")</f>
        <v/>
      </c>
      <c r="H1486" s="16">
        <f>IFERROR(__xludf.DUMMYFUNCTION("GOOGLEFINANCE(B1486,""price"")"),132.17)</f>
        <v>132.17</v>
      </c>
      <c r="I1486" s="17">
        <f>IFERROR(__xludf.DUMMYFUNCTION("AVERAGE(QUERY(SORT(GOOGLEFINANCE(B1486,""price"",TODAY()-365,TODAY()),1,0),""select Col2 limit 10""))"),142.43699999999998)</f>
        <v>142.437</v>
      </c>
      <c r="J1486" s="17">
        <f>IFERROR(__xludf.DUMMYFUNCTION("AVERAGE(QUERY(SORT(GOOGLEFINANCE(B1486,""price"",TODAY()-365,TODAY()),1,0),""select Col2 limit 30""))"),142.80233333333337)</f>
        <v>142.8023333</v>
      </c>
      <c r="K1486" s="18">
        <f>IFERROR(__xludf.DUMMYFUNCTION("AVERAGE(QUERY(SORT(GOOGLEFINANCE(B1486,""price"",TODAY()-365,TODAY()),1,0),""select Col2 limit 60""))"),137.3323333333333)</f>
        <v>137.3323333</v>
      </c>
      <c r="L1486" s="17">
        <f>IFERROR(__xludf.DUMMYFUNCTION("AVERAGE(QUERY(SORT(GOOGLEFINANCE(B1486,""price"",TODAY()-365,TODAY()),1,0),""select Col2 limit 90""))"),130.995)</f>
        <v>130.995</v>
      </c>
      <c r="M1486" s="17">
        <f>IFERROR(__xludf.DUMMYFUNCTION("AVERAGE(QUERY(SORT(GOOGLEFINANCE(B1486,""price"",TODAY()-365,TODAY()),1,0),""select Col2 limit 120""))"),126.70700000000002)</f>
        <v>126.707</v>
      </c>
      <c r="N1486" s="19">
        <f>IFERROR(__xludf.DUMMYFUNCTION("AVERAGE(QUERY(SORT(GOOGLEFINANCE(B1486,""price"",TODAY()-365,TODAY()),1,0),""select Col2 limit 200""))"),124.66580000000002)</f>
        <v>124.6658</v>
      </c>
      <c r="O1486" s="20" t="str">
        <f t="shared" si="2"/>
        <v>Avoid</v>
      </c>
      <c r="P1486" s="21" t="str">
        <f t="shared" si="3"/>
        <v/>
      </c>
      <c r="Q1486" s="21" t="str">
        <f t="shared" si="4"/>
        <v/>
      </c>
      <c r="R1486" s="22" t="str">
        <f>IFERROR(__xludf.DUMMYFUNCTION("GOOGLEFINANCE(B1486, ""pe"")
"),"#N/A")</f>
        <v>#N/A</v>
      </c>
    </row>
    <row r="1487">
      <c r="A1487" s="9" t="s">
        <v>1495</v>
      </c>
      <c r="B1487" s="11" t="str">
        <f t="shared" si="1"/>
        <v>NSE:NAHARCAP</v>
      </c>
      <c r="C1487" s="12">
        <f>IFERROR(__xludf.DUMMYFUNCTION("GOOGLEFINANCE(B1487,""marketcap"")/10000000"),515.781728)</f>
        <v>515.781728</v>
      </c>
      <c r="D1487" s="13">
        <f>IFERROR(__xludf.DUMMYFUNCTION("GOOGLEFINANCE(B1487,""price"")"),308.0)</f>
        <v>308</v>
      </c>
      <c r="E1487" s="14">
        <f>IFERROR(__xludf.DUMMYFUNCTION("GOOGLEFINANCE(B1487,""Volume"")"),457.0)</f>
        <v>457</v>
      </c>
      <c r="F1487" s="14">
        <f t="array" ref="F1487">F1486</f>
        <v>14</v>
      </c>
      <c r="G1487" s="15" t="str">
        <f>IFERROR(__xludf.DUMMYFUNCTION("IF(E1487&gt;AVERAGE(INDEX(GOOGLEFINANCE(B1487,""volume"",WORKDAY(TODAY(),-$F$1),TODAY()),,2)),""Breakout"","""")"),"")</f>
        <v/>
      </c>
      <c r="H1487" s="16">
        <f>IFERROR(__xludf.DUMMYFUNCTION("GOOGLEFINANCE(B1487,""price"")"),308.0)</f>
        <v>308</v>
      </c>
      <c r="I1487" s="17">
        <f>IFERROR(__xludf.DUMMYFUNCTION("AVERAGE(QUERY(SORT(GOOGLEFINANCE(B1487,""price"",TODAY()-365,TODAY()),1,0),""select Col2 limit 10""))"),315.245)</f>
        <v>315.245</v>
      </c>
      <c r="J1487" s="17">
        <f>IFERROR(__xludf.DUMMYFUNCTION("AVERAGE(QUERY(SORT(GOOGLEFINANCE(B1487,""price"",TODAY()-365,TODAY()),1,0),""select Col2 limit 30""))"),322.43666666666667)</f>
        <v>322.4366667</v>
      </c>
      <c r="K1487" s="18">
        <f>IFERROR(__xludf.DUMMYFUNCTION("AVERAGE(QUERY(SORT(GOOGLEFINANCE(B1487,""price"",TODAY()-365,TODAY()),1,0),""select Col2 limit 60""))"),304.20833333333337)</f>
        <v>304.2083333</v>
      </c>
      <c r="L1487" s="17">
        <f>IFERROR(__xludf.DUMMYFUNCTION("AVERAGE(QUERY(SORT(GOOGLEFINANCE(B1487,""price"",TODAY()-365,TODAY()),1,0),""select Col2 limit 90""))"),284.2638888888889)</f>
        <v>284.2638889</v>
      </c>
      <c r="M1487" s="17">
        <f>IFERROR(__xludf.DUMMYFUNCTION("AVERAGE(QUERY(SORT(GOOGLEFINANCE(B1487,""price"",TODAY()-365,TODAY()),1,0),""select Col2 limit 120""))"),275.9675)</f>
        <v>275.9675</v>
      </c>
      <c r="N1487" s="19">
        <f>IFERROR(__xludf.DUMMYFUNCTION("AVERAGE(QUERY(SORT(GOOGLEFINANCE(B1487,""price"",TODAY()-365,TODAY()),1,0),""select Col2 limit 200""))"),292.0350000000001)</f>
        <v>292.035</v>
      </c>
      <c r="O1487" s="20" t="str">
        <f t="shared" si="2"/>
        <v>Avoid</v>
      </c>
      <c r="P1487" s="21" t="str">
        <f t="shared" si="3"/>
        <v/>
      </c>
      <c r="Q1487" s="21" t="str">
        <f t="shared" si="4"/>
        <v/>
      </c>
      <c r="R1487" s="22">
        <f>IFERROR(__xludf.DUMMYFUNCTION("GOOGLEFINANCE(B1487, ""pe"")
"),10.35)</f>
        <v>10.35</v>
      </c>
    </row>
    <row r="1488">
      <c r="A1488" s="9" t="s">
        <v>1496</v>
      </c>
      <c r="B1488" s="11" t="str">
        <f t="shared" si="1"/>
        <v>NSE:SRGHFL</v>
      </c>
      <c r="C1488" s="12">
        <f>IFERROR(__xludf.DUMMYFUNCTION("GOOGLEFINANCE(B1488,""marketcap"")/10000000"),480.1347857)</f>
        <v>480.1347857</v>
      </c>
      <c r="D1488" s="13">
        <f>IFERROR(__xludf.DUMMYFUNCTION("GOOGLEFINANCE(B1488,""price"")"),305.2)</f>
        <v>305.2</v>
      </c>
      <c r="E1488" s="14">
        <f>IFERROR(__xludf.DUMMYFUNCTION("GOOGLEFINANCE(B1488,""Volume"")"),536.0)</f>
        <v>536</v>
      </c>
      <c r="F1488" s="14">
        <f t="array" ref="F1488">F1487</f>
        <v>14</v>
      </c>
      <c r="G1488" s="15" t="str">
        <f>IFERROR(__xludf.DUMMYFUNCTION("IF(E1488&gt;AVERAGE(INDEX(GOOGLEFINANCE(B1488,""volume"",WORKDAY(TODAY(),-$F$1),TODAY()),,2)),""Breakout"","""")"),"")</f>
        <v/>
      </c>
      <c r="H1488" s="16">
        <f>IFERROR(__xludf.DUMMYFUNCTION("GOOGLEFINANCE(B1488,""price"")"),305.2)</f>
        <v>305.2</v>
      </c>
      <c r="I1488" s="17">
        <f>IFERROR(__xludf.DUMMYFUNCTION("AVERAGE(QUERY(SORT(GOOGLEFINANCE(B1488,""price"",TODAY()-365,TODAY()),1,0),""select Col2 limit 10""))"),315.68)</f>
        <v>315.68</v>
      </c>
      <c r="J1488" s="17">
        <f>IFERROR(__xludf.DUMMYFUNCTION("AVERAGE(QUERY(SORT(GOOGLEFINANCE(B1488,""price"",TODAY()-365,TODAY()),1,0),""select Col2 limit 30""))"),313.29833333333335)</f>
        <v>313.2983333</v>
      </c>
      <c r="K1488" s="18">
        <f>IFERROR(__xludf.DUMMYFUNCTION("AVERAGE(QUERY(SORT(GOOGLEFINANCE(B1488,""price"",TODAY()-365,TODAY()),1,0),""select Col2 limit 60""))"),311.1941666666667)</f>
        <v>311.1941667</v>
      </c>
      <c r="L1488" s="17">
        <f>IFERROR(__xludf.DUMMYFUNCTION("AVERAGE(QUERY(SORT(GOOGLEFINANCE(B1488,""price"",TODAY()-365,TODAY()),1,0),""select Col2 limit 90""))"),314.3477777777778)</f>
        <v>314.3477778</v>
      </c>
      <c r="M1488" s="17">
        <f>IFERROR(__xludf.DUMMYFUNCTION("AVERAGE(QUERY(SORT(GOOGLEFINANCE(B1488,""price"",TODAY()-365,TODAY()),1,0),""select Col2 limit 120""))"),313.1054166666668)</f>
        <v>313.1054167</v>
      </c>
      <c r="N1488" s="19">
        <f>IFERROR(__xludf.DUMMYFUNCTION("AVERAGE(QUERY(SORT(GOOGLEFINANCE(B1488,""price"",TODAY()-365,TODAY()),1,0),""select Col2 limit 200""))"),328.50625)</f>
        <v>328.50625</v>
      </c>
      <c r="O1488" s="20" t="str">
        <f t="shared" si="2"/>
        <v>Avoid</v>
      </c>
      <c r="P1488" s="21" t="str">
        <f t="shared" si="3"/>
        <v/>
      </c>
      <c r="Q1488" s="21" t="str">
        <f t="shared" si="4"/>
        <v/>
      </c>
      <c r="R1488" s="22">
        <f>IFERROR(__xludf.DUMMYFUNCTION("GOOGLEFINANCE(B1488, ""pe"")
"),17.5)</f>
        <v>17.5</v>
      </c>
    </row>
    <row r="1489">
      <c r="A1489" s="9" t="s">
        <v>1497</v>
      </c>
      <c r="B1489" s="11" t="str">
        <f t="shared" si="1"/>
        <v>NSE:KILITCH</v>
      </c>
      <c r="C1489" s="12">
        <f>IFERROR(__xludf.DUMMYFUNCTION("GOOGLEFINANCE(B1489,""marketcap"")/10000000"),773.498802)</f>
        <v>773.498802</v>
      </c>
      <c r="D1489" s="13">
        <f>IFERROR(__xludf.DUMMYFUNCTION("GOOGLEFINANCE(B1489,""price"")"),439.0)</f>
        <v>439</v>
      </c>
      <c r="E1489" s="14">
        <f>IFERROR(__xludf.DUMMYFUNCTION("GOOGLEFINANCE(B1489,""Volume"")"),696.0)</f>
        <v>696</v>
      </c>
      <c r="F1489" s="14">
        <f t="array" ref="F1489">F1488</f>
        <v>14</v>
      </c>
      <c r="G1489" s="15" t="str">
        <f>IFERROR(__xludf.DUMMYFUNCTION("IF(E1489&gt;AVERAGE(INDEX(GOOGLEFINANCE(B1489,""volume"",WORKDAY(TODAY(),-$F$1),TODAY()),,2)),""Breakout"","""")"),"")</f>
        <v/>
      </c>
      <c r="H1489" s="16">
        <f>IFERROR(__xludf.DUMMYFUNCTION("GOOGLEFINANCE(B1489,""price"")"),439.0)</f>
        <v>439</v>
      </c>
      <c r="I1489" s="17">
        <f>IFERROR(__xludf.DUMMYFUNCTION("AVERAGE(QUERY(SORT(GOOGLEFINANCE(B1489,""price"",TODAY()-365,TODAY()),1,0),""select Col2 limit 10""))"),451.42600000000004)</f>
        <v>451.426</v>
      </c>
      <c r="J1489" s="17">
        <f>IFERROR(__xludf.DUMMYFUNCTION("AVERAGE(QUERY(SORT(GOOGLEFINANCE(B1489,""price"",TODAY()-365,TODAY()),1,0),""select Col2 limit 30""))"),435.7216666666667)</f>
        <v>435.7216667</v>
      </c>
      <c r="K1489" s="18">
        <f>IFERROR(__xludf.DUMMYFUNCTION("AVERAGE(QUERY(SORT(GOOGLEFINANCE(B1489,""price"",TODAY()-365,TODAY()),1,0),""select Col2 limit 60""))"),429.7795000000002)</f>
        <v>429.7795</v>
      </c>
      <c r="L1489" s="17">
        <f>IFERROR(__xludf.DUMMYFUNCTION("AVERAGE(QUERY(SORT(GOOGLEFINANCE(B1489,""price"",TODAY()-365,TODAY()),1,0),""select Col2 limit 90""))"),401.3711111111112)</f>
        <v>401.3711111</v>
      </c>
      <c r="M1489" s="17">
        <f>IFERROR(__xludf.DUMMYFUNCTION("AVERAGE(QUERY(SORT(GOOGLEFINANCE(B1489,""price"",TODAY()-365,TODAY()),1,0),""select Col2 limit 120""))"),378.3557500000002)</f>
        <v>378.35575</v>
      </c>
      <c r="N1489" s="19">
        <f>IFERROR(__xludf.DUMMYFUNCTION("AVERAGE(QUERY(SORT(GOOGLEFINANCE(B1489,""price"",TODAY()-365,TODAY()),1,0),""select Col2 limit 200""))"),353.98384999999985)</f>
        <v>353.98385</v>
      </c>
      <c r="O1489" s="20" t="str">
        <f t="shared" si="2"/>
        <v>Avoid</v>
      </c>
      <c r="P1489" s="21" t="str">
        <f t="shared" si="3"/>
        <v/>
      </c>
      <c r="Q1489" s="21" t="str">
        <f t="shared" si="4"/>
        <v/>
      </c>
      <c r="R1489" s="22">
        <f>IFERROR(__xludf.DUMMYFUNCTION("GOOGLEFINANCE(B1489, ""pe"")
"),27.02)</f>
        <v>27.02</v>
      </c>
    </row>
    <row r="1490">
      <c r="A1490" s="9" t="s">
        <v>1498</v>
      </c>
      <c r="B1490" s="11" t="str">
        <f t="shared" si="1"/>
        <v>NSE:PARSVNATH</v>
      </c>
      <c r="C1490" s="12">
        <f>IFERROR(__xludf.DUMMYFUNCTION("GOOGLEFINANCE(B1490,""marketcap"")/10000000"),778.5389613)</f>
        <v>778.5389613</v>
      </c>
      <c r="D1490" s="13">
        <f>IFERROR(__xludf.DUMMYFUNCTION("GOOGLEFINANCE(B1490,""price"")"),17.89)</f>
        <v>17.89</v>
      </c>
      <c r="E1490" s="14">
        <f>IFERROR(__xludf.DUMMYFUNCTION("GOOGLEFINANCE(B1490,""Volume"")"),1880036.0)</f>
        <v>1880036</v>
      </c>
      <c r="F1490" s="14">
        <f t="array" ref="F1490">F1489</f>
        <v>14</v>
      </c>
      <c r="G1490" s="15" t="str">
        <f>IFERROR(__xludf.DUMMYFUNCTION("IF(E1490&gt;AVERAGE(INDEX(GOOGLEFINANCE(B1490,""volume"",WORKDAY(TODAY(),-$F$1),TODAY()),,2)),""Breakout"","""")"),"")</f>
        <v/>
      </c>
      <c r="H1490" s="16">
        <f>IFERROR(__xludf.DUMMYFUNCTION("GOOGLEFINANCE(B1490,""price"")"),17.89)</f>
        <v>17.89</v>
      </c>
      <c r="I1490" s="17">
        <f>IFERROR(__xludf.DUMMYFUNCTION("AVERAGE(QUERY(SORT(GOOGLEFINANCE(B1490,""price"",TODAY()-365,TODAY()),1,0),""select Col2 limit 10""))"),21.82)</f>
        <v>21.82</v>
      </c>
      <c r="J1490" s="17">
        <f>IFERROR(__xludf.DUMMYFUNCTION("AVERAGE(QUERY(SORT(GOOGLEFINANCE(B1490,""price"",TODAY()-365,TODAY()),1,0),""select Col2 limit 30""))"),20.961666666666666)</f>
        <v>20.96166667</v>
      </c>
      <c r="K1490" s="18">
        <f>IFERROR(__xludf.DUMMYFUNCTION("AVERAGE(QUERY(SORT(GOOGLEFINANCE(B1490,""price"",TODAY()-365,TODAY()),1,0),""select Col2 limit 60""))"),20.49833333333333)</f>
        <v>20.49833333</v>
      </c>
      <c r="L1490" s="17">
        <f>IFERROR(__xludf.DUMMYFUNCTION("AVERAGE(QUERY(SORT(GOOGLEFINANCE(B1490,""price"",TODAY()-365,TODAY()),1,0),""select Col2 limit 90""))"),21.135666666666662)</f>
        <v>21.13566667</v>
      </c>
      <c r="M1490" s="17">
        <f>IFERROR(__xludf.DUMMYFUNCTION("AVERAGE(QUERY(SORT(GOOGLEFINANCE(B1490,""price"",TODAY()-365,TODAY()),1,0),""select Col2 limit 120""))"),21.619416666666663)</f>
        <v>21.61941667</v>
      </c>
      <c r="N1490" s="19">
        <f>IFERROR(__xludf.DUMMYFUNCTION("AVERAGE(QUERY(SORT(GOOGLEFINANCE(B1490,""price"",TODAY()-365,TODAY()),1,0),""select Col2 limit 200""))"),21.011350000000004)</f>
        <v>21.01135</v>
      </c>
      <c r="O1490" s="20" t="str">
        <f t="shared" si="2"/>
        <v>Avoid</v>
      </c>
      <c r="P1490" s="21" t="str">
        <f t="shared" si="3"/>
        <v/>
      </c>
      <c r="Q1490" s="21" t="str">
        <f t="shared" si="4"/>
        <v/>
      </c>
      <c r="R1490" s="22" t="str">
        <f>IFERROR(__xludf.DUMMYFUNCTION("GOOGLEFINANCE(B1490, ""pe"")
"),"#N/A")</f>
        <v>#N/A</v>
      </c>
    </row>
    <row r="1491">
      <c r="A1491" s="9" t="s">
        <v>1499</v>
      </c>
      <c r="B1491" s="11" t="str">
        <f t="shared" si="1"/>
        <v>NSE:NBIFIN</v>
      </c>
      <c r="C1491" s="12">
        <f>IFERROR(__xludf.DUMMYFUNCTION("GOOGLEFINANCE(B1491,""marketcap"")/10000000"),842.131965)</f>
        <v>842.131965</v>
      </c>
      <c r="D1491" s="13">
        <f>IFERROR(__xludf.DUMMYFUNCTION("GOOGLEFINANCE(B1491,""price"")"),2850.0)</f>
        <v>2850</v>
      </c>
      <c r="E1491" s="14">
        <f>IFERROR(__xludf.DUMMYFUNCTION("GOOGLEFINANCE(B1491,""Volume"")"),308.0)</f>
        <v>308</v>
      </c>
      <c r="F1491" s="14">
        <f t="array" ref="F1491">F1490</f>
        <v>14</v>
      </c>
      <c r="G1491" s="15" t="str">
        <f>IFERROR(__xludf.DUMMYFUNCTION("IF(E1491&gt;AVERAGE(INDEX(GOOGLEFINANCE(B1491,""volume"",WORKDAY(TODAY(),-$F$1),TODAY()),,2)),""Breakout"","""")"),"#N/A")</f>
        <v>#N/A</v>
      </c>
      <c r="H1491" s="16">
        <f>IFERROR(__xludf.DUMMYFUNCTION("GOOGLEFINANCE(B1491,""price"")"),2850.0)</f>
        <v>2850</v>
      </c>
      <c r="I1491" s="17">
        <f>IFERROR(__xludf.DUMMYFUNCTION("AVERAGE(QUERY(SORT(GOOGLEFINANCE(B1491,""price"",TODAY()-365,TODAY()),1,0),""select Col2 limit 10""))"),2907.8900000000003)</f>
        <v>2907.89</v>
      </c>
      <c r="J1491" s="17">
        <f>IFERROR(__xludf.DUMMYFUNCTION("AVERAGE(QUERY(SORT(GOOGLEFINANCE(B1491,""price"",TODAY()-365,TODAY()),1,0),""select Col2 limit 30""))"),2935.7966666666666)</f>
        <v>2935.796667</v>
      </c>
      <c r="K1491" s="18">
        <f>IFERROR(__xludf.DUMMYFUNCTION("AVERAGE(QUERY(SORT(GOOGLEFINANCE(B1491,""price"",TODAY()-365,TODAY()),1,0),""select Col2 limit 60""))"),2738.408333333333)</f>
        <v>2738.408333</v>
      </c>
      <c r="L1491" s="17">
        <f>IFERROR(__xludf.DUMMYFUNCTION("AVERAGE(QUERY(SORT(GOOGLEFINANCE(B1491,""price"",TODAY()-365,TODAY()),1,0),""select Col2 limit 90""))"),2625.3333333333326)</f>
        <v>2625.333333</v>
      </c>
      <c r="M1491" s="17">
        <f>IFERROR(__xludf.DUMMYFUNCTION("AVERAGE(QUERY(SORT(GOOGLEFINANCE(B1491,""price"",TODAY()-365,TODAY()),1,0),""select Col2 limit 120""))"),2543.8529166666654)</f>
        <v>2543.852917</v>
      </c>
      <c r="N1491" s="19">
        <f>IFERROR(__xludf.DUMMYFUNCTION("AVERAGE(QUERY(SORT(GOOGLEFINANCE(B1491,""price"",TODAY()-365,TODAY()),1,0),""select Col2 limit 200""))"),2670.9762499999983)</f>
        <v>2670.97625</v>
      </c>
      <c r="O1491" s="20" t="str">
        <f t="shared" si="2"/>
        <v>Avoid</v>
      </c>
      <c r="P1491" s="21" t="str">
        <f t="shared" si="3"/>
        <v/>
      </c>
      <c r="Q1491" s="21" t="str">
        <f t="shared" si="4"/>
        <v/>
      </c>
      <c r="R1491" s="22">
        <f>IFERROR(__xludf.DUMMYFUNCTION("GOOGLEFINANCE(B1491, ""pe"")
"),99.26)</f>
        <v>99.26</v>
      </c>
    </row>
    <row r="1492">
      <c r="A1492" s="9" t="s">
        <v>1500</v>
      </c>
      <c r="B1492" s="11" t="str">
        <f t="shared" si="1"/>
        <v>NSE:ZIMLAB</v>
      </c>
      <c r="C1492" s="12">
        <f>IFERROR(__xludf.DUMMYFUNCTION("GOOGLEFINANCE(B1492,""marketcap"")/10000000"),551.0397462)</f>
        <v>551.0397462</v>
      </c>
      <c r="D1492" s="13">
        <f>IFERROR(__xludf.DUMMYFUNCTION("GOOGLEFINANCE(B1492,""price"")"),113.14)</f>
        <v>113.14</v>
      </c>
      <c r="E1492" s="14">
        <f>IFERROR(__xludf.DUMMYFUNCTION("GOOGLEFINANCE(B1492,""Volume"")"),10995.0)</f>
        <v>10995</v>
      </c>
      <c r="F1492" s="14">
        <f t="array" ref="F1492">F1491</f>
        <v>14</v>
      </c>
      <c r="G1492" s="15" t="str">
        <f>IFERROR(__xludf.DUMMYFUNCTION("IF(E1492&gt;AVERAGE(INDEX(GOOGLEFINANCE(B1492,""volume"",WORKDAY(TODAY(),-$F$1),TODAY()),,2)),""Breakout"","""")"),"")</f>
        <v/>
      </c>
      <c r="H1492" s="16">
        <f>IFERROR(__xludf.DUMMYFUNCTION("GOOGLEFINANCE(B1492,""price"")"),113.14)</f>
        <v>113.14</v>
      </c>
      <c r="I1492" s="17">
        <f>IFERROR(__xludf.DUMMYFUNCTION("AVERAGE(QUERY(SORT(GOOGLEFINANCE(B1492,""price"",TODAY()-365,TODAY()),1,0),""select Col2 limit 10""))"),116.569)</f>
        <v>116.569</v>
      </c>
      <c r="J1492" s="17">
        <f>IFERROR(__xludf.DUMMYFUNCTION("AVERAGE(QUERY(SORT(GOOGLEFINANCE(B1492,""price"",TODAY()-365,TODAY()),1,0),""select Col2 limit 30""))"),112.59533333333336)</f>
        <v>112.5953333</v>
      </c>
      <c r="K1492" s="18">
        <f>IFERROR(__xludf.DUMMYFUNCTION("AVERAGE(QUERY(SORT(GOOGLEFINANCE(B1492,""price"",TODAY()-365,TODAY()),1,0),""select Col2 limit 60""))"),102.7808333333333)</f>
        <v>102.7808333</v>
      </c>
      <c r="L1492" s="17">
        <f>IFERROR(__xludf.DUMMYFUNCTION("AVERAGE(QUERY(SORT(GOOGLEFINANCE(B1492,""price"",TODAY()-365,TODAY()),1,0),""select Col2 limit 90""))"),97.29055555555553)</f>
        <v>97.29055556</v>
      </c>
      <c r="M1492" s="17">
        <f>IFERROR(__xludf.DUMMYFUNCTION("AVERAGE(QUERY(SORT(GOOGLEFINANCE(B1492,""price"",TODAY()-365,TODAY()),1,0),""select Col2 limit 120""))"),96.6899166666666)</f>
        <v>96.68991667</v>
      </c>
      <c r="N1492" s="19">
        <f>IFERROR(__xludf.DUMMYFUNCTION("AVERAGE(QUERY(SORT(GOOGLEFINANCE(B1492,""price"",TODAY()-365,TODAY()),1,0),""select Col2 limit 200""))"),101.21785)</f>
        <v>101.21785</v>
      </c>
      <c r="O1492" s="20" t="str">
        <f t="shared" si="2"/>
        <v>Avoid</v>
      </c>
      <c r="P1492" s="21" t="str">
        <f t="shared" si="3"/>
        <v/>
      </c>
      <c r="Q1492" s="21" t="str">
        <f t="shared" si="4"/>
        <v/>
      </c>
      <c r="R1492" s="22">
        <f>IFERROR(__xludf.DUMMYFUNCTION("GOOGLEFINANCE(B1492, ""pe"")
"),45.32)</f>
        <v>45.32</v>
      </c>
    </row>
    <row r="1493">
      <c r="A1493" s="9" t="s">
        <v>1501</v>
      </c>
      <c r="B1493" s="11" t="str">
        <f t="shared" si="1"/>
        <v>NSE:AUTOIND</v>
      </c>
      <c r="C1493" s="12">
        <f>IFERROR(__xludf.DUMMYFUNCTION("GOOGLEFINANCE(B1493,""marketcap"")/10000000"),339.7709827)</f>
        <v>339.7709827</v>
      </c>
      <c r="D1493" s="13">
        <f>IFERROR(__xludf.DUMMYFUNCTION("GOOGLEFINANCE(B1493,""price"")"),74.88)</f>
        <v>74.88</v>
      </c>
      <c r="E1493" s="14">
        <f>IFERROR(__xludf.DUMMYFUNCTION("GOOGLEFINANCE(B1493,""Volume"")"),26980.0)</f>
        <v>26980</v>
      </c>
      <c r="F1493" s="14">
        <f t="array" ref="F1493">F1492</f>
        <v>14</v>
      </c>
      <c r="G1493" s="15" t="str">
        <f>IFERROR(__xludf.DUMMYFUNCTION("IF(E1493&gt;AVERAGE(INDEX(GOOGLEFINANCE(B1493,""volume"",WORKDAY(TODAY(),-$F$1),TODAY()),,2)),""Breakout"","""")"),"")</f>
        <v/>
      </c>
      <c r="H1493" s="16">
        <f>IFERROR(__xludf.DUMMYFUNCTION("GOOGLEFINANCE(B1493,""price"")"),74.88)</f>
        <v>74.88</v>
      </c>
      <c r="I1493" s="17">
        <f>IFERROR(__xludf.DUMMYFUNCTION("AVERAGE(QUERY(SORT(GOOGLEFINANCE(B1493,""price"",TODAY()-365,TODAY()),1,0),""select Col2 limit 10""))"),77.33099999999999)</f>
        <v>77.331</v>
      </c>
      <c r="J1493" s="17">
        <f>IFERROR(__xludf.DUMMYFUNCTION("AVERAGE(QUERY(SORT(GOOGLEFINANCE(B1493,""price"",TODAY()-365,TODAY()),1,0),""select Col2 limit 30""))"),79.00333333333333)</f>
        <v>79.00333333</v>
      </c>
      <c r="K1493" s="18">
        <f>IFERROR(__xludf.DUMMYFUNCTION("AVERAGE(QUERY(SORT(GOOGLEFINANCE(B1493,""price"",TODAY()-365,TODAY()),1,0),""select Col2 limit 60""))"),81.81866666666666)</f>
        <v>81.81866667</v>
      </c>
      <c r="L1493" s="17">
        <f>IFERROR(__xludf.DUMMYFUNCTION("AVERAGE(QUERY(SORT(GOOGLEFINANCE(B1493,""price"",TODAY()-365,TODAY()),1,0),""select Col2 limit 90""))"),79.60922222222221)</f>
        <v>79.60922222</v>
      </c>
      <c r="M1493" s="17">
        <f>IFERROR(__xludf.DUMMYFUNCTION("AVERAGE(QUERY(SORT(GOOGLEFINANCE(B1493,""price"",TODAY()-365,TODAY()),1,0),""select Col2 limit 120""))"),80.29875000000001)</f>
        <v>80.29875</v>
      </c>
      <c r="N1493" s="19">
        <f>IFERROR(__xludf.DUMMYFUNCTION("AVERAGE(QUERY(SORT(GOOGLEFINANCE(B1493,""price"",TODAY()-365,TODAY()),1,0),""select Col2 limit 200""))"),92.21225000000003)</f>
        <v>92.21225</v>
      </c>
      <c r="O1493" s="20" t="str">
        <f t="shared" si="2"/>
        <v>Avoid</v>
      </c>
      <c r="P1493" s="21" t="str">
        <f t="shared" si="3"/>
        <v/>
      </c>
      <c r="Q1493" s="21" t="str">
        <f t="shared" si="4"/>
        <v/>
      </c>
      <c r="R1493" s="22">
        <f>IFERROR(__xludf.DUMMYFUNCTION("GOOGLEFINANCE(B1493, ""pe"")
"),17.47)</f>
        <v>17.47</v>
      </c>
    </row>
    <row r="1494">
      <c r="A1494" s="9" t="s">
        <v>1502</v>
      </c>
      <c r="B1494" s="11" t="str">
        <f t="shared" si="1"/>
        <v>NSE:CLEDUCATE</v>
      </c>
      <c r="C1494" s="12">
        <f>IFERROR(__xludf.DUMMYFUNCTION("GOOGLEFINANCE(B1494,""marketcap"")/10000000"),491.6485447)</f>
        <v>491.6485447</v>
      </c>
      <c r="D1494" s="13">
        <f>IFERROR(__xludf.DUMMYFUNCTION("GOOGLEFINANCE(B1494,""price"")"),90.85)</f>
        <v>90.85</v>
      </c>
      <c r="E1494" s="14">
        <f>IFERROR(__xludf.DUMMYFUNCTION("GOOGLEFINANCE(B1494,""Volume"")"),23673.0)</f>
        <v>23673</v>
      </c>
      <c r="F1494" s="14">
        <f t="array" ref="F1494">F1493</f>
        <v>14</v>
      </c>
      <c r="G1494" s="15" t="str">
        <f>IFERROR(__xludf.DUMMYFUNCTION("IF(E1494&gt;AVERAGE(INDEX(GOOGLEFINANCE(B1494,""volume"",WORKDAY(TODAY(),-$F$1),TODAY()),,2)),""Breakout"","""")"),"")</f>
        <v/>
      </c>
      <c r="H1494" s="16">
        <f>IFERROR(__xludf.DUMMYFUNCTION("GOOGLEFINANCE(B1494,""price"")"),90.85)</f>
        <v>90.85</v>
      </c>
      <c r="I1494" s="17">
        <f>IFERROR(__xludf.DUMMYFUNCTION("AVERAGE(QUERY(SORT(GOOGLEFINANCE(B1494,""price"",TODAY()-365,TODAY()),1,0),""select Col2 limit 10""))"),95.10000000000001)</f>
        <v>95.1</v>
      </c>
      <c r="J1494" s="17">
        <f>IFERROR(__xludf.DUMMYFUNCTION("AVERAGE(QUERY(SORT(GOOGLEFINANCE(B1494,""price"",TODAY()-365,TODAY()),1,0),""select Col2 limit 30""))"),93.11333333333337)</f>
        <v>93.11333333</v>
      </c>
      <c r="K1494" s="18">
        <f>IFERROR(__xludf.DUMMYFUNCTION("AVERAGE(QUERY(SORT(GOOGLEFINANCE(B1494,""price"",TODAY()-365,TODAY()),1,0),""select Col2 limit 60""))"),90.94300000000003)</f>
        <v>90.943</v>
      </c>
      <c r="L1494" s="17">
        <f>IFERROR(__xludf.DUMMYFUNCTION("AVERAGE(QUERY(SORT(GOOGLEFINANCE(B1494,""price"",TODAY()-365,TODAY()),1,0),""select Col2 limit 90""))"),88.16033333333334)</f>
        <v>88.16033333</v>
      </c>
      <c r="M1494" s="17">
        <f>IFERROR(__xludf.DUMMYFUNCTION("AVERAGE(QUERY(SORT(GOOGLEFINANCE(B1494,""price"",TODAY()-365,TODAY()),1,0),""select Col2 limit 120""))"),89.54250000000002)</f>
        <v>89.5425</v>
      </c>
      <c r="N1494" s="19">
        <f>IFERROR(__xludf.DUMMYFUNCTION("AVERAGE(QUERY(SORT(GOOGLEFINANCE(B1494,""price"",TODAY()-365,TODAY()),1,0),""select Col2 limit 200""))"),99.35260000000002)</f>
        <v>99.3526</v>
      </c>
      <c r="O1494" s="20" t="str">
        <f t="shared" si="2"/>
        <v>Avoid</v>
      </c>
      <c r="P1494" s="21" t="str">
        <f t="shared" si="3"/>
        <v>60 DMA</v>
      </c>
      <c r="Q1494" s="21" t="str">
        <f t="shared" si="4"/>
        <v/>
      </c>
      <c r="R1494" s="22" t="str">
        <f>IFERROR(__xludf.DUMMYFUNCTION("GOOGLEFINANCE(B1494, ""pe"")
"),"#N/A")</f>
        <v>#N/A</v>
      </c>
    </row>
    <row r="1495">
      <c r="A1495" s="9" t="s">
        <v>1503</v>
      </c>
      <c r="B1495" s="11" t="str">
        <f t="shared" si="1"/>
        <v>NSE:IFBAGRO</v>
      </c>
      <c r="C1495" s="12">
        <f>IFERROR(__xludf.DUMMYFUNCTION("GOOGLEFINANCE(B1495,""marketcap"")/10000000"),771.08752)</f>
        <v>771.08752</v>
      </c>
      <c r="D1495" s="13">
        <f>IFERROR(__xludf.DUMMYFUNCTION("GOOGLEFINANCE(B1495,""price"")"),822.0)</f>
        <v>822</v>
      </c>
      <c r="E1495" s="14">
        <f>IFERROR(__xludf.DUMMYFUNCTION("GOOGLEFINANCE(B1495,""Volume"")"),8221.0)</f>
        <v>8221</v>
      </c>
      <c r="F1495" s="14">
        <f t="array" ref="F1495">F1494</f>
        <v>14</v>
      </c>
      <c r="G1495" s="15" t="str">
        <f>IFERROR(__xludf.DUMMYFUNCTION("IF(E1495&gt;AVERAGE(INDEX(GOOGLEFINANCE(B1495,""volume"",WORKDAY(TODAY(),-$F$1),TODAY()),,2)),""Breakout"","""")"),"Breakout")</f>
        <v>Breakout</v>
      </c>
      <c r="H1495" s="16">
        <f>IFERROR(__xludf.DUMMYFUNCTION("GOOGLEFINANCE(B1495,""price"")"),822.0)</f>
        <v>822</v>
      </c>
      <c r="I1495" s="17">
        <f>IFERROR(__xludf.DUMMYFUNCTION("AVERAGE(QUERY(SORT(GOOGLEFINANCE(B1495,""price"",TODAY()-365,TODAY()),1,0),""select Col2 limit 10""))"),748.9399999999999)</f>
        <v>748.94</v>
      </c>
      <c r="J1495" s="17">
        <f>IFERROR(__xludf.DUMMYFUNCTION("AVERAGE(QUERY(SORT(GOOGLEFINANCE(B1495,""price"",TODAY()-365,TODAY()),1,0),""select Col2 limit 30""))"),739.5483333333333)</f>
        <v>739.5483333</v>
      </c>
      <c r="K1495" s="18">
        <f>IFERROR(__xludf.DUMMYFUNCTION("AVERAGE(QUERY(SORT(GOOGLEFINANCE(B1495,""price"",TODAY()-365,TODAY()),1,0),""select Col2 limit 60""))"),674.6308333333333)</f>
        <v>674.6308333</v>
      </c>
      <c r="L1495" s="17">
        <f>IFERROR(__xludf.DUMMYFUNCTION("AVERAGE(QUERY(SORT(GOOGLEFINANCE(B1495,""price"",TODAY()-365,TODAY()),1,0),""select Col2 limit 90""))"),609.3949999999999)</f>
        <v>609.395</v>
      </c>
      <c r="M1495" s="17">
        <f>IFERROR(__xludf.DUMMYFUNCTION("AVERAGE(QUERY(SORT(GOOGLEFINANCE(B1495,""price"",TODAY()-365,TODAY()),1,0),""select Col2 limit 120""))"),586.5362499999997)</f>
        <v>586.53625</v>
      </c>
      <c r="N1495" s="19">
        <f>IFERROR(__xludf.DUMMYFUNCTION("AVERAGE(QUERY(SORT(GOOGLEFINANCE(B1495,""price"",TODAY()-365,TODAY()),1,0),""select Col2 limit 200""))"),577.4202499999996)</f>
        <v>577.42025</v>
      </c>
      <c r="O1495" s="20" t="str">
        <f t="shared" si="2"/>
        <v>Avoid</v>
      </c>
      <c r="P1495" s="21" t="str">
        <f t="shared" si="3"/>
        <v/>
      </c>
      <c r="Q1495" s="21" t="str">
        <f t="shared" si="4"/>
        <v/>
      </c>
      <c r="R1495" s="22">
        <f>IFERROR(__xludf.DUMMYFUNCTION("GOOGLEFINANCE(B1495, ""pe"")
"),34.47)</f>
        <v>34.47</v>
      </c>
    </row>
    <row r="1496">
      <c r="A1496" s="9" t="s">
        <v>1504</v>
      </c>
      <c r="B1496" s="11" t="str">
        <f t="shared" si="1"/>
        <v>NSE:VENUSREM</v>
      </c>
      <c r="C1496" s="12">
        <f>IFERROR(__xludf.DUMMYFUNCTION("GOOGLEFINANCE(B1496,""marketcap"")/10000000"),682.4424411)</f>
        <v>682.4424411</v>
      </c>
      <c r="D1496" s="13">
        <f>IFERROR(__xludf.DUMMYFUNCTION("GOOGLEFINANCE(B1496,""price"")"),529.0)</f>
        <v>529</v>
      </c>
      <c r="E1496" s="14">
        <f>IFERROR(__xludf.DUMMYFUNCTION("GOOGLEFINANCE(B1496,""Volume"")"),13469.0)</f>
        <v>13469</v>
      </c>
      <c r="F1496" s="14">
        <f t="array" ref="F1496">F1495</f>
        <v>14</v>
      </c>
      <c r="G1496" s="15" t="str">
        <f>IFERROR(__xludf.DUMMYFUNCTION("IF(E1496&gt;AVERAGE(INDEX(GOOGLEFINANCE(B1496,""volume"",WORKDAY(TODAY(),-$F$1),TODAY()),,2)),""Breakout"","""")"),"")</f>
        <v/>
      </c>
      <c r="H1496" s="16">
        <f>IFERROR(__xludf.DUMMYFUNCTION("GOOGLEFINANCE(B1496,""price"")"),529.0)</f>
        <v>529</v>
      </c>
      <c r="I1496" s="17">
        <f>IFERROR(__xludf.DUMMYFUNCTION("AVERAGE(QUERY(SORT(GOOGLEFINANCE(B1496,""price"",TODAY()-365,TODAY()),1,0),""select Col2 limit 10""))"),523.2349999999999)</f>
        <v>523.235</v>
      </c>
      <c r="J1496" s="17">
        <f>IFERROR(__xludf.DUMMYFUNCTION("AVERAGE(QUERY(SORT(GOOGLEFINANCE(B1496,""price"",TODAY()-365,TODAY()),1,0),""select Col2 limit 30""))"),471.34833333333336)</f>
        <v>471.3483333</v>
      </c>
      <c r="K1496" s="18">
        <f>IFERROR(__xludf.DUMMYFUNCTION("AVERAGE(QUERY(SORT(GOOGLEFINANCE(B1496,""price"",TODAY()-365,TODAY()),1,0),""select Col2 limit 60""))"),424.9108333333334)</f>
        <v>424.9108333</v>
      </c>
      <c r="L1496" s="17">
        <f>IFERROR(__xludf.DUMMYFUNCTION("AVERAGE(QUERY(SORT(GOOGLEFINANCE(B1496,""price"",TODAY()-365,TODAY()),1,0),""select Col2 limit 90""))"),385.99388888888893)</f>
        <v>385.9938889</v>
      </c>
      <c r="M1496" s="17">
        <f>IFERROR(__xludf.DUMMYFUNCTION("AVERAGE(QUERY(SORT(GOOGLEFINANCE(B1496,""price"",TODAY()-365,TODAY()),1,0),""select Col2 limit 120""))"),366.8370833333333)</f>
        <v>366.8370833</v>
      </c>
      <c r="N1496" s="19">
        <f>IFERROR(__xludf.DUMMYFUNCTION("AVERAGE(QUERY(SORT(GOOGLEFINANCE(B1496,""price"",TODAY()-365,TODAY()),1,0),""select Col2 limit 200""))"),346.26450000000006)</f>
        <v>346.2645</v>
      </c>
      <c r="O1496" s="20" t="str">
        <f t="shared" si="2"/>
        <v>Avoid</v>
      </c>
      <c r="P1496" s="21" t="str">
        <f t="shared" si="3"/>
        <v/>
      </c>
      <c r="Q1496" s="21" t="str">
        <f t="shared" si="4"/>
        <v/>
      </c>
      <c r="R1496" s="22">
        <f>IFERROR(__xludf.DUMMYFUNCTION("GOOGLEFINANCE(B1496, ""pe"")
"),15.6)</f>
        <v>15.6</v>
      </c>
    </row>
    <row r="1497">
      <c r="A1497" s="9" t="s">
        <v>1505</v>
      </c>
      <c r="B1497" s="11" t="str">
        <f t="shared" si="1"/>
        <v>NSE:NILAINFRA</v>
      </c>
      <c r="C1497" s="12">
        <f>IFERROR(__xludf.DUMMYFUNCTION("GOOGLEFINANCE(B1497,""marketcap"")/10000000"),440.7619982)</f>
        <v>440.7619982</v>
      </c>
      <c r="D1497" s="13">
        <f>IFERROR(__xludf.DUMMYFUNCTION("GOOGLEFINANCE(B1497,""price"")"),11.19)</f>
        <v>11.19</v>
      </c>
      <c r="E1497" s="14">
        <f>IFERROR(__xludf.DUMMYFUNCTION("GOOGLEFINANCE(B1497,""Volume"")"),426377.0)</f>
        <v>426377</v>
      </c>
      <c r="F1497" s="14">
        <f t="array" ref="F1497">F1496</f>
        <v>14</v>
      </c>
      <c r="G1497" s="15" t="str">
        <f>IFERROR(__xludf.DUMMYFUNCTION("IF(E1497&gt;AVERAGE(INDEX(GOOGLEFINANCE(B1497,""volume"",WORKDAY(TODAY(),-$F$1),TODAY()),,2)),""Breakout"","""")"),"")</f>
        <v/>
      </c>
      <c r="H1497" s="16">
        <f>IFERROR(__xludf.DUMMYFUNCTION("GOOGLEFINANCE(B1497,""price"")"),11.19)</f>
        <v>11.19</v>
      </c>
      <c r="I1497" s="17">
        <f>IFERROR(__xludf.DUMMYFUNCTION("AVERAGE(QUERY(SORT(GOOGLEFINANCE(B1497,""price"",TODAY()-365,TODAY()),1,0),""select Col2 limit 10""))"),12.136999999999999)</f>
        <v>12.137</v>
      </c>
      <c r="J1497" s="17">
        <f>IFERROR(__xludf.DUMMYFUNCTION("AVERAGE(QUERY(SORT(GOOGLEFINANCE(B1497,""price"",TODAY()-365,TODAY()),1,0),""select Col2 limit 30""))"),12.326333333333334)</f>
        <v>12.32633333</v>
      </c>
      <c r="K1497" s="18">
        <f>IFERROR(__xludf.DUMMYFUNCTION("AVERAGE(QUERY(SORT(GOOGLEFINANCE(B1497,""price"",TODAY()-365,TODAY()),1,0),""select Col2 limit 60""))"),11.765666666666663)</f>
        <v>11.76566667</v>
      </c>
      <c r="L1497" s="17">
        <f>IFERROR(__xludf.DUMMYFUNCTION("AVERAGE(QUERY(SORT(GOOGLEFINANCE(B1497,""price"",TODAY()-365,TODAY()),1,0),""select Col2 limit 90""))"),10.988888888888889)</f>
        <v>10.98888889</v>
      </c>
      <c r="M1497" s="17">
        <f>IFERROR(__xludf.DUMMYFUNCTION("AVERAGE(QUERY(SORT(GOOGLEFINANCE(B1497,""price"",TODAY()-365,TODAY()),1,0),""select Col2 limit 120""))"),10.833500000000003)</f>
        <v>10.8335</v>
      </c>
      <c r="N1497" s="19">
        <f>IFERROR(__xludf.DUMMYFUNCTION("AVERAGE(QUERY(SORT(GOOGLEFINANCE(B1497,""price"",TODAY()-365,TODAY()),1,0),""select Col2 limit 200""))"),11.547600000000003)</f>
        <v>11.5476</v>
      </c>
      <c r="O1497" s="20" t="str">
        <f t="shared" si="2"/>
        <v>Avoid</v>
      </c>
      <c r="P1497" s="21" t="str">
        <f t="shared" si="3"/>
        <v/>
      </c>
      <c r="Q1497" s="21" t="str">
        <f t="shared" si="4"/>
        <v/>
      </c>
      <c r="R1497" s="22">
        <f>IFERROR(__xludf.DUMMYFUNCTION("GOOGLEFINANCE(B1497, ""pe"")
"),21.52)</f>
        <v>21.52</v>
      </c>
    </row>
    <row r="1498">
      <c r="A1498" s="9" t="s">
        <v>1506</v>
      </c>
      <c r="B1498" s="11" t="str">
        <f t="shared" si="1"/>
        <v>NSE:RBZJEWEL</v>
      </c>
      <c r="C1498" s="12">
        <f>IFERROR(__xludf.DUMMYFUNCTION("GOOGLEFINANCE(B1498,""marketcap"")/10000000"),550.4000244)</f>
        <v>550.4000244</v>
      </c>
      <c r="D1498" s="13">
        <f>IFERROR(__xludf.DUMMYFUNCTION("GOOGLEFINANCE(B1498,""price"")"),138.0)</f>
        <v>138</v>
      </c>
      <c r="E1498" s="14">
        <f>IFERROR(__xludf.DUMMYFUNCTION("GOOGLEFINANCE(B1498,""Volume"")"),35983.0)</f>
        <v>35983</v>
      </c>
      <c r="F1498" s="14">
        <f t="array" ref="F1498">F1497</f>
        <v>14</v>
      </c>
      <c r="G1498" s="15" t="str">
        <f>IFERROR(__xludf.DUMMYFUNCTION("IF(E1498&gt;AVERAGE(INDEX(GOOGLEFINANCE(B1498,""volume"",WORKDAY(TODAY(),-$F$1),TODAY()),,2)),""Breakout"","""")"),"")</f>
        <v/>
      </c>
      <c r="H1498" s="16">
        <f>IFERROR(__xludf.DUMMYFUNCTION("GOOGLEFINANCE(B1498,""price"")"),138.0)</f>
        <v>138</v>
      </c>
      <c r="I1498" s="17">
        <f>IFERROR(__xludf.DUMMYFUNCTION("AVERAGE(QUERY(SORT(GOOGLEFINANCE(B1498,""price"",TODAY()-365,TODAY()),1,0),""select Col2 limit 10""))"),140.916)</f>
        <v>140.916</v>
      </c>
      <c r="J1498" s="17">
        <f>IFERROR(__xludf.DUMMYFUNCTION("AVERAGE(QUERY(SORT(GOOGLEFINANCE(B1498,""price"",TODAY()-365,TODAY()),1,0),""select Col2 limit 30""))"),142.64066666666662)</f>
        <v>142.6406667</v>
      </c>
      <c r="K1498" s="18">
        <f>IFERROR(__xludf.DUMMYFUNCTION("AVERAGE(QUERY(SORT(GOOGLEFINANCE(B1498,""price"",TODAY()-365,TODAY()),1,0),""select Col2 limit 60""))"),142.44750000000002)</f>
        <v>142.4475</v>
      </c>
      <c r="L1498" s="17">
        <f>IFERROR(__xludf.DUMMYFUNCTION("AVERAGE(QUERY(SORT(GOOGLEFINANCE(B1498,""price"",TODAY()-365,TODAY()),1,0),""select Col2 limit 90""))"),141.0536666666667)</f>
        <v>141.0536667</v>
      </c>
      <c r="M1498" s="17">
        <f>IFERROR(__xludf.DUMMYFUNCTION("AVERAGE(QUERY(SORT(GOOGLEFINANCE(B1498,""price"",TODAY()-365,TODAY()),1,0),""select Col2 limit 120""))"),149.05175000000003)</f>
        <v>149.05175</v>
      </c>
      <c r="N1498" s="19">
        <f>IFERROR(__xludf.DUMMYFUNCTION("AVERAGE(QUERY(SORT(GOOGLEFINANCE(B1498,""price"",TODAY()-365,TODAY()),1,0),""select Col2 limit 200""))"),167.45860000000008)</f>
        <v>167.4586</v>
      </c>
      <c r="O1498" s="20" t="str">
        <f t="shared" si="2"/>
        <v>Avoid</v>
      </c>
      <c r="P1498" s="21" t="str">
        <f t="shared" si="3"/>
        <v/>
      </c>
      <c r="Q1498" s="21" t="str">
        <f t="shared" si="4"/>
        <v/>
      </c>
      <c r="R1498" s="22">
        <f>IFERROR(__xludf.DUMMYFUNCTION("GOOGLEFINANCE(B1498, ""pe"")
"),14.19)</f>
        <v>14.19</v>
      </c>
    </row>
    <row r="1499">
      <c r="A1499" s="9" t="s">
        <v>1507</v>
      </c>
      <c r="B1499" s="11" t="str">
        <f t="shared" si="1"/>
        <v>NSE:IRISDOREME</v>
      </c>
      <c r="C1499" s="12">
        <f>IFERROR(__xludf.DUMMYFUNCTION("GOOGLEFINANCE(B1499,""marketcap"")/10000000"),599.54391)</f>
        <v>599.54391</v>
      </c>
      <c r="D1499" s="13">
        <f>IFERROR(__xludf.DUMMYFUNCTION("GOOGLEFINANCE(B1499,""price"")"),31.8)</f>
        <v>31.8</v>
      </c>
      <c r="E1499" s="14">
        <f>IFERROR(__xludf.DUMMYFUNCTION("GOOGLEFINANCE(B1499,""Volume"")"),31556.0)</f>
        <v>31556</v>
      </c>
      <c r="F1499" s="14">
        <f t="array" ref="F1499">F1498</f>
        <v>14</v>
      </c>
      <c r="G1499" s="15" t="str">
        <f>IFERROR(__xludf.DUMMYFUNCTION("IF(E1499&gt;AVERAGE(INDEX(GOOGLEFINANCE(B1499,""volume"",WORKDAY(TODAY(),-$F$1),TODAY()),,2)),""Breakout"","""")"),"")</f>
        <v/>
      </c>
      <c r="H1499" s="16">
        <f>IFERROR(__xludf.DUMMYFUNCTION("GOOGLEFINANCE(B1499,""price"")"),31.8)</f>
        <v>31.8</v>
      </c>
      <c r="I1499" s="17">
        <f>IFERROR(__xludf.DUMMYFUNCTION("AVERAGE(QUERY(SORT(GOOGLEFINANCE(B1499,""price"",TODAY()-365,TODAY()),1,0),""select Col2 limit 10""))"),31.27)</f>
        <v>31.27</v>
      </c>
      <c r="J1499" s="17">
        <f>IFERROR(__xludf.DUMMYFUNCTION("AVERAGE(QUERY(SORT(GOOGLEFINANCE(B1499,""price"",TODAY()-365,TODAY()),1,0),""select Col2 limit 30""))"),31.63599999999999)</f>
        <v>31.636</v>
      </c>
      <c r="K1499" s="18">
        <f>IFERROR(__xludf.DUMMYFUNCTION("AVERAGE(QUERY(SORT(GOOGLEFINANCE(B1499,""price"",TODAY()-365,TODAY()),1,0),""select Col2 limit 60""))"),30.40599999999999)</f>
        <v>30.406</v>
      </c>
      <c r="L1499" s="17">
        <f>IFERROR(__xludf.DUMMYFUNCTION("AVERAGE(QUERY(SORT(GOOGLEFINANCE(B1499,""price"",TODAY()-365,TODAY()),1,0),""select Col2 limit 90""))"),27.881222222222213)</f>
        <v>27.88122222</v>
      </c>
      <c r="M1499" s="17">
        <f>IFERROR(__xludf.DUMMYFUNCTION("AVERAGE(QUERY(SORT(GOOGLEFINANCE(B1499,""price"",TODAY()-365,TODAY()),1,0),""select Col2 limit 120""))"),27.210999999999995)</f>
        <v>27.211</v>
      </c>
      <c r="N1499" s="19">
        <f>IFERROR(__xludf.DUMMYFUNCTION("AVERAGE(QUERY(SORT(GOOGLEFINANCE(B1499,""price"",TODAY()-365,TODAY()),1,0),""select Col2 limit 200""))"),28.6793)</f>
        <v>28.6793</v>
      </c>
      <c r="O1499" s="20" t="str">
        <f t="shared" si="2"/>
        <v>Avoid</v>
      </c>
      <c r="P1499" s="21" t="str">
        <f t="shared" si="3"/>
        <v/>
      </c>
      <c r="Q1499" s="21" t="str">
        <f t="shared" si="4"/>
        <v/>
      </c>
      <c r="R1499" s="22">
        <f>IFERROR(__xludf.DUMMYFUNCTION("GOOGLEFINANCE(B1499, ""pe"")
"),39.5)</f>
        <v>39.5</v>
      </c>
    </row>
    <row r="1500">
      <c r="A1500" s="9" t="s">
        <v>1508</v>
      </c>
      <c r="B1500" s="11" t="str">
        <f t="shared" si="1"/>
        <v>NSE:KRITIKA</v>
      </c>
      <c r="C1500" s="12">
        <f>IFERROR(__xludf.DUMMYFUNCTION("GOOGLEFINANCE(B1500,""marketcap"")/10000000"),247.906598)</f>
        <v>247.906598</v>
      </c>
      <c r="D1500" s="13">
        <f>IFERROR(__xludf.DUMMYFUNCTION("GOOGLEFINANCE(B1500,""price"")"),9.31)</f>
        <v>9.31</v>
      </c>
      <c r="E1500" s="14">
        <f>IFERROR(__xludf.DUMMYFUNCTION("GOOGLEFINANCE(B1500,""Volume"")"),73781.0)</f>
        <v>73781</v>
      </c>
      <c r="F1500" s="14">
        <f t="array" ref="F1500">F1499</f>
        <v>14</v>
      </c>
      <c r="G1500" s="15" t="str">
        <f>IFERROR(__xludf.DUMMYFUNCTION("IF(E1500&gt;AVERAGE(INDEX(GOOGLEFINANCE(B1500,""volume"",WORKDAY(TODAY(),-$F$1),TODAY()),,2)),""Breakout"","""")"),"")</f>
        <v/>
      </c>
      <c r="H1500" s="16">
        <f>IFERROR(__xludf.DUMMYFUNCTION("GOOGLEFINANCE(B1500,""price"")"),9.31)</f>
        <v>9.31</v>
      </c>
      <c r="I1500" s="17">
        <f>IFERROR(__xludf.DUMMYFUNCTION("AVERAGE(QUERY(SORT(GOOGLEFINANCE(B1500,""price"",TODAY()-365,TODAY()),1,0),""select Col2 limit 10""))"),9.687999999999999)</f>
        <v>9.688</v>
      </c>
      <c r="J1500" s="17">
        <f>IFERROR(__xludf.DUMMYFUNCTION("AVERAGE(QUERY(SORT(GOOGLEFINANCE(B1500,""price"",TODAY()-365,TODAY()),1,0),""select Col2 limit 30""))"),9.882333333333337)</f>
        <v>9.882333333</v>
      </c>
      <c r="K1500" s="18">
        <f>IFERROR(__xludf.DUMMYFUNCTION("AVERAGE(QUERY(SORT(GOOGLEFINANCE(B1500,""price"",TODAY()-365,TODAY()),1,0),""select Col2 limit 60""))"),9.959333333333332)</f>
        <v>9.959333333</v>
      </c>
      <c r="L1500" s="17">
        <f>IFERROR(__xludf.DUMMYFUNCTION("AVERAGE(QUERY(SORT(GOOGLEFINANCE(B1500,""price"",TODAY()-365,TODAY()),1,0),""select Col2 limit 90""))"),9.645222222222223)</f>
        <v>9.645222222</v>
      </c>
      <c r="M1500" s="17">
        <f>IFERROR(__xludf.DUMMYFUNCTION("AVERAGE(QUERY(SORT(GOOGLEFINANCE(B1500,""price"",TODAY()-365,TODAY()),1,0),""select Col2 limit 120""))"),9.48025)</f>
        <v>9.48025</v>
      </c>
      <c r="N1500" s="19">
        <f>IFERROR(__xludf.DUMMYFUNCTION("AVERAGE(QUERY(SORT(GOOGLEFINANCE(B1500,""price"",TODAY()-365,TODAY()),1,0),""select Col2 limit 200""))"),10.59345)</f>
        <v>10.59345</v>
      </c>
      <c r="O1500" s="20" t="str">
        <f t="shared" si="2"/>
        <v>Avoid</v>
      </c>
      <c r="P1500" s="21" t="str">
        <f t="shared" si="3"/>
        <v/>
      </c>
      <c r="Q1500" s="21" t="str">
        <f t="shared" si="4"/>
        <v/>
      </c>
      <c r="R1500" s="22">
        <f>IFERROR(__xludf.DUMMYFUNCTION("GOOGLEFINANCE(B1500, ""pe"")
"),24.5)</f>
        <v>24.5</v>
      </c>
    </row>
    <row r="1501">
      <c r="A1501" s="9" t="s">
        <v>1509</v>
      </c>
      <c r="B1501" s="11" t="str">
        <f t="shared" si="1"/>
        <v>NSE:VARDHACRLC</v>
      </c>
      <c r="C1501" s="12">
        <f>IFERROR(__xludf.DUMMYFUNCTION("GOOGLEFINANCE(B1501,""marketcap"")/10000000"),406.5601618)</f>
        <v>406.5601618</v>
      </c>
      <c r="D1501" s="13">
        <f>IFERROR(__xludf.DUMMYFUNCTION("GOOGLEFINANCE(B1501,""price"")"),50.3)</f>
        <v>50.3</v>
      </c>
      <c r="E1501" s="14">
        <f>IFERROR(__xludf.DUMMYFUNCTION("GOOGLEFINANCE(B1501,""Volume"")"),34575.0)</f>
        <v>34575</v>
      </c>
      <c r="F1501" s="14">
        <f t="array" ref="F1501">F1500</f>
        <v>14</v>
      </c>
      <c r="G1501" s="15" t="str">
        <f>IFERROR(__xludf.DUMMYFUNCTION("IF(E1501&gt;AVERAGE(INDEX(GOOGLEFINANCE(B1501,""volume"",WORKDAY(TODAY(),-$F$1),TODAY()),,2)),""Breakout"","""")"),"")</f>
        <v/>
      </c>
      <c r="H1501" s="16">
        <f>IFERROR(__xludf.DUMMYFUNCTION("GOOGLEFINANCE(B1501,""price"")"),50.3)</f>
        <v>50.3</v>
      </c>
      <c r="I1501" s="17">
        <f>IFERROR(__xludf.DUMMYFUNCTION("AVERAGE(QUERY(SORT(GOOGLEFINANCE(B1501,""price"",TODAY()-365,TODAY()),1,0),""select Col2 limit 10""))"),49.775000000000006)</f>
        <v>49.775</v>
      </c>
      <c r="J1501" s="17">
        <f>IFERROR(__xludf.DUMMYFUNCTION("AVERAGE(QUERY(SORT(GOOGLEFINANCE(B1501,""price"",TODAY()-365,TODAY()),1,0),""select Col2 limit 30""))"),47.92966666666666)</f>
        <v>47.92966667</v>
      </c>
      <c r="K1501" s="18">
        <f>IFERROR(__xludf.DUMMYFUNCTION("AVERAGE(QUERY(SORT(GOOGLEFINANCE(B1501,""price"",TODAY()-365,TODAY()),1,0),""select Col2 limit 60""))"),45.69066666666666)</f>
        <v>45.69066667</v>
      </c>
      <c r="L1501" s="17">
        <f>IFERROR(__xludf.DUMMYFUNCTION("AVERAGE(QUERY(SORT(GOOGLEFINANCE(B1501,""price"",TODAY()-365,TODAY()),1,0),""select Col2 limit 90""))"),44.4271111111111)</f>
        <v>44.42711111</v>
      </c>
      <c r="M1501" s="17">
        <f>IFERROR(__xludf.DUMMYFUNCTION("AVERAGE(QUERY(SORT(GOOGLEFINANCE(B1501,""price"",TODAY()-365,TODAY()),1,0),""select Col2 limit 120""))"),44.641166666666656)</f>
        <v>44.64116667</v>
      </c>
      <c r="N1501" s="19">
        <f>IFERROR(__xludf.DUMMYFUNCTION("AVERAGE(QUERY(SORT(GOOGLEFINANCE(B1501,""price"",TODAY()-365,TODAY()),1,0),""select Col2 limit 200""))"),48.450349999999965)</f>
        <v>48.45035</v>
      </c>
      <c r="O1501" s="20" t="str">
        <f t="shared" si="2"/>
        <v>Avoid</v>
      </c>
      <c r="P1501" s="21" t="str">
        <f t="shared" si="3"/>
        <v/>
      </c>
      <c r="Q1501" s="21" t="str">
        <f t="shared" si="4"/>
        <v/>
      </c>
      <c r="R1501" s="22">
        <f>IFERROR(__xludf.DUMMYFUNCTION("GOOGLEFINANCE(B1501, ""pe"")
"),44.12)</f>
        <v>44.12</v>
      </c>
    </row>
    <row r="1502">
      <c r="A1502" s="9" t="s">
        <v>1510</v>
      </c>
      <c r="B1502" s="11" t="str">
        <f t="shared" si="1"/>
        <v>NSE:MUTHOOTCAP</v>
      </c>
      <c r="C1502" s="12">
        <f>IFERROR(__xludf.DUMMYFUNCTION("GOOGLEFINANCE(B1502,""marketcap"")/10000000"),526.8143658)</f>
        <v>526.8143658</v>
      </c>
      <c r="D1502" s="13">
        <f>IFERROR(__xludf.DUMMYFUNCTION("GOOGLEFINANCE(B1502,""price"")"),321.25)</f>
        <v>321.25</v>
      </c>
      <c r="E1502" s="14">
        <f>IFERROR(__xludf.DUMMYFUNCTION("GOOGLEFINANCE(B1502,""Volume"")"),6702.0)</f>
        <v>6702</v>
      </c>
      <c r="F1502" s="14">
        <f t="array" ref="F1502">F1501</f>
        <v>14</v>
      </c>
      <c r="G1502" s="15" t="str">
        <f>IFERROR(__xludf.DUMMYFUNCTION("IF(E1502&gt;AVERAGE(INDEX(GOOGLEFINANCE(B1502,""volume"",WORKDAY(TODAY(),-$F$1),TODAY()),,2)),""Breakout"","""")"),"")</f>
        <v/>
      </c>
      <c r="H1502" s="16">
        <f>IFERROR(__xludf.DUMMYFUNCTION("GOOGLEFINANCE(B1502,""price"")"),321.25)</f>
        <v>321.25</v>
      </c>
      <c r="I1502" s="17">
        <f>IFERROR(__xludf.DUMMYFUNCTION("AVERAGE(QUERY(SORT(GOOGLEFINANCE(B1502,""price"",TODAY()-365,TODAY()),1,0),""select Col2 limit 10""))"),348.495)</f>
        <v>348.495</v>
      </c>
      <c r="J1502" s="17">
        <f>IFERROR(__xludf.DUMMYFUNCTION("AVERAGE(QUERY(SORT(GOOGLEFINANCE(B1502,""price"",TODAY()-365,TODAY()),1,0),""select Col2 limit 30""))"),327.0166666666667)</f>
        <v>327.0166667</v>
      </c>
      <c r="K1502" s="18">
        <f>IFERROR(__xludf.DUMMYFUNCTION("AVERAGE(QUERY(SORT(GOOGLEFINANCE(B1502,""price"",TODAY()-365,TODAY()),1,0),""select Col2 limit 60""))"),307.61000000000007)</f>
        <v>307.61</v>
      </c>
      <c r="L1502" s="17">
        <f>IFERROR(__xludf.DUMMYFUNCTION("AVERAGE(QUERY(SORT(GOOGLEFINANCE(B1502,""price"",TODAY()-365,TODAY()),1,0),""select Col2 limit 90""))"),292.14344444444447)</f>
        <v>292.1434444</v>
      </c>
      <c r="M1502" s="17">
        <f>IFERROR(__xludf.DUMMYFUNCTION("AVERAGE(QUERY(SORT(GOOGLEFINANCE(B1502,""price"",TODAY()-365,TODAY()),1,0),""select Col2 limit 120""))"),287.78925000000004)</f>
        <v>287.78925</v>
      </c>
      <c r="N1502" s="19">
        <f>IFERROR(__xludf.DUMMYFUNCTION("AVERAGE(QUERY(SORT(GOOGLEFINANCE(B1502,""price"",TODAY()-365,TODAY()),1,0),""select Col2 limit 200""))"),310.8258)</f>
        <v>310.8258</v>
      </c>
      <c r="O1502" s="20" t="str">
        <f t="shared" si="2"/>
        <v>Avoid</v>
      </c>
      <c r="P1502" s="21" t="str">
        <f t="shared" si="3"/>
        <v/>
      </c>
      <c r="Q1502" s="21" t="str">
        <f t="shared" si="4"/>
        <v/>
      </c>
      <c r="R1502" s="22">
        <f>IFERROR(__xludf.DUMMYFUNCTION("GOOGLEFINANCE(B1502, ""pe"")
"),11.55)</f>
        <v>11.55</v>
      </c>
    </row>
    <row r="1503">
      <c r="A1503" s="9" t="s">
        <v>1511</v>
      </c>
      <c r="B1503" s="11" t="str">
        <f t="shared" si="1"/>
        <v>NSE:KOTHARIPRO</v>
      </c>
      <c r="C1503" s="12">
        <f>IFERROR(__xludf.DUMMYFUNCTION("GOOGLEFINANCE(B1503,""marketcap"")/10000000"),487.6487358)</f>
        <v>487.6487358</v>
      </c>
      <c r="D1503" s="13">
        <f>IFERROR(__xludf.DUMMYFUNCTION("GOOGLEFINANCE(B1503,""price"")"),82.0)</f>
        <v>82</v>
      </c>
      <c r="E1503" s="14">
        <f>IFERROR(__xludf.DUMMYFUNCTION("GOOGLEFINANCE(B1503,""Volume"")"),3879.0)</f>
        <v>3879</v>
      </c>
      <c r="F1503" s="14">
        <f t="array" ref="F1503">F1502</f>
        <v>14</v>
      </c>
      <c r="G1503" s="15" t="str">
        <f>IFERROR(__xludf.DUMMYFUNCTION("IF(E1503&gt;AVERAGE(INDEX(GOOGLEFINANCE(B1503,""volume"",WORKDAY(TODAY(),-$F$1),TODAY()),,2)),""Breakout"","""")"),"")</f>
        <v/>
      </c>
      <c r="H1503" s="16">
        <f>IFERROR(__xludf.DUMMYFUNCTION("GOOGLEFINANCE(B1503,""price"")"),82.0)</f>
        <v>82</v>
      </c>
      <c r="I1503" s="17">
        <f>IFERROR(__xludf.DUMMYFUNCTION("AVERAGE(QUERY(SORT(GOOGLEFINANCE(B1503,""price"",TODAY()-365,TODAY()),1,0),""select Col2 limit 10""))"),84.84)</f>
        <v>84.84</v>
      </c>
      <c r="J1503" s="17">
        <f>IFERROR(__xludf.DUMMYFUNCTION("AVERAGE(QUERY(SORT(GOOGLEFINANCE(B1503,""price"",TODAY()-365,TODAY()),1,0),""select Col2 limit 30""))"),85.089)</f>
        <v>85.089</v>
      </c>
      <c r="K1503" s="18">
        <f>IFERROR(__xludf.DUMMYFUNCTION("AVERAGE(QUERY(SORT(GOOGLEFINANCE(B1503,""price"",TODAY()-365,TODAY()),1,0),""select Col2 limit 60""))"),82.52883333333334)</f>
        <v>82.52883333</v>
      </c>
      <c r="L1503" s="17">
        <f>IFERROR(__xludf.DUMMYFUNCTION("AVERAGE(QUERY(SORT(GOOGLEFINANCE(B1503,""price"",TODAY()-365,TODAY()),1,0),""select Col2 limit 90""))"),78.97644444444444)</f>
        <v>78.97644444</v>
      </c>
      <c r="M1503" s="17">
        <f>IFERROR(__xludf.DUMMYFUNCTION("AVERAGE(QUERY(SORT(GOOGLEFINANCE(B1503,""price"",TODAY()-365,TODAY()),1,0),""select Col2 limit 120""))"),84.63683333333331)</f>
        <v>84.63683333</v>
      </c>
      <c r="N1503" s="19">
        <f>IFERROR(__xludf.DUMMYFUNCTION("AVERAGE(QUERY(SORT(GOOGLEFINANCE(B1503,""price"",TODAY()-365,TODAY()),1,0),""select Col2 limit 200""))"),88.59364999999998)</f>
        <v>88.59365</v>
      </c>
      <c r="O1503" s="20" t="str">
        <f t="shared" si="2"/>
        <v>Avoid</v>
      </c>
      <c r="P1503" s="21" t="str">
        <f t="shared" si="3"/>
        <v>60 DMA</v>
      </c>
      <c r="Q1503" s="21" t="str">
        <f t="shared" si="4"/>
        <v/>
      </c>
      <c r="R1503" s="22" t="str">
        <f>IFERROR(__xludf.DUMMYFUNCTION("GOOGLEFINANCE(B1503, ""pe"")
"),"#N/A")</f>
        <v>#N/A</v>
      </c>
    </row>
    <row r="1504">
      <c r="A1504" s="9" t="s">
        <v>1512</v>
      </c>
      <c r="B1504" s="11" t="str">
        <f t="shared" si="1"/>
        <v>NSE:UFO</v>
      </c>
      <c r="C1504" s="12">
        <f>IFERROR(__xludf.DUMMYFUNCTION("GOOGLEFINANCE(B1504,""marketcap"")/10000000"),274.1873916)</f>
        <v>274.1873916</v>
      </c>
      <c r="D1504" s="13">
        <f>IFERROR(__xludf.DUMMYFUNCTION("GOOGLEFINANCE(B1504,""price"")"),70.3)</f>
        <v>70.3</v>
      </c>
      <c r="E1504" s="14">
        <f>IFERROR(__xludf.DUMMYFUNCTION("GOOGLEFINANCE(B1504,""Volume"")"),19939.0)</f>
        <v>19939</v>
      </c>
      <c r="F1504" s="14">
        <f t="array" ref="F1504">F1503</f>
        <v>14</v>
      </c>
      <c r="G1504" s="15" t="str">
        <f>IFERROR(__xludf.DUMMYFUNCTION("IF(E1504&gt;AVERAGE(INDEX(GOOGLEFINANCE(B1504,""volume"",WORKDAY(TODAY(),-$F$1),TODAY()),,2)),""Breakout"","""")"),"")</f>
        <v/>
      </c>
      <c r="H1504" s="16">
        <f>IFERROR(__xludf.DUMMYFUNCTION("GOOGLEFINANCE(B1504,""price"")"),70.3)</f>
        <v>70.3</v>
      </c>
      <c r="I1504" s="17">
        <f>IFERROR(__xludf.DUMMYFUNCTION("AVERAGE(QUERY(SORT(GOOGLEFINANCE(B1504,""price"",TODAY()-365,TODAY()),1,0),""select Col2 limit 10""))"),74.721)</f>
        <v>74.721</v>
      </c>
      <c r="J1504" s="17">
        <f>IFERROR(__xludf.DUMMYFUNCTION("AVERAGE(QUERY(SORT(GOOGLEFINANCE(B1504,""price"",TODAY()-365,TODAY()),1,0),""select Col2 limit 30""))"),73.47733333333332)</f>
        <v>73.47733333</v>
      </c>
      <c r="K1504" s="18">
        <f>IFERROR(__xludf.DUMMYFUNCTION("AVERAGE(QUERY(SORT(GOOGLEFINANCE(B1504,""price"",TODAY()-365,TODAY()),1,0),""select Col2 limit 60""))"),71.25066666666666)</f>
        <v>71.25066667</v>
      </c>
      <c r="L1504" s="17">
        <f>IFERROR(__xludf.DUMMYFUNCTION("AVERAGE(QUERY(SORT(GOOGLEFINANCE(B1504,""price"",TODAY()-365,TODAY()),1,0),""select Col2 limit 90""))"),70.64877777777778)</f>
        <v>70.64877778</v>
      </c>
      <c r="M1504" s="17">
        <f>IFERROR(__xludf.DUMMYFUNCTION("AVERAGE(QUERY(SORT(GOOGLEFINANCE(B1504,""price"",TODAY()-365,TODAY()),1,0),""select Col2 limit 120""))"),73.62225000000002)</f>
        <v>73.62225</v>
      </c>
      <c r="N1504" s="19">
        <f>IFERROR(__xludf.DUMMYFUNCTION("AVERAGE(QUERY(SORT(GOOGLEFINANCE(B1504,""price"",TODAY()-365,TODAY()),1,0),""select Col2 limit 200""))"),88.63099999999994)</f>
        <v>88.631</v>
      </c>
      <c r="O1504" s="20" t="str">
        <f t="shared" si="2"/>
        <v>Avoid</v>
      </c>
      <c r="P1504" s="21" t="str">
        <f t="shared" si="3"/>
        <v>90 DMA</v>
      </c>
      <c r="Q1504" s="21" t="str">
        <f t="shared" si="4"/>
        <v/>
      </c>
      <c r="R1504" s="22">
        <f>IFERROR(__xludf.DUMMYFUNCTION("GOOGLEFINANCE(B1504, ""pe"")
"),28.46)</f>
        <v>28.46</v>
      </c>
    </row>
    <row r="1505">
      <c r="A1505" s="9" t="s">
        <v>1513</v>
      </c>
      <c r="B1505" s="11" t="str">
        <f t="shared" si="1"/>
        <v>NSE:BBTCL</v>
      </c>
      <c r="C1505" s="12">
        <f>IFERROR(__xludf.DUMMYFUNCTION("GOOGLEFINANCE(B1505,""marketcap"")/10000000"),420.4391837)</f>
        <v>420.4391837</v>
      </c>
      <c r="D1505" s="13">
        <f>IFERROR(__xludf.DUMMYFUNCTION("GOOGLEFINANCE(B1505,""price"")"),204.51)</f>
        <v>204.51</v>
      </c>
      <c r="E1505" s="14">
        <f>IFERROR(__xludf.DUMMYFUNCTION("GOOGLEFINANCE(B1505,""Volume"")"),15581.0)</f>
        <v>15581</v>
      </c>
      <c r="F1505" s="14">
        <f t="array" ref="F1505">F1504</f>
        <v>14</v>
      </c>
      <c r="G1505" s="15" t="str">
        <f>IFERROR(__xludf.DUMMYFUNCTION("IF(E1505&gt;AVERAGE(INDEX(GOOGLEFINANCE(B1505,""volume"",WORKDAY(TODAY(),-$F$1),TODAY()),,2)),""Breakout"","""")"),"")</f>
        <v/>
      </c>
      <c r="H1505" s="16">
        <f>IFERROR(__xludf.DUMMYFUNCTION("GOOGLEFINANCE(B1505,""price"")"),204.51)</f>
        <v>204.51</v>
      </c>
      <c r="I1505" s="17">
        <f>IFERROR(__xludf.DUMMYFUNCTION("AVERAGE(QUERY(SORT(GOOGLEFINANCE(B1505,""price"",TODAY()-365,TODAY()),1,0),""select Col2 limit 10""))"),181.774)</f>
        <v>181.774</v>
      </c>
      <c r="J1505" s="17">
        <f>IFERROR(__xludf.DUMMYFUNCTION("AVERAGE(QUERY(SORT(GOOGLEFINANCE(B1505,""price"",TODAY()-365,TODAY()),1,0),""select Col2 limit 30""))"),168.15833333333333)</f>
        <v>168.1583333</v>
      </c>
      <c r="K1505" s="18">
        <f>IFERROR(__xludf.DUMMYFUNCTION("AVERAGE(QUERY(SORT(GOOGLEFINANCE(B1505,""price"",TODAY()-365,TODAY()),1,0),""select Col2 limit 60""))"),164.1045)</f>
        <v>164.1045</v>
      </c>
      <c r="L1505" s="17">
        <f>IFERROR(__xludf.DUMMYFUNCTION("AVERAGE(QUERY(SORT(GOOGLEFINANCE(B1505,""price"",TODAY()-365,TODAY()),1,0),""select Col2 limit 90""))"),158.73888888888888)</f>
        <v>158.7388889</v>
      </c>
      <c r="M1505" s="17">
        <f>IFERROR(__xludf.DUMMYFUNCTION("AVERAGE(QUERY(SORT(GOOGLEFINANCE(B1505,""price"",TODAY()-365,TODAY()),1,0),""select Col2 limit 120""))"),162.47525)</f>
        <v>162.47525</v>
      </c>
      <c r="N1505" s="19">
        <f>IFERROR(__xludf.DUMMYFUNCTION("AVERAGE(QUERY(SORT(GOOGLEFINANCE(B1505,""price"",TODAY()-365,TODAY()),1,0),""select Col2 limit 200""))"),182.2236000000001)</f>
        <v>182.2236</v>
      </c>
      <c r="O1505" s="20" t="str">
        <f t="shared" si="2"/>
        <v>Avoid</v>
      </c>
      <c r="P1505" s="21" t="str">
        <f t="shared" si="3"/>
        <v/>
      </c>
      <c r="Q1505" s="21" t="str">
        <f t="shared" si="4"/>
        <v/>
      </c>
      <c r="R1505" s="22" t="str">
        <f>IFERROR(__xludf.DUMMYFUNCTION("GOOGLEFINANCE(B1505, ""pe"")
"),"#N/A")</f>
        <v>#N/A</v>
      </c>
    </row>
    <row r="1506">
      <c r="A1506" s="9" t="s">
        <v>1514</v>
      </c>
      <c r="B1506" s="11" t="str">
        <f t="shared" si="1"/>
        <v>NSE:DICIND</v>
      </c>
      <c r="C1506" s="12">
        <f>IFERROR(__xludf.DUMMYFUNCTION("GOOGLEFINANCE(B1506,""marketcap"")/10000000"),583.6452301)</f>
        <v>583.6452301</v>
      </c>
      <c r="D1506" s="13">
        <f>IFERROR(__xludf.DUMMYFUNCTION("GOOGLEFINANCE(B1506,""price"")"),635.85)</f>
        <v>635.85</v>
      </c>
      <c r="E1506" s="14">
        <f>IFERROR(__xludf.DUMMYFUNCTION("GOOGLEFINANCE(B1506,""Volume"")"),540.0)</f>
        <v>540</v>
      </c>
      <c r="F1506" s="14">
        <f t="array" ref="F1506">F1505</f>
        <v>14</v>
      </c>
      <c r="G1506" s="15" t="str">
        <f>IFERROR(__xludf.DUMMYFUNCTION("IF(E1506&gt;AVERAGE(INDEX(GOOGLEFINANCE(B1506,""volume"",WORKDAY(TODAY(),-$F$1),TODAY()),,2)),""Breakout"","""")"),"")</f>
        <v/>
      </c>
      <c r="H1506" s="16">
        <f>IFERROR(__xludf.DUMMYFUNCTION("GOOGLEFINANCE(B1506,""price"")"),635.85)</f>
        <v>635.85</v>
      </c>
      <c r="I1506" s="17" t="str">
        <f>IFERROR(__xludf.DUMMYFUNCTION("AVERAGE(QUERY(SORT(GOOGLEFINANCE(B1506,""price"",TODAY()-365,TODAY()),1,0),""select Col2 limit 10""))"),"#N/A")</f>
        <v>#N/A</v>
      </c>
      <c r="J1506" s="17" t="str">
        <f>IFERROR(__xludf.DUMMYFUNCTION("AVERAGE(QUERY(SORT(GOOGLEFINANCE(B1506,""price"",TODAY()-365,TODAY()),1,0),""select Col2 limit 30""))"),"#N/A")</f>
        <v>#N/A</v>
      </c>
      <c r="K1506" s="18" t="str">
        <f>IFERROR(__xludf.DUMMYFUNCTION("AVERAGE(QUERY(SORT(GOOGLEFINANCE(B1506,""price"",TODAY()-365,TODAY()),1,0),""select Col2 limit 60""))"),"#N/A")</f>
        <v>#N/A</v>
      </c>
      <c r="L1506" s="17" t="str">
        <f>IFERROR(__xludf.DUMMYFUNCTION("AVERAGE(QUERY(SORT(GOOGLEFINANCE(B1506,""price"",TODAY()-365,TODAY()),1,0),""select Col2 limit 90""))"),"#N/A")</f>
        <v>#N/A</v>
      </c>
      <c r="M1506" s="17" t="str">
        <f>IFERROR(__xludf.DUMMYFUNCTION("AVERAGE(QUERY(SORT(GOOGLEFINANCE(B1506,""price"",TODAY()-365,TODAY()),1,0),""select Col2 limit 120""))"),"#N/A")</f>
        <v>#N/A</v>
      </c>
      <c r="N1506" s="19" t="str">
        <f>IFERROR(__xludf.DUMMYFUNCTION("AVERAGE(QUERY(SORT(GOOGLEFINANCE(B1506,""price"",TODAY()-365,TODAY()),1,0),""select Col2 limit 200""))"),"#N/A")</f>
        <v>#N/A</v>
      </c>
      <c r="O1506" s="20" t="str">
        <f t="shared" si="2"/>
        <v>#N/A</v>
      </c>
      <c r="P1506" s="21" t="str">
        <f t="shared" si="3"/>
        <v>#N/A</v>
      </c>
      <c r="Q1506" s="21" t="str">
        <f t="shared" si="4"/>
        <v>#N/A</v>
      </c>
      <c r="R1506" s="22">
        <f>IFERROR(__xludf.DUMMYFUNCTION("GOOGLEFINANCE(B1506, ""pe"")
"),32.56)</f>
        <v>32.56</v>
      </c>
    </row>
    <row r="1507">
      <c r="A1507" s="9" t="s">
        <v>1515</v>
      </c>
      <c r="B1507" s="11" t="str">
        <f t="shared" si="1"/>
        <v>NSE:ASAHISONG</v>
      </c>
      <c r="C1507" s="12">
        <f>IFERROR(__xludf.DUMMYFUNCTION("GOOGLEFINANCE(B1507,""marketcap"")/10000000"),524.6890696)</f>
        <v>524.6890696</v>
      </c>
      <c r="D1507" s="13">
        <f>IFERROR(__xludf.DUMMYFUNCTION("GOOGLEFINANCE(B1507,""price"")"),437.7)</f>
        <v>437.7</v>
      </c>
      <c r="E1507" s="14">
        <f>IFERROR(__xludf.DUMMYFUNCTION("GOOGLEFINANCE(B1507,""Volume"")"),4057.0)</f>
        <v>4057</v>
      </c>
      <c r="F1507" s="14">
        <f t="array" ref="F1507">F1506</f>
        <v>14</v>
      </c>
      <c r="G1507" s="15" t="str">
        <f>IFERROR(__xludf.DUMMYFUNCTION("IF(E1507&gt;AVERAGE(INDEX(GOOGLEFINANCE(B1507,""volume"",WORKDAY(TODAY(),-$F$1),TODAY()),,2)),""Breakout"","""")"),"Breakout")</f>
        <v>Breakout</v>
      </c>
      <c r="H1507" s="16">
        <f>IFERROR(__xludf.DUMMYFUNCTION("GOOGLEFINANCE(B1507,""price"")"),437.7)</f>
        <v>437.7</v>
      </c>
      <c r="I1507" s="17">
        <f>IFERROR(__xludf.DUMMYFUNCTION("AVERAGE(QUERY(SORT(GOOGLEFINANCE(B1507,""price"",TODAY()-365,TODAY()),1,0),""select Col2 limit 10""))"),435.375)</f>
        <v>435.375</v>
      </c>
      <c r="J1507" s="17">
        <f>IFERROR(__xludf.DUMMYFUNCTION("AVERAGE(QUERY(SORT(GOOGLEFINANCE(B1507,""price"",TODAY()-365,TODAY()),1,0),""select Col2 limit 30""))"),434.3450000000001)</f>
        <v>434.345</v>
      </c>
      <c r="K1507" s="18">
        <f>IFERROR(__xludf.DUMMYFUNCTION("AVERAGE(QUERY(SORT(GOOGLEFINANCE(B1507,""price"",TODAY()-365,TODAY()),1,0),""select Col2 limit 60""))"),428.1175000000002)</f>
        <v>428.1175</v>
      </c>
      <c r="L1507" s="17">
        <f>IFERROR(__xludf.DUMMYFUNCTION("AVERAGE(QUERY(SORT(GOOGLEFINANCE(B1507,""price"",TODAY()-365,TODAY()),1,0),""select Col2 limit 90""))"),400.13555555555547)</f>
        <v>400.1355556</v>
      </c>
      <c r="M1507" s="17">
        <f>IFERROR(__xludf.DUMMYFUNCTION("AVERAGE(QUERY(SORT(GOOGLEFINANCE(B1507,""price"",TODAY()-365,TODAY()),1,0),""select Col2 limit 120""))"),372.53999999999996)</f>
        <v>372.54</v>
      </c>
      <c r="N1507" s="19">
        <f>IFERROR(__xludf.DUMMYFUNCTION("AVERAGE(QUERY(SORT(GOOGLEFINANCE(B1507,""price"",TODAY()-365,TODAY()),1,0),""select Col2 limit 200""))"),381.2222500000002)</f>
        <v>381.22225</v>
      </c>
      <c r="O1507" s="20" t="str">
        <f t="shared" si="2"/>
        <v>Avoid</v>
      </c>
      <c r="P1507" s="21" t="str">
        <f t="shared" si="3"/>
        <v/>
      </c>
      <c r="Q1507" s="21" t="str">
        <f t="shared" si="4"/>
        <v/>
      </c>
      <c r="R1507" s="22">
        <f>IFERROR(__xludf.DUMMYFUNCTION("GOOGLEFINANCE(B1507, ""pe"")
"),26.04)</f>
        <v>26.04</v>
      </c>
    </row>
    <row r="1508">
      <c r="A1508" s="9" t="s">
        <v>1516</v>
      </c>
      <c r="B1508" s="11" t="str">
        <f t="shared" si="1"/>
        <v>NSE:SGIL</v>
      </c>
      <c r="C1508" s="12">
        <f>IFERROR(__xludf.DUMMYFUNCTION("GOOGLEFINANCE(B1508,""marketcap"")/10000000"),832.9494079)</f>
        <v>832.9494079</v>
      </c>
      <c r="D1508" s="13">
        <f>IFERROR(__xludf.DUMMYFUNCTION("GOOGLEFINANCE(B1508,""price"")"),534.35)</f>
        <v>534.35</v>
      </c>
      <c r="E1508" s="14">
        <f>IFERROR(__xludf.DUMMYFUNCTION("GOOGLEFINANCE(B1508,""Volume"")"),14025.0)</f>
        <v>14025</v>
      </c>
      <c r="F1508" s="14">
        <f t="array" ref="F1508">F1507</f>
        <v>14</v>
      </c>
      <c r="G1508" s="15" t="str">
        <f>IFERROR(__xludf.DUMMYFUNCTION("IF(E1508&gt;AVERAGE(INDEX(GOOGLEFINANCE(B1508,""volume"",WORKDAY(TODAY(),-$F$1),TODAY()),,2)),""Breakout"","""")"),"")</f>
        <v/>
      </c>
      <c r="H1508" s="16">
        <f>IFERROR(__xludf.DUMMYFUNCTION("GOOGLEFINANCE(B1508,""price"")"),534.35)</f>
        <v>534.35</v>
      </c>
      <c r="I1508" s="17">
        <f>IFERROR(__xludf.DUMMYFUNCTION("AVERAGE(QUERY(SORT(GOOGLEFINANCE(B1508,""price"",TODAY()-365,TODAY()),1,0),""select Col2 limit 10""))"),541.45)</f>
        <v>541.45</v>
      </c>
      <c r="J1508" s="17">
        <f>IFERROR(__xludf.DUMMYFUNCTION("AVERAGE(QUERY(SORT(GOOGLEFINANCE(B1508,""price"",TODAY()-365,TODAY()),1,0),""select Col2 limit 30""))"),535.3616666666668)</f>
        <v>535.3616667</v>
      </c>
      <c r="K1508" s="18">
        <f>IFERROR(__xludf.DUMMYFUNCTION("AVERAGE(QUERY(SORT(GOOGLEFINANCE(B1508,""price"",TODAY()-365,TODAY()),1,0),""select Col2 limit 60""))"),518.4258333333333)</f>
        <v>518.4258333</v>
      </c>
      <c r="L1508" s="17">
        <f>IFERROR(__xludf.DUMMYFUNCTION("AVERAGE(QUERY(SORT(GOOGLEFINANCE(B1508,""price"",TODAY()-365,TODAY()),1,0),""select Col2 limit 90""))"),488.88111111111107)</f>
        <v>488.8811111</v>
      </c>
      <c r="M1508" s="17">
        <f>IFERROR(__xludf.DUMMYFUNCTION("AVERAGE(QUERY(SORT(GOOGLEFINANCE(B1508,""price"",TODAY()-365,TODAY()),1,0),""select Col2 limit 120""))"),466.19291666666675)</f>
        <v>466.1929167</v>
      </c>
      <c r="N1508" s="19">
        <f>IFERROR(__xludf.DUMMYFUNCTION("AVERAGE(QUERY(SORT(GOOGLEFINANCE(B1508,""price"",TODAY()-365,TODAY()),1,0),""select Col2 limit 200""))"),448.28675000000027)</f>
        <v>448.28675</v>
      </c>
      <c r="O1508" s="20" t="str">
        <f t="shared" si="2"/>
        <v>Avoid</v>
      </c>
      <c r="P1508" s="21" t="str">
        <f t="shared" si="3"/>
        <v>30 DMA</v>
      </c>
      <c r="Q1508" s="21" t="str">
        <f t="shared" si="4"/>
        <v/>
      </c>
      <c r="R1508" s="22">
        <f>IFERROR(__xludf.DUMMYFUNCTION("GOOGLEFINANCE(B1508, ""pe"")
"),47.04)</f>
        <v>47.04</v>
      </c>
    </row>
    <row r="1509">
      <c r="A1509" s="9" t="s">
        <v>1517</v>
      </c>
      <c r="B1509" s="11" t="str">
        <f t="shared" si="1"/>
        <v>NSE:INTLCONV</v>
      </c>
      <c r="C1509" s="12">
        <f>IFERROR(__xludf.DUMMYFUNCTION("GOOGLEFINANCE(B1509,""marketcap"")/10000000"),567.1230111)</f>
        <v>567.1230111</v>
      </c>
      <c r="D1509" s="13">
        <f>IFERROR(__xludf.DUMMYFUNCTION("GOOGLEFINANCE(B1509,""price"")"),89.61)</f>
        <v>89.61</v>
      </c>
      <c r="E1509" s="14">
        <f>IFERROR(__xludf.DUMMYFUNCTION("GOOGLEFINANCE(B1509,""Volume"")"),39172.0)</f>
        <v>39172</v>
      </c>
      <c r="F1509" s="14">
        <f t="array" ref="F1509">F1508</f>
        <v>14</v>
      </c>
      <c r="G1509" s="15" t="str">
        <f>IFERROR(__xludf.DUMMYFUNCTION("IF(E1509&gt;AVERAGE(INDEX(GOOGLEFINANCE(B1509,""volume"",WORKDAY(TODAY(),-$F$1),TODAY()),,2)),""Breakout"","""")"),"")</f>
        <v/>
      </c>
      <c r="H1509" s="16">
        <f>IFERROR(__xludf.DUMMYFUNCTION("GOOGLEFINANCE(B1509,""price"")"),89.61)</f>
        <v>89.61</v>
      </c>
      <c r="I1509" s="17">
        <f>IFERROR(__xludf.DUMMYFUNCTION("AVERAGE(QUERY(SORT(GOOGLEFINANCE(B1509,""price"",TODAY()-365,TODAY()),1,0),""select Col2 limit 10""))"),95.792)</f>
        <v>95.792</v>
      </c>
      <c r="J1509" s="17">
        <f>IFERROR(__xludf.DUMMYFUNCTION("AVERAGE(QUERY(SORT(GOOGLEFINANCE(B1509,""price"",TODAY()-365,TODAY()),1,0),""select Col2 limit 30""))"),93.523)</f>
        <v>93.523</v>
      </c>
      <c r="K1509" s="18">
        <f>IFERROR(__xludf.DUMMYFUNCTION("AVERAGE(QUERY(SORT(GOOGLEFINANCE(B1509,""price"",TODAY()-365,TODAY()),1,0),""select Col2 limit 60""))"),86.7925)</f>
        <v>86.7925</v>
      </c>
      <c r="L1509" s="17">
        <f>IFERROR(__xludf.DUMMYFUNCTION("AVERAGE(QUERY(SORT(GOOGLEFINANCE(B1509,""price"",TODAY()-365,TODAY()),1,0),""select Col2 limit 90""))"),81.69666666666664)</f>
        <v>81.69666667</v>
      </c>
      <c r="M1509" s="17">
        <f>IFERROR(__xludf.DUMMYFUNCTION("AVERAGE(QUERY(SORT(GOOGLEFINANCE(B1509,""price"",TODAY()-365,TODAY()),1,0),""select Col2 limit 120""))"),79.23474999999998)</f>
        <v>79.23475</v>
      </c>
      <c r="N1509" s="19">
        <f>IFERROR(__xludf.DUMMYFUNCTION("AVERAGE(QUERY(SORT(GOOGLEFINANCE(B1509,""price"",TODAY()-365,TODAY()),1,0),""select Col2 limit 200""))"),81.7178)</f>
        <v>81.7178</v>
      </c>
      <c r="O1509" s="20" t="str">
        <f t="shared" si="2"/>
        <v>Avoid</v>
      </c>
      <c r="P1509" s="21" t="str">
        <f t="shared" si="3"/>
        <v/>
      </c>
      <c r="Q1509" s="21" t="str">
        <f t="shared" si="4"/>
        <v/>
      </c>
      <c r="R1509" s="22">
        <f>IFERROR(__xludf.DUMMYFUNCTION("GOOGLEFINANCE(B1509, ""pe"")
"),6.19)</f>
        <v>6.19</v>
      </c>
    </row>
    <row r="1510">
      <c r="A1510" s="9" t="s">
        <v>1518</v>
      </c>
      <c r="B1510" s="11" t="str">
        <f t="shared" si="1"/>
        <v>NSE:SRM</v>
      </c>
      <c r="C1510" s="12">
        <f>IFERROR(__xludf.DUMMYFUNCTION("GOOGLEFINANCE(B1510,""marketcap"")/10000000"),1042.959645)</f>
        <v>1042.959645</v>
      </c>
      <c r="D1510" s="13">
        <f>IFERROR(__xludf.DUMMYFUNCTION("GOOGLEFINANCE(B1510,""price"")"),453.95)</f>
        <v>453.95</v>
      </c>
      <c r="E1510" s="14">
        <f>IFERROR(__xludf.DUMMYFUNCTION("GOOGLEFINANCE(B1510,""Volume"")"),55119.0)</f>
        <v>55119</v>
      </c>
      <c r="F1510" s="14">
        <f t="array" ref="F1510">F1509</f>
        <v>14</v>
      </c>
      <c r="G1510" s="15" t="str">
        <f>IFERROR(__xludf.DUMMYFUNCTION("IF(E1510&gt;AVERAGE(INDEX(GOOGLEFINANCE(B1510,""volume"",WORKDAY(TODAY(),-$F$1),TODAY()),,2)),""Breakout"","""")"),"")</f>
        <v/>
      </c>
      <c r="H1510" s="16">
        <f>IFERROR(__xludf.DUMMYFUNCTION("GOOGLEFINANCE(B1510,""price"")"),453.95)</f>
        <v>453.95</v>
      </c>
      <c r="I1510" s="17">
        <f>IFERROR(__xludf.DUMMYFUNCTION("AVERAGE(QUERY(SORT(GOOGLEFINANCE(B1510,""price"",TODAY()-365,TODAY()),1,0),""select Col2 limit 10""))"),490.7099999999999)</f>
        <v>490.71</v>
      </c>
      <c r="J1510" s="17">
        <f>IFERROR(__xludf.DUMMYFUNCTION("AVERAGE(QUERY(SORT(GOOGLEFINANCE(B1510,""price"",TODAY()-365,TODAY()),1,0),""select Col2 limit 30""))"),480.84499999999997)</f>
        <v>480.845</v>
      </c>
      <c r="K1510" s="18">
        <f>IFERROR(__xludf.DUMMYFUNCTION("AVERAGE(QUERY(SORT(GOOGLEFINANCE(B1510,""price"",TODAY()-365,TODAY()),1,0),""select Col2 limit 60""))"),435.39333333333315)</f>
        <v>435.3933333</v>
      </c>
      <c r="L1510" s="17">
        <f>IFERROR(__xludf.DUMMYFUNCTION("AVERAGE(QUERY(SORT(GOOGLEFINANCE(B1510,""price"",TODAY()-365,TODAY()),1,0),""select Col2 limit 90""))"),400.8522222222221)</f>
        <v>400.8522222</v>
      </c>
      <c r="M1510" s="17">
        <f>IFERROR(__xludf.DUMMYFUNCTION("AVERAGE(QUERY(SORT(GOOGLEFINANCE(B1510,""price"",TODAY()-365,TODAY()),1,0),""select Col2 limit 120""))"),383.3058333333333)</f>
        <v>383.3058333</v>
      </c>
      <c r="N1510" s="19">
        <f>IFERROR(__xludf.DUMMYFUNCTION("AVERAGE(QUERY(SORT(GOOGLEFINANCE(B1510,""price"",TODAY()-365,TODAY()),1,0),""select Col2 limit 200""))"),360.8034999999998)</f>
        <v>360.8035</v>
      </c>
      <c r="O1510" s="20" t="str">
        <f t="shared" si="2"/>
        <v>Avoid</v>
      </c>
      <c r="P1510" s="21" t="str">
        <f t="shared" si="3"/>
        <v/>
      </c>
      <c r="Q1510" s="21" t="str">
        <f t="shared" si="4"/>
        <v/>
      </c>
      <c r="R1510" s="22">
        <f>IFERROR(__xludf.DUMMYFUNCTION("GOOGLEFINANCE(B1510, ""pe"")
"),19.01)</f>
        <v>19.01</v>
      </c>
    </row>
    <row r="1511">
      <c r="A1511" s="9" t="s">
        <v>1519</v>
      </c>
      <c r="B1511" s="11" t="str">
        <f t="shared" si="1"/>
        <v>NSE:CINELINE</v>
      </c>
      <c r="C1511" s="12">
        <f>IFERROR(__xludf.DUMMYFUNCTION("GOOGLEFINANCE(B1511,""marketcap"")/10000000"),310.522398)</f>
        <v>310.522398</v>
      </c>
      <c r="D1511" s="13">
        <f>IFERROR(__xludf.DUMMYFUNCTION("GOOGLEFINANCE(B1511,""price"")"),90.62)</f>
        <v>90.62</v>
      </c>
      <c r="E1511" s="14">
        <f>IFERROR(__xludf.DUMMYFUNCTION("GOOGLEFINANCE(B1511,""Volume"")"),4932.0)</f>
        <v>4932</v>
      </c>
      <c r="F1511" s="14">
        <f t="array" ref="F1511">F1510</f>
        <v>14</v>
      </c>
      <c r="G1511" s="15" t="str">
        <f>IFERROR(__xludf.DUMMYFUNCTION("IF(E1511&gt;AVERAGE(INDEX(GOOGLEFINANCE(B1511,""volume"",WORKDAY(TODAY(),-$F$1),TODAY()),,2)),""Breakout"","""")"),"")</f>
        <v/>
      </c>
      <c r="H1511" s="16">
        <f>IFERROR(__xludf.DUMMYFUNCTION("GOOGLEFINANCE(B1511,""price"")"),90.62)</f>
        <v>90.62</v>
      </c>
      <c r="I1511" s="17">
        <f>IFERROR(__xludf.DUMMYFUNCTION("AVERAGE(QUERY(SORT(GOOGLEFINANCE(B1511,""price"",TODAY()-365,TODAY()),1,0),""select Col2 limit 10""))"),90.98100000000001)</f>
        <v>90.981</v>
      </c>
      <c r="J1511" s="17">
        <f>IFERROR(__xludf.DUMMYFUNCTION("AVERAGE(QUERY(SORT(GOOGLEFINANCE(B1511,""price"",TODAY()-365,TODAY()),1,0),""select Col2 limit 30""))"),90.60633333333334)</f>
        <v>90.60633333</v>
      </c>
      <c r="K1511" s="18">
        <f>IFERROR(__xludf.DUMMYFUNCTION("AVERAGE(QUERY(SORT(GOOGLEFINANCE(B1511,""price"",TODAY()-365,TODAY()),1,0),""select Col2 limit 60""))"),90.81516666666666)</f>
        <v>90.81516667</v>
      </c>
      <c r="L1511" s="17">
        <f>IFERROR(__xludf.DUMMYFUNCTION("AVERAGE(QUERY(SORT(GOOGLEFINANCE(B1511,""price"",TODAY()-365,TODAY()),1,0),""select Col2 limit 90""))"),90.23544444444443)</f>
        <v>90.23544444</v>
      </c>
      <c r="M1511" s="17">
        <f>IFERROR(__xludf.DUMMYFUNCTION("AVERAGE(QUERY(SORT(GOOGLEFINANCE(B1511,""price"",TODAY()-365,TODAY()),1,0),""select Col2 limit 120""))"),90.80499999999999)</f>
        <v>90.805</v>
      </c>
      <c r="N1511" s="19">
        <f>IFERROR(__xludf.DUMMYFUNCTION("AVERAGE(QUERY(SORT(GOOGLEFINANCE(B1511,""price"",TODAY()-365,TODAY()),1,0),""select Col2 limit 200""))"),99.94189999999995)</f>
        <v>99.9419</v>
      </c>
      <c r="O1511" s="20" t="str">
        <f t="shared" si="2"/>
        <v>Avoid</v>
      </c>
      <c r="P1511" s="21" t="str">
        <f t="shared" si="3"/>
        <v>10 DMA</v>
      </c>
      <c r="Q1511" s="21" t="str">
        <f t="shared" si="4"/>
        <v/>
      </c>
      <c r="R1511" s="22" t="str">
        <f>IFERROR(__xludf.DUMMYFUNCTION("GOOGLEFINANCE(B1511, ""pe"")
"),"#N/A")</f>
        <v>#N/A</v>
      </c>
    </row>
    <row r="1512">
      <c r="A1512" s="9" t="s">
        <v>1520</v>
      </c>
      <c r="B1512" s="11" t="str">
        <f t="shared" si="1"/>
        <v>NSE:MODISONLTD</v>
      </c>
      <c r="C1512" s="12">
        <f>IFERROR(__xludf.DUMMYFUNCTION("GOOGLEFINANCE(B1512,""marketcap"")/10000000"),579.1349754)</f>
        <v>579.1349754</v>
      </c>
      <c r="D1512" s="13">
        <f>IFERROR(__xludf.DUMMYFUNCTION("GOOGLEFINANCE(B1512,""price"")"),178.47)</f>
        <v>178.47</v>
      </c>
      <c r="E1512" s="14">
        <f>IFERROR(__xludf.DUMMYFUNCTION("GOOGLEFINANCE(B1512,""Volume"")"),52197.0)</f>
        <v>52197</v>
      </c>
      <c r="F1512" s="14">
        <f t="array" ref="F1512">F1511</f>
        <v>14</v>
      </c>
      <c r="G1512" s="15" t="str">
        <f>IFERROR(__xludf.DUMMYFUNCTION("IF(E1512&gt;AVERAGE(INDEX(GOOGLEFINANCE(B1512,""volume"",WORKDAY(TODAY(),-$F$1),TODAY()),,2)),""Breakout"","""")"),"")</f>
        <v/>
      </c>
      <c r="H1512" s="16">
        <f>IFERROR(__xludf.DUMMYFUNCTION("GOOGLEFINANCE(B1512,""price"")"),178.47)</f>
        <v>178.47</v>
      </c>
      <c r="I1512" s="17">
        <f>IFERROR(__xludf.DUMMYFUNCTION("AVERAGE(QUERY(SORT(GOOGLEFINANCE(B1512,""price"",TODAY()-365,TODAY()),1,0),""select Col2 limit 10""))"),181.24)</f>
        <v>181.24</v>
      </c>
      <c r="J1512" s="17">
        <f>IFERROR(__xludf.DUMMYFUNCTION("AVERAGE(QUERY(SORT(GOOGLEFINANCE(B1512,""price"",TODAY()-365,TODAY()),1,0),""select Col2 limit 30""))"),170.78999999999996)</f>
        <v>170.79</v>
      </c>
      <c r="K1512" s="18">
        <f>IFERROR(__xludf.DUMMYFUNCTION("AVERAGE(QUERY(SORT(GOOGLEFINANCE(B1512,""price"",TODAY()-365,TODAY()),1,0),""select Col2 limit 60""))"),158.4733333333333)</f>
        <v>158.4733333</v>
      </c>
      <c r="L1512" s="17">
        <f>IFERROR(__xludf.DUMMYFUNCTION("AVERAGE(QUERY(SORT(GOOGLEFINANCE(B1512,""price"",TODAY()-365,TODAY()),1,0),""select Col2 limit 90""))"),149.2996666666666)</f>
        <v>149.2996667</v>
      </c>
      <c r="M1512" s="17">
        <f>IFERROR(__xludf.DUMMYFUNCTION("AVERAGE(QUERY(SORT(GOOGLEFINANCE(B1512,""price"",TODAY()-365,TODAY()),1,0),""select Col2 limit 120""))"),147.50708333333327)</f>
        <v>147.5070833</v>
      </c>
      <c r="N1512" s="19">
        <f>IFERROR(__xludf.DUMMYFUNCTION("AVERAGE(QUERY(SORT(GOOGLEFINANCE(B1512,""price"",TODAY()-365,TODAY()),1,0),""select Col2 limit 200""))"),157.76279999999994)</f>
        <v>157.7628</v>
      </c>
      <c r="O1512" s="20" t="str">
        <f t="shared" si="2"/>
        <v>Avoid</v>
      </c>
      <c r="P1512" s="21" t="str">
        <f t="shared" si="3"/>
        <v/>
      </c>
      <c r="Q1512" s="21" t="str">
        <f t="shared" si="4"/>
        <v/>
      </c>
      <c r="R1512" s="22">
        <f>IFERROR(__xludf.DUMMYFUNCTION("GOOGLEFINANCE(B1512, ""pe"")
"),23.52)</f>
        <v>23.52</v>
      </c>
    </row>
    <row r="1513">
      <c r="A1513" s="9" t="s">
        <v>1521</v>
      </c>
      <c r="B1513" s="11" t="str">
        <f t="shared" si="1"/>
        <v>NSE:PONNIERODE</v>
      </c>
      <c r="C1513" s="12">
        <f>IFERROR(__xludf.DUMMYFUNCTION("GOOGLEFINANCE(B1513,""marketcap"")/10000000"),256.9637271)</f>
        <v>256.9637271</v>
      </c>
      <c r="D1513" s="13">
        <f>IFERROR(__xludf.DUMMYFUNCTION("GOOGLEFINANCE(B1513,""price"")"),298.85)</f>
        <v>298.85</v>
      </c>
      <c r="E1513" s="14">
        <f>IFERROR(__xludf.DUMMYFUNCTION("GOOGLEFINANCE(B1513,""Volume"")"),5160.0)</f>
        <v>5160</v>
      </c>
      <c r="F1513" s="14">
        <f t="array" ref="F1513">F1512</f>
        <v>14</v>
      </c>
      <c r="G1513" s="15" t="str">
        <f>IFERROR(__xludf.DUMMYFUNCTION("IF(E1513&gt;AVERAGE(INDEX(GOOGLEFINANCE(B1513,""volume"",WORKDAY(TODAY(),-$F$1),TODAY()),,2)),""Breakout"","""")"),"#N/A")</f>
        <v>#N/A</v>
      </c>
      <c r="H1513" s="16">
        <f>IFERROR(__xludf.DUMMYFUNCTION("GOOGLEFINANCE(B1513,""price"")"),298.85)</f>
        <v>298.85</v>
      </c>
      <c r="I1513" s="17">
        <f>IFERROR(__xludf.DUMMYFUNCTION("AVERAGE(QUERY(SORT(GOOGLEFINANCE(B1513,""price"",TODAY()-365,TODAY()),1,0),""select Col2 limit 10""))"),322.70500000000004)</f>
        <v>322.705</v>
      </c>
      <c r="J1513" s="17">
        <f>IFERROR(__xludf.DUMMYFUNCTION("AVERAGE(QUERY(SORT(GOOGLEFINANCE(B1513,""price"",TODAY()-365,TODAY()),1,0),""select Col2 limit 30""))"),329.4683333333333)</f>
        <v>329.4683333</v>
      </c>
      <c r="K1513" s="18">
        <f>IFERROR(__xludf.DUMMYFUNCTION("AVERAGE(QUERY(SORT(GOOGLEFINANCE(B1513,""price"",TODAY()-365,TODAY()),1,0),""select Col2 limit 60""))"),331.3308333333333)</f>
        <v>331.3308333</v>
      </c>
      <c r="L1513" s="17">
        <f>IFERROR(__xludf.DUMMYFUNCTION("AVERAGE(QUERY(SORT(GOOGLEFINANCE(B1513,""price"",TODAY()-365,TODAY()),1,0),""select Col2 limit 90""))"),326.753888888889)</f>
        <v>326.7538889</v>
      </c>
      <c r="M1513" s="17">
        <f>IFERROR(__xludf.DUMMYFUNCTION("AVERAGE(QUERY(SORT(GOOGLEFINANCE(B1513,""price"",TODAY()-365,TODAY()),1,0),""select Col2 limit 120""))"),324.78500000000014)</f>
        <v>324.785</v>
      </c>
      <c r="N1513" s="19">
        <f>IFERROR(__xludf.DUMMYFUNCTION("AVERAGE(QUERY(SORT(GOOGLEFINANCE(B1513,""price"",TODAY()-365,TODAY()),1,0),""select Col2 limit 200""))"),362.1030000000003)</f>
        <v>362.103</v>
      </c>
      <c r="O1513" s="20" t="str">
        <f t="shared" si="2"/>
        <v>Avoid</v>
      </c>
      <c r="P1513" s="21" t="str">
        <f t="shared" si="3"/>
        <v/>
      </c>
      <c r="Q1513" s="21" t="str">
        <f t="shared" si="4"/>
        <v/>
      </c>
      <c r="R1513" s="22">
        <f>IFERROR(__xludf.DUMMYFUNCTION("GOOGLEFINANCE(B1513, ""pe"")
"),16.28)</f>
        <v>16.28</v>
      </c>
    </row>
    <row r="1514">
      <c r="A1514" s="9" t="s">
        <v>1522</v>
      </c>
      <c r="B1514" s="11" t="str">
        <f t="shared" si="1"/>
        <v>NSE:UNIDT</v>
      </c>
      <c r="C1514" s="12">
        <f>IFERROR(__xludf.DUMMYFUNCTION("GOOGLEFINANCE(B1514,""marketcap"")/10000000"),438.9737711)</f>
        <v>438.9737711</v>
      </c>
      <c r="D1514" s="13">
        <f>IFERROR(__xludf.DUMMYFUNCTION("GOOGLEFINANCE(B1514,""price"")"),216.21)</f>
        <v>216.21</v>
      </c>
      <c r="E1514" s="14">
        <f>IFERROR(__xludf.DUMMYFUNCTION("GOOGLEFINANCE(B1514,""Volume"")"),4248.0)</f>
        <v>4248</v>
      </c>
      <c r="F1514" s="14">
        <f t="array" ref="F1514">F1513</f>
        <v>14</v>
      </c>
      <c r="G1514" s="15" t="str">
        <f>IFERROR(__xludf.DUMMYFUNCTION("IF(E1514&gt;AVERAGE(INDEX(GOOGLEFINANCE(B1514,""volume"",WORKDAY(TODAY(),-$F$1),TODAY()),,2)),""Breakout"","""")"),"")</f>
        <v/>
      </c>
      <c r="H1514" s="16">
        <f>IFERROR(__xludf.DUMMYFUNCTION("GOOGLEFINANCE(B1514,""price"")"),216.21)</f>
        <v>216.21</v>
      </c>
      <c r="I1514" s="17">
        <f>IFERROR(__xludf.DUMMYFUNCTION("AVERAGE(QUERY(SORT(GOOGLEFINANCE(B1514,""price"",TODAY()-365,TODAY()),1,0),""select Col2 limit 10""))"),224.12199999999999)</f>
        <v>224.122</v>
      </c>
      <c r="J1514" s="17">
        <f>IFERROR(__xludf.DUMMYFUNCTION("AVERAGE(QUERY(SORT(GOOGLEFINANCE(B1514,""price"",TODAY()-365,TODAY()),1,0),""select Col2 limit 30""))"),226.81933333333325)</f>
        <v>226.8193333</v>
      </c>
      <c r="K1514" s="18">
        <f>IFERROR(__xludf.DUMMYFUNCTION("AVERAGE(QUERY(SORT(GOOGLEFINANCE(B1514,""price"",TODAY()-365,TODAY()),1,0),""select Col2 limit 60""))"),212.10733333333332)</f>
        <v>212.1073333</v>
      </c>
      <c r="L1514" s="17">
        <f>IFERROR(__xludf.DUMMYFUNCTION("AVERAGE(QUERY(SORT(GOOGLEFINANCE(B1514,""price"",TODAY()-365,TODAY()),1,0),""select Col2 limit 90""))"),213.54133333333323)</f>
        <v>213.5413333</v>
      </c>
      <c r="M1514" s="17">
        <f>IFERROR(__xludf.DUMMYFUNCTION("AVERAGE(QUERY(SORT(GOOGLEFINANCE(B1514,""price"",TODAY()-365,TODAY()),1,0),""select Col2 limit 120""))"),220.98133333333323)</f>
        <v>220.9813333</v>
      </c>
      <c r="N1514" s="19">
        <f>IFERROR(__xludf.DUMMYFUNCTION("AVERAGE(QUERY(SORT(GOOGLEFINANCE(B1514,""price"",TODAY()-365,TODAY()),1,0),""select Col2 limit 200""))"),233.03234999999998)</f>
        <v>233.03235</v>
      </c>
      <c r="O1514" s="20" t="str">
        <f t="shared" si="2"/>
        <v>Avoid</v>
      </c>
      <c r="P1514" s="21" t="str">
        <f t="shared" si="3"/>
        <v/>
      </c>
      <c r="Q1514" s="21" t="str">
        <f t="shared" si="4"/>
        <v/>
      </c>
      <c r="R1514" s="22">
        <f>IFERROR(__xludf.DUMMYFUNCTION("GOOGLEFINANCE(B1514, ""pe"")
"),29.3)</f>
        <v>29.3</v>
      </c>
    </row>
    <row r="1515">
      <c r="A1515" s="9" t="s">
        <v>1523</v>
      </c>
      <c r="B1515" s="11" t="str">
        <f t="shared" si="1"/>
        <v>NSE:GEEKAYWIRE</v>
      </c>
      <c r="C1515" s="12">
        <f>IFERROR(__xludf.DUMMYFUNCTION("GOOGLEFINANCE(B1515,""marketcap"")/10000000"),362.1617466)</f>
        <v>362.1617466</v>
      </c>
      <c r="D1515" s="13">
        <f>IFERROR(__xludf.DUMMYFUNCTION("GOOGLEFINANCE(B1515,""price"")"),69.0)</f>
        <v>69</v>
      </c>
      <c r="E1515" s="14">
        <f>IFERROR(__xludf.DUMMYFUNCTION("GOOGLEFINANCE(B1515,""Volume"")"),35720.0)</f>
        <v>35720</v>
      </c>
      <c r="F1515" s="14">
        <f t="array" ref="F1515">F1514</f>
        <v>14</v>
      </c>
      <c r="G1515" s="15" t="str">
        <f>IFERROR(__xludf.DUMMYFUNCTION("IF(E1515&gt;AVERAGE(INDEX(GOOGLEFINANCE(B1515,""volume"",WORKDAY(TODAY(),-$F$1),TODAY()),,2)),""Breakout"","""")"),"")</f>
        <v/>
      </c>
      <c r="H1515" s="16">
        <f>IFERROR(__xludf.DUMMYFUNCTION("GOOGLEFINANCE(B1515,""price"")"),69.0)</f>
        <v>69</v>
      </c>
      <c r="I1515" s="17">
        <f>IFERROR(__xludf.DUMMYFUNCTION("AVERAGE(QUERY(SORT(GOOGLEFINANCE(B1515,""price"",TODAY()-365,TODAY()),1,0),""select Col2 limit 10""))"),70.456)</f>
        <v>70.456</v>
      </c>
      <c r="J1515" s="17">
        <f>IFERROR(__xludf.DUMMYFUNCTION("AVERAGE(QUERY(SORT(GOOGLEFINANCE(B1515,""price"",TODAY()-365,TODAY()),1,0),""select Col2 limit 30""))"),71.04866666666666)</f>
        <v>71.04866667</v>
      </c>
      <c r="K1515" s="18">
        <f>IFERROR(__xludf.DUMMYFUNCTION("AVERAGE(QUERY(SORT(GOOGLEFINANCE(B1515,""price"",TODAY()-365,TODAY()),1,0),""select Col2 limit 60""))"),72.19216666666667)</f>
        <v>72.19216667</v>
      </c>
      <c r="L1515" s="17">
        <f>IFERROR(__xludf.DUMMYFUNCTION("AVERAGE(QUERY(SORT(GOOGLEFINANCE(B1515,""price"",TODAY()-365,TODAY()),1,0),""select Col2 limit 90""))"),74.184)</f>
        <v>74.184</v>
      </c>
      <c r="M1515" s="17">
        <f>IFERROR(__xludf.DUMMYFUNCTION("AVERAGE(QUERY(SORT(GOOGLEFINANCE(B1515,""price"",TODAY()-365,TODAY()),1,0),""select Col2 limit 120""))"),76.35991666666663)</f>
        <v>76.35991667</v>
      </c>
      <c r="N1515" s="19">
        <f>IFERROR(__xludf.DUMMYFUNCTION("AVERAGE(QUERY(SORT(GOOGLEFINANCE(B1515,""price"",TODAY()-365,TODAY()),1,0),""select Col2 limit 200""))"),86.38840000000002)</f>
        <v>86.3884</v>
      </c>
      <c r="O1515" s="20" t="str">
        <f t="shared" si="2"/>
        <v>Avoid</v>
      </c>
      <c r="P1515" s="21" t="str">
        <f t="shared" si="3"/>
        <v/>
      </c>
      <c r="Q1515" s="21" t="str">
        <f t="shared" si="4"/>
        <v/>
      </c>
      <c r="R1515" s="22">
        <f>IFERROR(__xludf.DUMMYFUNCTION("GOOGLEFINANCE(B1515, ""pe"")
"),9.93)</f>
        <v>9.93</v>
      </c>
    </row>
    <row r="1516">
      <c r="A1516" s="9" t="s">
        <v>1524</v>
      </c>
      <c r="B1516" s="11" t="str">
        <f t="shared" si="1"/>
        <v>NSE:MANAKCOAT</v>
      </c>
      <c r="C1516" s="12">
        <f>IFERROR(__xludf.DUMMYFUNCTION("GOOGLEFINANCE(B1516,""marketcap"")/10000000"),1693.8732022)</f>
        <v>1693.873202</v>
      </c>
      <c r="D1516" s="13">
        <f>IFERROR(__xludf.DUMMYFUNCTION("GOOGLEFINANCE(B1516,""price"")"),160.04)</f>
        <v>160.04</v>
      </c>
      <c r="E1516" s="14">
        <f>IFERROR(__xludf.DUMMYFUNCTION("GOOGLEFINANCE(B1516,""Volume"")"),212177.0)</f>
        <v>212177</v>
      </c>
      <c r="F1516" s="14">
        <f t="array" ref="F1516">F1515</f>
        <v>14</v>
      </c>
      <c r="G1516" s="15" t="str">
        <f>IFERROR(__xludf.DUMMYFUNCTION("IF(E1516&gt;AVERAGE(INDEX(GOOGLEFINANCE(B1516,""volume"",WORKDAY(TODAY(),-$F$1),TODAY()),,2)),""Breakout"","""")"),"")</f>
        <v/>
      </c>
      <c r="H1516" s="16">
        <f>IFERROR(__xludf.DUMMYFUNCTION("GOOGLEFINANCE(B1516,""price"")"),160.04)</f>
        <v>160.04</v>
      </c>
      <c r="I1516" s="17">
        <f>IFERROR(__xludf.DUMMYFUNCTION("AVERAGE(QUERY(SORT(GOOGLEFINANCE(B1516,""price"",TODAY()-365,TODAY()),1,0),""select Col2 limit 10""))"),146.036)</f>
        <v>146.036</v>
      </c>
      <c r="J1516" s="17">
        <f>IFERROR(__xludf.DUMMYFUNCTION("AVERAGE(QUERY(SORT(GOOGLEFINANCE(B1516,""price"",TODAY()-365,TODAY()),1,0),""select Col2 limit 30""))"),137.33933333333334)</f>
        <v>137.3393333</v>
      </c>
      <c r="K1516" s="18">
        <f>IFERROR(__xludf.DUMMYFUNCTION("AVERAGE(QUERY(SORT(GOOGLEFINANCE(B1516,""price"",TODAY()-365,TODAY()),1,0),""select Col2 limit 60""))"),119.75199999999998)</f>
        <v>119.752</v>
      </c>
      <c r="L1516" s="17">
        <f>IFERROR(__xludf.DUMMYFUNCTION("AVERAGE(QUERY(SORT(GOOGLEFINANCE(B1516,""price"",TODAY()-365,TODAY()),1,0),""select Col2 limit 90""))"),108.2801111111111)</f>
        <v>108.2801111</v>
      </c>
      <c r="M1516" s="17">
        <f>IFERROR(__xludf.DUMMYFUNCTION("AVERAGE(QUERY(SORT(GOOGLEFINANCE(B1516,""price"",TODAY()-365,TODAY()),1,0),""select Col2 limit 120""))"),104.07475)</f>
        <v>104.07475</v>
      </c>
      <c r="N1516" s="19">
        <f>IFERROR(__xludf.DUMMYFUNCTION("AVERAGE(QUERY(SORT(GOOGLEFINANCE(B1516,""price"",TODAY()-365,TODAY()),1,0),""select Col2 limit 200""))"),96.54590000000003)</f>
        <v>96.5459</v>
      </c>
      <c r="O1516" s="20" t="str">
        <f t="shared" si="2"/>
        <v>Avoid</v>
      </c>
      <c r="P1516" s="21" t="str">
        <f t="shared" si="3"/>
        <v/>
      </c>
      <c r="Q1516" s="21" t="str">
        <f t="shared" si="4"/>
        <v/>
      </c>
      <c r="R1516" s="22">
        <f>IFERROR(__xludf.DUMMYFUNCTION("GOOGLEFINANCE(B1516, ""pe"")
"),50.97)</f>
        <v>50.97</v>
      </c>
    </row>
    <row r="1517">
      <c r="A1517" s="9" t="s">
        <v>1525</v>
      </c>
      <c r="B1517" s="11" t="str">
        <f t="shared" si="1"/>
        <v>NSE:MIRCELECTR</v>
      </c>
      <c r="C1517" s="12">
        <f>IFERROR(__xludf.DUMMYFUNCTION("GOOGLEFINANCE(B1517,""marketcap"")/10000000"),453.1949141)</f>
        <v>453.1949141</v>
      </c>
      <c r="D1517" s="13">
        <f>IFERROR(__xludf.DUMMYFUNCTION("GOOGLEFINANCE(B1517,""price"")"),16.11)</f>
        <v>16.11</v>
      </c>
      <c r="E1517" s="14">
        <f>IFERROR(__xludf.DUMMYFUNCTION("GOOGLEFINANCE(B1517,""Volume"")"),279770.0)</f>
        <v>279770</v>
      </c>
      <c r="F1517" s="14">
        <f t="array" ref="F1517">F1516</f>
        <v>14</v>
      </c>
      <c r="G1517" s="15" t="str">
        <f>IFERROR(__xludf.DUMMYFUNCTION("IF(E1517&gt;AVERAGE(INDEX(GOOGLEFINANCE(B1517,""volume"",WORKDAY(TODAY(),-$F$1),TODAY()),,2)),""Breakout"","""")"),"")</f>
        <v/>
      </c>
      <c r="H1517" s="16">
        <f>IFERROR(__xludf.DUMMYFUNCTION("GOOGLEFINANCE(B1517,""price"")"),16.11)</f>
        <v>16.11</v>
      </c>
      <c r="I1517" s="17">
        <f>IFERROR(__xludf.DUMMYFUNCTION("AVERAGE(QUERY(SORT(GOOGLEFINANCE(B1517,""price"",TODAY()-365,TODAY()),1,0),""select Col2 limit 10""))"),17.19)</f>
        <v>17.19</v>
      </c>
      <c r="J1517" s="17">
        <f>IFERROR(__xludf.DUMMYFUNCTION("AVERAGE(QUERY(SORT(GOOGLEFINANCE(B1517,""price"",TODAY()-365,TODAY()),1,0),""select Col2 limit 30""))"),15.373)</f>
        <v>15.373</v>
      </c>
      <c r="K1517" s="18">
        <f>IFERROR(__xludf.DUMMYFUNCTION("AVERAGE(QUERY(SORT(GOOGLEFINANCE(B1517,""price"",TODAY()-365,TODAY()),1,0),""select Col2 limit 60""))"),14.180166666666668)</f>
        <v>14.18016667</v>
      </c>
      <c r="L1517" s="17">
        <f>IFERROR(__xludf.DUMMYFUNCTION("AVERAGE(QUERY(SORT(GOOGLEFINANCE(B1517,""price"",TODAY()-365,TODAY()),1,0),""select Col2 limit 90""))"),13.660222222222226)</f>
        <v>13.66022222</v>
      </c>
      <c r="M1517" s="17">
        <f>IFERROR(__xludf.DUMMYFUNCTION("AVERAGE(QUERY(SORT(GOOGLEFINANCE(B1517,""price"",TODAY()-365,TODAY()),1,0),""select Col2 limit 120""))"),14.189416666666672)</f>
        <v>14.18941667</v>
      </c>
      <c r="N1517" s="19">
        <f>IFERROR(__xludf.DUMMYFUNCTION("AVERAGE(QUERY(SORT(GOOGLEFINANCE(B1517,""price"",TODAY()-365,TODAY()),1,0),""select Col2 limit 200""))"),16.73435000000001)</f>
        <v>16.73435</v>
      </c>
      <c r="O1517" s="20" t="str">
        <f t="shared" si="2"/>
        <v>Avoid</v>
      </c>
      <c r="P1517" s="21" t="str">
        <f t="shared" si="3"/>
        <v/>
      </c>
      <c r="Q1517" s="21" t="str">
        <f t="shared" si="4"/>
        <v/>
      </c>
      <c r="R1517" s="22" t="str">
        <f>IFERROR(__xludf.DUMMYFUNCTION("GOOGLEFINANCE(B1517, ""pe"")
"),"#N/A")</f>
        <v>#N/A</v>
      </c>
    </row>
    <row r="1518">
      <c r="A1518" s="9" t="s">
        <v>1526</v>
      </c>
      <c r="B1518" s="11" t="str">
        <f t="shared" si="1"/>
        <v>NSE:DCI</v>
      </c>
      <c r="C1518" s="12">
        <f>IFERROR(__xludf.DUMMYFUNCTION("GOOGLEFINANCE(B1518,""marketcap"")/10000000"),401.2)</f>
        <v>401.2</v>
      </c>
      <c r="D1518" s="13">
        <f>IFERROR(__xludf.DUMMYFUNCTION("GOOGLEFINANCE(B1518,""price"")"),250.0)</f>
        <v>250</v>
      </c>
      <c r="E1518" s="14">
        <f>IFERROR(__xludf.DUMMYFUNCTION("GOOGLEFINANCE(B1518,""Volume"")"),4896.0)</f>
        <v>4896</v>
      </c>
      <c r="F1518" s="14">
        <f t="array" ref="F1518">F1517</f>
        <v>14</v>
      </c>
      <c r="G1518" s="15" t="str">
        <f>IFERROR(__xludf.DUMMYFUNCTION("IF(E1518&gt;AVERAGE(INDEX(GOOGLEFINANCE(B1518,""volume"",WORKDAY(TODAY(),-$F$1),TODAY()),,2)),""Breakout"","""")"),"")</f>
        <v/>
      </c>
      <c r="H1518" s="16">
        <f>IFERROR(__xludf.DUMMYFUNCTION("GOOGLEFINANCE(B1518,""price"")"),250.0)</f>
        <v>250</v>
      </c>
      <c r="I1518" s="17">
        <f>IFERROR(__xludf.DUMMYFUNCTION("AVERAGE(QUERY(SORT(GOOGLEFINANCE(B1518,""price"",TODAY()-365,TODAY()),1,0),""select Col2 limit 10""))"),266.54)</f>
        <v>266.54</v>
      </c>
      <c r="J1518" s="17">
        <f>IFERROR(__xludf.DUMMYFUNCTION("AVERAGE(QUERY(SORT(GOOGLEFINANCE(B1518,""price"",TODAY()-365,TODAY()),1,0),""select Col2 limit 30""))"),274.1400000000001)</f>
        <v>274.14</v>
      </c>
      <c r="K1518" s="18">
        <f>IFERROR(__xludf.DUMMYFUNCTION("AVERAGE(QUERY(SORT(GOOGLEFINANCE(B1518,""price"",TODAY()-365,TODAY()),1,0),""select Col2 limit 60""))"),280.66666666666674)</f>
        <v>280.6666667</v>
      </c>
      <c r="L1518" s="17">
        <f>IFERROR(__xludf.DUMMYFUNCTION("AVERAGE(QUERY(SORT(GOOGLEFINANCE(B1518,""price"",TODAY()-365,TODAY()),1,0),""select Col2 limit 90""))"),277.02666666666664)</f>
        <v>277.0266667</v>
      </c>
      <c r="M1518" s="17">
        <f>IFERROR(__xludf.DUMMYFUNCTION("AVERAGE(QUERY(SORT(GOOGLEFINANCE(B1518,""price"",TODAY()-365,TODAY()),1,0),""select Col2 limit 120""))"),277.6191666666667)</f>
        <v>277.6191667</v>
      </c>
      <c r="N1518" s="19">
        <f>IFERROR(__xludf.DUMMYFUNCTION("AVERAGE(QUERY(SORT(GOOGLEFINANCE(B1518,""price"",TODAY()-365,TODAY()),1,0),""select Col2 limit 200""))"),309.83399999999995)</f>
        <v>309.834</v>
      </c>
      <c r="O1518" s="20" t="str">
        <f t="shared" si="2"/>
        <v>Avoid</v>
      </c>
      <c r="P1518" s="21" t="str">
        <f t="shared" si="3"/>
        <v/>
      </c>
      <c r="Q1518" s="21" t="str">
        <f t="shared" si="4"/>
        <v/>
      </c>
      <c r="R1518" s="22">
        <f>IFERROR(__xludf.DUMMYFUNCTION("GOOGLEFINANCE(B1518, ""pe"")
"),26.84)</f>
        <v>26.84</v>
      </c>
    </row>
    <row r="1519">
      <c r="A1519" s="9" t="s">
        <v>1527</v>
      </c>
      <c r="B1519" s="11" t="str">
        <f t="shared" si="1"/>
        <v>NSE:VSTL</v>
      </c>
      <c r="C1519" s="12">
        <f>IFERROR(__xludf.DUMMYFUNCTION("GOOGLEFINANCE(B1519,""marketcap"")/10000000"),317.5450329)</f>
        <v>317.5450329</v>
      </c>
      <c r="D1519" s="13">
        <f>IFERROR(__xludf.DUMMYFUNCTION("GOOGLEFINANCE(B1519,""price"")"),167.46)</f>
        <v>167.46</v>
      </c>
      <c r="E1519" s="14">
        <f>IFERROR(__xludf.DUMMYFUNCTION("GOOGLEFINANCE(B1519,""Volume"")"),16891.0)</f>
        <v>16891</v>
      </c>
      <c r="F1519" s="14">
        <f t="array" ref="F1519">F1518</f>
        <v>14</v>
      </c>
      <c r="G1519" s="15" t="str">
        <f>IFERROR(__xludf.DUMMYFUNCTION("IF(E1519&gt;AVERAGE(INDEX(GOOGLEFINANCE(B1519,""volume"",WORKDAY(TODAY(),-$F$1),TODAY()),,2)),""Breakout"","""")"),"")</f>
        <v/>
      </c>
      <c r="H1519" s="16">
        <f>IFERROR(__xludf.DUMMYFUNCTION("GOOGLEFINANCE(B1519,""price"")"),167.46)</f>
        <v>167.46</v>
      </c>
      <c r="I1519" s="17">
        <f>IFERROR(__xludf.DUMMYFUNCTION("AVERAGE(QUERY(SORT(GOOGLEFINANCE(B1519,""price"",TODAY()-365,TODAY()),1,0),""select Col2 limit 10""))"),174.73399999999998)</f>
        <v>174.734</v>
      </c>
      <c r="J1519" s="17">
        <f>IFERROR(__xludf.DUMMYFUNCTION("AVERAGE(QUERY(SORT(GOOGLEFINANCE(B1519,""price"",TODAY()-365,TODAY()),1,0),""select Col2 limit 30""))"),165.2303333333334)</f>
        <v>165.2303333</v>
      </c>
      <c r="K1519" s="18">
        <f>IFERROR(__xludf.DUMMYFUNCTION("AVERAGE(QUERY(SORT(GOOGLEFINANCE(B1519,""price"",TODAY()-365,TODAY()),1,0),""select Col2 limit 60""))"),159.00366666666662)</f>
        <v>159.0036667</v>
      </c>
      <c r="L1519" s="17">
        <f>IFERROR(__xludf.DUMMYFUNCTION("AVERAGE(QUERY(SORT(GOOGLEFINANCE(B1519,""price"",TODAY()-365,TODAY()),1,0),""select Col2 limit 90""))"),157.71799999999996)</f>
        <v>157.718</v>
      </c>
      <c r="M1519" s="17">
        <f>IFERROR(__xludf.DUMMYFUNCTION("AVERAGE(QUERY(SORT(GOOGLEFINANCE(B1519,""price"",TODAY()-365,TODAY()),1,0),""select Col2 limit 120""))"),158.33808333333337)</f>
        <v>158.3380833</v>
      </c>
      <c r="N1519" s="19">
        <f>IFERROR(__xludf.DUMMYFUNCTION("AVERAGE(QUERY(SORT(GOOGLEFINANCE(B1519,""price"",TODAY()-365,TODAY()),1,0),""select Col2 limit 200""))"),186.17819999999995)</f>
        <v>186.1782</v>
      </c>
      <c r="O1519" s="20" t="str">
        <f t="shared" si="2"/>
        <v>Avoid</v>
      </c>
      <c r="P1519" s="21" t="str">
        <f t="shared" si="3"/>
        <v/>
      </c>
      <c r="Q1519" s="21" t="str">
        <f t="shared" si="4"/>
        <v/>
      </c>
      <c r="R1519" s="22">
        <f>IFERROR(__xludf.DUMMYFUNCTION("GOOGLEFINANCE(B1519, ""pe"")
"),26.96)</f>
        <v>26.96</v>
      </c>
    </row>
    <row r="1520">
      <c r="A1520" s="9" t="s">
        <v>1528</v>
      </c>
      <c r="B1520" s="11" t="str">
        <f t="shared" si="1"/>
        <v>NSE:ALMONDZ</v>
      </c>
      <c r="C1520" s="12">
        <f>IFERROR(__xludf.DUMMYFUNCTION("GOOGLEFINANCE(B1520,""marketcap"")/10000000"),383.0646109)</f>
        <v>383.0646109</v>
      </c>
      <c r="D1520" s="13">
        <f>IFERROR(__xludf.DUMMYFUNCTION("GOOGLEFINANCE(B1520,""price"")"),22.07)</f>
        <v>22.07</v>
      </c>
      <c r="E1520" s="14">
        <f>IFERROR(__xludf.DUMMYFUNCTION("GOOGLEFINANCE(B1520,""Volume"")"),130488.0)</f>
        <v>130488</v>
      </c>
      <c r="F1520" s="14">
        <f t="array" ref="F1520">F1519</f>
        <v>14</v>
      </c>
      <c r="G1520" s="15" t="str">
        <f>IFERROR(__xludf.DUMMYFUNCTION("IF(E1520&gt;AVERAGE(INDEX(GOOGLEFINANCE(B1520,""volume"",WORKDAY(TODAY(),-$F$1),TODAY()),,2)),""Breakout"","""")"),"")</f>
        <v/>
      </c>
      <c r="H1520" s="16">
        <f>IFERROR(__xludf.DUMMYFUNCTION("GOOGLEFINANCE(B1520,""price"")"),22.07)</f>
        <v>22.07</v>
      </c>
      <c r="I1520" s="17">
        <f>IFERROR(__xludf.DUMMYFUNCTION("AVERAGE(QUERY(SORT(GOOGLEFINANCE(B1520,""price"",TODAY()-365,TODAY()),1,0),""select Col2 limit 10""))"),21.866999999999997)</f>
        <v>21.867</v>
      </c>
      <c r="J1520" s="17">
        <f>IFERROR(__xludf.DUMMYFUNCTION("AVERAGE(QUERY(SORT(GOOGLEFINANCE(B1520,""price"",TODAY()-365,TODAY()),1,0),""select Col2 limit 30""))"),22.08499999999999)</f>
        <v>22.085</v>
      </c>
      <c r="K1520" s="18">
        <f>IFERROR(__xludf.DUMMYFUNCTION("AVERAGE(QUERY(SORT(GOOGLEFINANCE(B1520,""price"",TODAY()-365,TODAY()),1,0),""select Col2 limit 60""))"),21.577499999999986)</f>
        <v>21.5775</v>
      </c>
      <c r="L1520" s="17">
        <f>IFERROR(__xludf.DUMMYFUNCTION("AVERAGE(QUERY(SORT(GOOGLEFINANCE(B1520,""price"",TODAY()-365,TODAY()),1,0),""select Col2 limit 90""))"),21.827666666666655)</f>
        <v>21.82766667</v>
      </c>
      <c r="M1520" s="17">
        <f>IFERROR(__xludf.DUMMYFUNCTION("AVERAGE(QUERY(SORT(GOOGLEFINANCE(B1520,""price"",TODAY()-365,TODAY()),1,0),""select Col2 limit 120""))"),22.47149999999999)</f>
        <v>22.4715</v>
      </c>
      <c r="N1520" s="19">
        <f>IFERROR(__xludf.DUMMYFUNCTION("AVERAGE(QUERY(SORT(GOOGLEFINANCE(B1520,""price"",TODAY()-365,TODAY()),1,0),""select Col2 limit 200""))"),25.832350000000005)</f>
        <v>25.83235</v>
      </c>
      <c r="O1520" s="20" t="str">
        <f t="shared" si="2"/>
        <v>Avoid</v>
      </c>
      <c r="P1520" s="21" t="str">
        <f t="shared" si="3"/>
        <v>30 DMA</v>
      </c>
      <c r="Q1520" s="21" t="str">
        <f t="shared" si="4"/>
        <v/>
      </c>
      <c r="R1520" s="22">
        <f>IFERROR(__xludf.DUMMYFUNCTION("GOOGLEFINANCE(B1520, ""pe"")
"),21.64)</f>
        <v>21.64</v>
      </c>
    </row>
    <row r="1521">
      <c r="A1521" s="9" t="s">
        <v>1529</v>
      </c>
      <c r="B1521" s="11" t="str">
        <f t="shared" si="1"/>
        <v>NSE:JETAIRWAYS</v>
      </c>
      <c r="C1521" s="12" t="str">
        <f>IFERROR(__xludf.DUMMYFUNCTION("GOOGLEFINANCE(B1521,""marketcap"")/10000000"),"#N/A")</f>
        <v>#N/A</v>
      </c>
      <c r="D1521" s="13" t="str">
        <f>IFERROR(__xludf.DUMMYFUNCTION("GOOGLEFINANCE(B1521,""price"")"),"#N/A")</f>
        <v>#N/A</v>
      </c>
      <c r="E1521" s="14" t="str">
        <f>IFERROR(__xludf.DUMMYFUNCTION("GOOGLEFINANCE(B1521,""Volume"")"),"#N/A")</f>
        <v>#N/A</v>
      </c>
      <c r="F1521" s="14">
        <f t="array" ref="F1521">F1520</f>
        <v>14</v>
      </c>
      <c r="G1521" s="15" t="str">
        <f>IFERROR(__xludf.DUMMYFUNCTION("IF(E1521&gt;AVERAGE(INDEX(GOOGLEFINANCE(B1521,""volume"",WORKDAY(TODAY(),-$F$1),TODAY()),,2)),""Breakout"","""")"),"#N/A")</f>
        <v>#N/A</v>
      </c>
      <c r="H1521" s="16" t="str">
        <f>IFERROR(__xludf.DUMMYFUNCTION("GOOGLEFINANCE(B1521,""price"")"),"#N/A")</f>
        <v>#N/A</v>
      </c>
      <c r="I1521" s="17" t="str">
        <f>IFERROR(__xludf.DUMMYFUNCTION("AVERAGE(QUERY(SORT(GOOGLEFINANCE(B1521,""price"",TODAY()-365,TODAY()),1,0),""select Col2 limit 10""))"),"#N/A")</f>
        <v>#N/A</v>
      </c>
      <c r="J1521" s="17" t="str">
        <f>IFERROR(__xludf.DUMMYFUNCTION("AVERAGE(QUERY(SORT(GOOGLEFINANCE(B1521,""price"",TODAY()-365,TODAY()),1,0),""select Col2 limit 30""))"),"#N/A")</f>
        <v>#N/A</v>
      </c>
      <c r="K1521" s="18" t="str">
        <f>IFERROR(__xludf.DUMMYFUNCTION("AVERAGE(QUERY(SORT(GOOGLEFINANCE(B1521,""price"",TODAY()-365,TODAY()),1,0),""select Col2 limit 60""))"),"#N/A")</f>
        <v>#N/A</v>
      </c>
      <c r="L1521" s="17" t="str">
        <f>IFERROR(__xludf.DUMMYFUNCTION("AVERAGE(QUERY(SORT(GOOGLEFINANCE(B1521,""price"",TODAY()-365,TODAY()),1,0),""select Col2 limit 90""))"),"#N/A")</f>
        <v>#N/A</v>
      </c>
      <c r="M1521" s="17" t="str">
        <f>IFERROR(__xludf.DUMMYFUNCTION("AVERAGE(QUERY(SORT(GOOGLEFINANCE(B1521,""price"",TODAY()-365,TODAY()),1,0),""select Col2 limit 120""))"),"#N/A")</f>
        <v>#N/A</v>
      </c>
      <c r="N1521" s="19" t="str">
        <f>IFERROR(__xludf.DUMMYFUNCTION("AVERAGE(QUERY(SORT(GOOGLEFINANCE(B1521,""price"",TODAY()-365,TODAY()),1,0),""select Col2 limit 200""))"),"#N/A")</f>
        <v>#N/A</v>
      </c>
      <c r="O1521" s="20" t="str">
        <f t="shared" si="2"/>
        <v>#N/A</v>
      </c>
      <c r="P1521" s="21" t="str">
        <f t="shared" si="3"/>
        <v>#N/A</v>
      </c>
      <c r="Q1521" s="21" t="str">
        <f t="shared" si="4"/>
        <v>#N/A</v>
      </c>
      <c r="R1521" s="22" t="str">
        <f>IFERROR(__xludf.DUMMYFUNCTION("GOOGLEFINANCE(B1521, ""pe"")
"),"#N/A")</f>
        <v>#N/A</v>
      </c>
    </row>
    <row r="1522">
      <c r="A1522" s="9" t="s">
        <v>1530</v>
      </c>
      <c r="B1522" s="11" t="str">
        <f t="shared" si="1"/>
        <v>NSE:BRNL</v>
      </c>
      <c r="C1522" s="12">
        <f>IFERROR(__xludf.DUMMYFUNCTION("GOOGLEFINANCE(B1522,""marketcap"")/10000000"),172.1814929)</f>
        <v>172.1814929</v>
      </c>
      <c r="D1522" s="13">
        <f>IFERROR(__xludf.DUMMYFUNCTION("GOOGLEFINANCE(B1522,""price"")"),20.65)</f>
        <v>20.65</v>
      </c>
      <c r="E1522" s="14">
        <f>IFERROR(__xludf.DUMMYFUNCTION("GOOGLEFINANCE(B1522,""Volume"")"),238858.0)</f>
        <v>238858</v>
      </c>
      <c r="F1522" s="14">
        <f t="array" ref="F1522">F1521</f>
        <v>14</v>
      </c>
      <c r="G1522" s="15" t="str">
        <f>IFERROR(__xludf.DUMMYFUNCTION("IF(E1522&gt;AVERAGE(INDEX(GOOGLEFINANCE(B1522,""volume"",WORKDAY(TODAY(),-$F$1),TODAY()),,2)),""Breakout"","""")"),"")</f>
        <v/>
      </c>
      <c r="H1522" s="16">
        <f>IFERROR(__xludf.DUMMYFUNCTION("GOOGLEFINANCE(B1522,""price"")"),20.65)</f>
        <v>20.65</v>
      </c>
      <c r="I1522" s="17">
        <f>IFERROR(__xludf.DUMMYFUNCTION("AVERAGE(QUERY(SORT(GOOGLEFINANCE(B1522,""price"",TODAY()-365,TODAY()),1,0),""select Col2 limit 10""))"),21.234)</f>
        <v>21.234</v>
      </c>
      <c r="J1522" s="17">
        <f>IFERROR(__xludf.DUMMYFUNCTION("AVERAGE(QUERY(SORT(GOOGLEFINANCE(B1522,""price"",TODAY()-365,TODAY()),1,0),""select Col2 limit 30""))"),21.180666666666674)</f>
        <v>21.18066667</v>
      </c>
      <c r="K1522" s="18">
        <f>IFERROR(__xludf.DUMMYFUNCTION("AVERAGE(QUERY(SORT(GOOGLEFINANCE(B1522,""price"",TODAY()-365,TODAY()),1,0),""select Col2 limit 60""))"),22.26566666666667)</f>
        <v>22.26566667</v>
      </c>
      <c r="L1522" s="17">
        <f>IFERROR(__xludf.DUMMYFUNCTION("AVERAGE(QUERY(SORT(GOOGLEFINANCE(B1522,""price"",TODAY()-365,TODAY()),1,0),""select Col2 limit 90""))"),24.564444444444447)</f>
        <v>24.56444444</v>
      </c>
      <c r="M1522" s="17">
        <f>IFERROR(__xludf.DUMMYFUNCTION("AVERAGE(QUERY(SORT(GOOGLEFINANCE(B1522,""price"",TODAY()-365,TODAY()),1,0),""select Col2 limit 120""))"),28.021166666666666)</f>
        <v>28.02116667</v>
      </c>
      <c r="N1522" s="19">
        <f>IFERROR(__xludf.DUMMYFUNCTION("AVERAGE(QUERY(SORT(GOOGLEFINANCE(B1522,""price"",TODAY()-365,TODAY()),1,0),""select Col2 limit 200""))"),35.03939999999999)</f>
        <v>35.0394</v>
      </c>
      <c r="O1522" s="20" t="str">
        <f t="shared" si="2"/>
        <v>Avoid</v>
      </c>
      <c r="P1522" s="21" t="str">
        <f t="shared" si="3"/>
        <v/>
      </c>
      <c r="Q1522" s="21" t="str">
        <f t="shared" si="4"/>
        <v/>
      </c>
      <c r="R1522" s="22">
        <f>IFERROR(__xludf.DUMMYFUNCTION("GOOGLEFINANCE(B1522, ""pe"")
"),1.26)</f>
        <v>1.26</v>
      </c>
    </row>
    <row r="1523">
      <c r="A1523" s="9" t="s">
        <v>1531</v>
      </c>
      <c r="B1523" s="11" t="str">
        <f t="shared" si="1"/>
        <v>NSE:SAKHTISUG</v>
      </c>
      <c r="C1523" s="12">
        <f>IFERROR(__xludf.DUMMYFUNCTION("GOOGLEFINANCE(B1523,""marketcap"")/10000000"),286.4260945)</f>
        <v>286.4260945</v>
      </c>
      <c r="D1523" s="13">
        <f>IFERROR(__xludf.DUMMYFUNCTION("GOOGLEFINANCE(B1523,""price"")"),24.21)</f>
        <v>24.21</v>
      </c>
      <c r="E1523" s="14">
        <f>IFERROR(__xludf.DUMMYFUNCTION("GOOGLEFINANCE(B1523,""Volume"")"),41328.0)</f>
        <v>41328</v>
      </c>
      <c r="F1523" s="14">
        <f t="array" ref="F1523">F1522</f>
        <v>14</v>
      </c>
      <c r="G1523" s="15" t="str">
        <f>IFERROR(__xludf.DUMMYFUNCTION("IF(E1523&gt;AVERAGE(INDEX(GOOGLEFINANCE(B1523,""volume"",WORKDAY(TODAY(),-$F$1),TODAY()),,2)),""Breakout"","""")"),"")</f>
        <v/>
      </c>
      <c r="H1523" s="16">
        <f>IFERROR(__xludf.DUMMYFUNCTION("GOOGLEFINANCE(B1523,""price"")"),24.21)</f>
        <v>24.21</v>
      </c>
      <c r="I1523" s="17" t="str">
        <f>IFERROR(__xludf.DUMMYFUNCTION("AVERAGE(QUERY(SORT(GOOGLEFINANCE(B1523,""price"",TODAY()-365,TODAY()),1,0),""select Col2 limit 10""))"),"#N/A")</f>
        <v>#N/A</v>
      </c>
      <c r="J1523" s="17" t="str">
        <f>IFERROR(__xludf.DUMMYFUNCTION("AVERAGE(QUERY(SORT(GOOGLEFINANCE(B1523,""price"",TODAY()-365,TODAY()),1,0),""select Col2 limit 30""))"),"#N/A")</f>
        <v>#N/A</v>
      </c>
      <c r="K1523" s="18" t="str">
        <f>IFERROR(__xludf.DUMMYFUNCTION("AVERAGE(QUERY(SORT(GOOGLEFINANCE(B1523,""price"",TODAY()-365,TODAY()),1,0),""select Col2 limit 60""))"),"#N/A")</f>
        <v>#N/A</v>
      </c>
      <c r="L1523" s="17" t="str">
        <f>IFERROR(__xludf.DUMMYFUNCTION("AVERAGE(QUERY(SORT(GOOGLEFINANCE(B1523,""price"",TODAY()-365,TODAY()),1,0),""select Col2 limit 90""))"),"#N/A")</f>
        <v>#N/A</v>
      </c>
      <c r="M1523" s="17" t="str">
        <f>IFERROR(__xludf.DUMMYFUNCTION("AVERAGE(QUERY(SORT(GOOGLEFINANCE(B1523,""price"",TODAY()-365,TODAY()),1,0),""select Col2 limit 120""))"),"#N/A")</f>
        <v>#N/A</v>
      </c>
      <c r="N1523" s="19" t="str">
        <f>IFERROR(__xludf.DUMMYFUNCTION("AVERAGE(QUERY(SORT(GOOGLEFINANCE(B1523,""price"",TODAY()-365,TODAY()),1,0),""select Col2 limit 200""))"),"#N/A")</f>
        <v>#N/A</v>
      </c>
      <c r="O1523" s="20" t="str">
        <f t="shared" si="2"/>
        <v>#N/A</v>
      </c>
      <c r="P1523" s="21" t="str">
        <f t="shared" si="3"/>
        <v>#N/A</v>
      </c>
      <c r="Q1523" s="21" t="str">
        <f t="shared" si="4"/>
        <v>#N/A</v>
      </c>
      <c r="R1523" s="22">
        <f>IFERROR(__xludf.DUMMYFUNCTION("GOOGLEFINANCE(B1523, ""pe"")
"),3.58)</f>
        <v>3.58</v>
      </c>
    </row>
    <row r="1524">
      <c r="A1524" s="9" t="s">
        <v>1532</v>
      </c>
      <c r="B1524" s="11" t="str">
        <f t="shared" si="1"/>
        <v>NSE:PREMIERPOL</v>
      </c>
      <c r="C1524" s="12">
        <f>IFERROR(__xludf.DUMMYFUNCTION("GOOGLEFINANCE(B1524,""marketcap"")/10000000"),545.184184)</f>
        <v>545.184184</v>
      </c>
      <c r="D1524" s="13">
        <f>IFERROR(__xludf.DUMMYFUNCTION("GOOGLEFINANCE(B1524,""price"")"),51.99)</f>
        <v>51.99</v>
      </c>
      <c r="E1524" s="14">
        <f>IFERROR(__xludf.DUMMYFUNCTION("GOOGLEFINANCE(B1524,""Volume"")"),71821.0)</f>
        <v>71821</v>
      </c>
      <c r="F1524" s="14">
        <f t="array" ref="F1524">F1523</f>
        <v>14</v>
      </c>
      <c r="G1524" s="15" t="str">
        <f>IFERROR(__xludf.DUMMYFUNCTION("IF(E1524&gt;AVERAGE(INDEX(GOOGLEFINANCE(B1524,""volume"",WORKDAY(TODAY(),-$F$1),TODAY()),,2)),""Breakout"","""")"),"#N/A")</f>
        <v>#N/A</v>
      </c>
      <c r="H1524" s="16">
        <f>IFERROR(__xludf.DUMMYFUNCTION("GOOGLEFINANCE(B1524,""price"")"),51.99)</f>
        <v>51.99</v>
      </c>
      <c r="I1524" s="17">
        <f>IFERROR(__xludf.DUMMYFUNCTION("AVERAGE(QUERY(SORT(GOOGLEFINANCE(B1524,""price"",TODAY()-365,TODAY()),1,0),""select Col2 limit 10""))"),53.10699999999999)</f>
        <v>53.107</v>
      </c>
      <c r="J1524" s="17">
        <f>IFERROR(__xludf.DUMMYFUNCTION("AVERAGE(QUERY(SORT(GOOGLEFINANCE(B1524,""price"",TODAY()-365,TODAY()),1,0),""select Col2 limit 30""))"),52.2)</f>
        <v>52.2</v>
      </c>
      <c r="K1524" s="18">
        <f>IFERROR(__xludf.DUMMYFUNCTION("AVERAGE(QUERY(SORT(GOOGLEFINANCE(B1524,""price"",TODAY()-365,TODAY()),1,0),""select Col2 limit 60""))"),53.67400000000001)</f>
        <v>53.674</v>
      </c>
      <c r="L1524" s="17">
        <f>IFERROR(__xludf.DUMMYFUNCTION("AVERAGE(QUERY(SORT(GOOGLEFINANCE(B1524,""price"",TODAY()-365,TODAY()),1,0),""select Col2 limit 90""))"),56.67177777777779)</f>
        <v>56.67177778</v>
      </c>
      <c r="M1524" s="17">
        <f>IFERROR(__xludf.DUMMYFUNCTION("AVERAGE(QUERY(SORT(GOOGLEFINANCE(B1524,""price"",TODAY()-365,TODAY()),1,0),""select Col2 limit 120""))"),58.583166666666685)</f>
        <v>58.58316667</v>
      </c>
      <c r="N1524" s="19">
        <f>IFERROR(__xludf.DUMMYFUNCTION("AVERAGE(QUERY(SORT(GOOGLEFINANCE(B1524,""price"",TODAY()-365,TODAY()),1,0),""select Col2 limit 200""))"),60.941100000000034)</f>
        <v>60.9411</v>
      </c>
      <c r="O1524" s="20" t="str">
        <f t="shared" si="2"/>
        <v>Avoid</v>
      </c>
      <c r="P1524" s="21" t="str">
        <f t="shared" si="3"/>
        <v>30 DMA</v>
      </c>
      <c r="Q1524" s="21" t="str">
        <f t="shared" si="4"/>
        <v/>
      </c>
      <c r="R1524" s="22">
        <f>IFERROR(__xludf.DUMMYFUNCTION("GOOGLEFINANCE(B1524, ""pe"")
"),20.9)</f>
        <v>20.9</v>
      </c>
    </row>
    <row r="1525">
      <c r="A1525" s="9" t="s">
        <v>1533</v>
      </c>
      <c r="B1525" s="11" t="str">
        <f t="shared" si="1"/>
        <v>NSE:PROZONER</v>
      </c>
      <c r="C1525" s="12">
        <f>IFERROR(__xludf.DUMMYFUNCTION("GOOGLEFINANCE(B1525,""marketcap"")/10000000"),635.1328373)</f>
        <v>635.1328373</v>
      </c>
      <c r="D1525" s="13">
        <f>IFERROR(__xludf.DUMMYFUNCTION("GOOGLEFINANCE(B1525,""price"")"),41.67)</f>
        <v>41.67</v>
      </c>
      <c r="E1525" s="14">
        <f>IFERROR(__xludf.DUMMYFUNCTION("GOOGLEFINANCE(B1525,""Volume"")"),211240.0)</f>
        <v>211240</v>
      </c>
      <c r="F1525" s="14">
        <f t="array" ref="F1525">F1524</f>
        <v>14</v>
      </c>
      <c r="G1525" s="15" t="str">
        <f>IFERROR(__xludf.DUMMYFUNCTION("IF(E1525&gt;AVERAGE(INDEX(GOOGLEFINANCE(B1525,""volume"",WORKDAY(TODAY(),-$F$1),TODAY()),,2)),""Breakout"","""")"),"")</f>
        <v/>
      </c>
      <c r="H1525" s="16">
        <f>IFERROR(__xludf.DUMMYFUNCTION("GOOGLEFINANCE(B1525,""price"")"),41.67)</f>
        <v>41.67</v>
      </c>
      <c r="I1525" s="17">
        <f>IFERROR(__xludf.DUMMYFUNCTION("AVERAGE(QUERY(SORT(GOOGLEFINANCE(B1525,""price"",TODAY()-365,TODAY()),1,0),""select Col2 limit 10""))"),40.17399999999999)</f>
        <v>40.174</v>
      </c>
      <c r="J1525" s="17">
        <f>IFERROR(__xludf.DUMMYFUNCTION("AVERAGE(QUERY(SORT(GOOGLEFINANCE(B1525,""price"",TODAY()-365,TODAY()),1,0),""select Col2 limit 30""))"),38.01233333333333)</f>
        <v>38.01233333</v>
      </c>
      <c r="K1525" s="18">
        <f>IFERROR(__xludf.DUMMYFUNCTION("AVERAGE(QUERY(SORT(GOOGLEFINANCE(B1525,""price"",TODAY()-365,TODAY()),1,0),""select Col2 limit 60""))"),36.66933333333334)</f>
        <v>36.66933333</v>
      </c>
      <c r="L1525" s="17">
        <f>IFERROR(__xludf.DUMMYFUNCTION("AVERAGE(QUERY(SORT(GOOGLEFINANCE(B1525,""price"",TODAY()-365,TODAY()),1,0),""select Col2 limit 90""))"),35.0131111111111)</f>
        <v>35.01311111</v>
      </c>
      <c r="M1525" s="17">
        <f>IFERROR(__xludf.DUMMYFUNCTION("AVERAGE(QUERY(SORT(GOOGLEFINANCE(B1525,""price"",TODAY()-365,TODAY()),1,0),""select Col2 limit 120""))"),34.32191666666666)</f>
        <v>34.32191667</v>
      </c>
      <c r="N1525" s="19">
        <f>IFERROR(__xludf.DUMMYFUNCTION("AVERAGE(QUERY(SORT(GOOGLEFINANCE(B1525,""price"",TODAY()-365,TODAY()),1,0),""select Col2 limit 200""))"),31.589549999999985)</f>
        <v>31.58955</v>
      </c>
      <c r="O1525" s="20" t="str">
        <f t="shared" si="2"/>
        <v>Avoid</v>
      </c>
      <c r="P1525" s="21" t="str">
        <f t="shared" si="3"/>
        <v/>
      </c>
      <c r="Q1525" s="21" t="str">
        <f t="shared" si="4"/>
        <v/>
      </c>
      <c r="R1525" s="22" t="str">
        <f>IFERROR(__xludf.DUMMYFUNCTION("GOOGLEFINANCE(B1525, ""pe"")
"),"#N/A")</f>
        <v>#N/A</v>
      </c>
    </row>
    <row r="1526">
      <c r="A1526" s="9" t="s">
        <v>1534</v>
      </c>
      <c r="B1526" s="11" t="str">
        <f t="shared" si="1"/>
        <v>NSE:ORBTEXP</v>
      </c>
      <c r="C1526" s="12">
        <f>IFERROR(__xludf.DUMMYFUNCTION("GOOGLEFINANCE(B1526,""marketcap"")/10000000"),623.5157433)</f>
        <v>623.5157433</v>
      </c>
      <c r="D1526" s="13">
        <f>IFERROR(__xludf.DUMMYFUNCTION("GOOGLEFINANCE(B1526,""price"")"),237.0)</f>
        <v>237</v>
      </c>
      <c r="E1526" s="14">
        <f>IFERROR(__xludf.DUMMYFUNCTION("GOOGLEFINANCE(B1526,""Volume"")"),47078.0)</f>
        <v>47078</v>
      </c>
      <c r="F1526" s="14">
        <f t="array" ref="F1526">F1525</f>
        <v>14</v>
      </c>
      <c r="G1526" s="15" t="str">
        <f>IFERROR(__xludf.DUMMYFUNCTION("IF(E1526&gt;AVERAGE(INDEX(GOOGLEFINANCE(B1526,""volume"",WORKDAY(TODAY(),-$F$1),TODAY()),,2)),""Breakout"","""")"),"Breakout")</f>
        <v>Breakout</v>
      </c>
      <c r="H1526" s="16">
        <f>IFERROR(__xludf.DUMMYFUNCTION("GOOGLEFINANCE(B1526,""price"")"),237.0)</f>
        <v>237</v>
      </c>
      <c r="I1526" s="17">
        <f>IFERROR(__xludf.DUMMYFUNCTION("AVERAGE(QUERY(SORT(GOOGLEFINANCE(B1526,""price"",TODAY()-365,TODAY()),1,0),""select Col2 limit 10""))"),220.88600000000002)</f>
        <v>220.886</v>
      </c>
      <c r="J1526" s="17">
        <f>IFERROR(__xludf.DUMMYFUNCTION("AVERAGE(QUERY(SORT(GOOGLEFINANCE(B1526,""price"",TODAY()-365,TODAY()),1,0),""select Col2 limit 30""))"),206.72266666666667)</f>
        <v>206.7226667</v>
      </c>
      <c r="K1526" s="18">
        <f>IFERROR(__xludf.DUMMYFUNCTION("AVERAGE(QUERY(SORT(GOOGLEFINANCE(B1526,""price"",TODAY()-365,TODAY()),1,0),""select Col2 limit 60""))"),188.8278333333333)</f>
        <v>188.8278333</v>
      </c>
      <c r="L1526" s="17">
        <f>IFERROR(__xludf.DUMMYFUNCTION("AVERAGE(QUERY(SORT(GOOGLEFINANCE(B1526,""price"",TODAY()-365,TODAY()),1,0),""select Col2 limit 90""))"),180.38988888888878)</f>
        <v>180.3898889</v>
      </c>
      <c r="M1526" s="17">
        <f>IFERROR(__xludf.DUMMYFUNCTION("AVERAGE(QUERY(SORT(GOOGLEFINANCE(B1526,""price"",TODAY()-365,TODAY()),1,0),""select Col2 limit 120""))"),177.26949999999988)</f>
        <v>177.2695</v>
      </c>
      <c r="N1526" s="19">
        <f>IFERROR(__xludf.DUMMYFUNCTION("AVERAGE(QUERY(SORT(GOOGLEFINANCE(B1526,""price"",TODAY()-365,TODAY()),1,0),""select Col2 limit 200""))"),187.40999999999988)</f>
        <v>187.41</v>
      </c>
      <c r="O1526" s="20" t="str">
        <f t="shared" si="2"/>
        <v>Avoid</v>
      </c>
      <c r="P1526" s="21" t="str">
        <f t="shared" si="3"/>
        <v/>
      </c>
      <c r="Q1526" s="21" t="str">
        <f t="shared" si="4"/>
        <v/>
      </c>
      <c r="R1526" s="22">
        <f>IFERROR(__xludf.DUMMYFUNCTION("GOOGLEFINANCE(B1526, ""pe"")
"),14.12)</f>
        <v>14.12</v>
      </c>
    </row>
    <row r="1527">
      <c r="A1527" s="9" t="s">
        <v>1535</v>
      </c>
      <c r="B1527" s="11" t="str">
        <f t="shared" si="1"/>
        <v>NSE:SHIVAMAUTO</v>
      </c>
      <c r="C1527" s="12">
        <f>IFERROR(__xludf.DUMMYFUNCTION("GOOGLEFINANCE(B1527,""marketcap"")/10000000"),403.690274)</f>
        <v>403.690274</v>
      </c>
      <c r="D1527" s="13">
        <f>IFERROR(__xludf.DUMMYFUNCTION("GOOGLEFINANCE(B1527,""price"")"),30.7)</f>
        <v>30.7</v>
      </c>
      <c r="E1527" s="14">
        <f>IFERROR(__xludf.DUMMYFUNCTION("GOOGLEFINANCE(B1527,""Volume"")"),39292.0)</f>
        <v>39292</v>
      </c>
      <c r="F1527" s="14">
        <f t="array" ref="F1527">F1526</f>
        <v>14</v>
      </c>
      <c r="G1527" s="15" t="str">
        <f>IFERROR(__xludf.DUMMYFUNCTION("IF(E1527&gt;AVERAGE(INDEX(GOOGLEFINANCE(B1527,""volume"",WORKDAY(TODAY(),-$F$1),TODAY()),,2)),""Breakout"","""")"),"")</f>
        <v/>
      </c>
      <c r="H1527" s="16">
        <f>IFERROR(__xludf.DUMMYFUNCTION("GOOGLEFINANCE(B1527,""price"")"),30.7)</f>
        <v>30.7</v>
      </c>
      <c r="I1527" s="17">
        <f>IFERROR(__xludf.DUMMYFUNCTION("AVERAGE(QUERY(SORT(GOOGLEFINANCE(B1527,""price"",TODAY()-365,TODAY()),1,0),""select Col2 limit 10""))"),30.992999999999995)</f>
        <v>30.993</v>
      </c>
      <c r="J1527" s="17">
        <f>IFERROR(__xludf.DUMMYFUNCTION("AVERAGE(QUERY(SORT(GOOGLEFINANCE(B1527,""price"",TODAY()-365,TODAY()),1,0),""select Col2 limit 30""))"),31.025666666666666)</f>
        <v>31.02566667</v>
      </c>
      <c r="K1527" s="18">
        <f>IFERROR(__xludf.DUMMYFUNCTION("AVERAGE(QUERY(SORT(GOOGLEFINANCE(B1527,""price"",TODAY()-365,TODAY()),1,0),""select Col2 limit 60""))"),30.822333333333333)</f>
        <v>30.82233333</v>
      </c>
      <c r="L1527" s="17">
        <f>IFERROR(__xludf.DUMMYFUNCTION("AVERAGE(QUERY(SORT(GOOGLEFINANCE(B1527,""price"",TODAY()-365,TODAY()),1,0),""select Col2 limit 90""))"),29.945777777777767)</f>
        <v>29.94577778</v>
      </c>
      <c r="M1527" s="17">
        <f>IFERROR(__xludf.DUMMYFUNCTION("AVERAGE(QUERY(SORT(GOOGLEFINANCE(B1527,""price"",TODAY()-365,TODAY()),1,0),""select Col2 limit 120""))"),31.198499999999985)</f>
        <v>31.1985</v>
      </c>
      <c r="N1527" s="19">
        <f>IFERROR(__xludf.DUMMYFUNCTION("AVERAGE(QUERY(SORT(GOOGLEFINANCE(B1527,""price"",TODAY()-365,TODAY()),1,0),""select Col2 limit 200""))"),35.73059999999999)</f>
        <v>35.7306</v>
      </c>
      <c r="O1527" s="20" t="str">
        <f t="shared" si="2"/>
        <v>Avoid</v>
      </c>
      <c r="P1527" s="21" t="str">
        <f t="shared" si="3"/>
        <v>10 DMA</v>
      </c>
      <c r="Q1527" s="21" t="str">
        <f t="shared" si="4"/>
        <v/>
      </c>
      <c r="R1527" s="22" t="str">
        <f>IFERROR(__xludf.DUMMYFUNCTION("GOOGLEFINANCE(B1527, ""pe"")
"),"#N/A")</f>
        <v>#N/A</v>
      </c>
    </row>
    <row r="1528">
      <c r="A1528" s="9" t="s">
        <v>1536</v>
      </c>
      <c r="B1528" s="11" t="str">
        <f t="shared" si="1"/>
        <v>NSE:NATHBIOGEN</v>
      </c>
      <c r="C1528" s="12">
        <f>IFERROR(__xludf.DUMMYFUNCTION("GOOGLEFINANCE(B1528,""marketcap"")/10000000"),354.8046742)</f>
        <v>354.8046742</v>
      </c>
      <c r="D1528" s="13">
        <f>IFERROR(__xludf.DUMMYFUNCTION("GOOGLEFINANCE(B1528,""price"")"),186.7)</f>
        <v>186.7</v>
      </c>
      <c r="E1528" s="14">
        <f>IFERROR(__xludf.DUMMYFUNCTION("GOOGLEFINANCE(B1528,""Volume"")"),4805.0)</f>
        <v>4805</v>
      </c>
      <c r="F1528" s="14">
        <f t="array" ref="F1528">F1527</f>
        <v>14</v>
      </c>
      <c r="G1528" s="15" t="str">
        <f>IFERROR(__xludf.DUMMYFUNCTION("IF(E1528&gt;AVERAGE(INDEX(GOOGLEFINANCE(B1528,""volume"",WORKDAY(TODAY(),-$F$1),TODAY()),,2)),""Breakout"","""")"),"")</f>
        <v/>
      </c>
      <c r="H1528" s="16">
        <f>IFERROR(__xludf.DUMMYFUNCTION("GOOGLEFINANCE(B1528,""price"")"),186.7)</f>
        <v>186.7</v>
      </c>
      <c r="I1528" s="17">
        <f>IFERROR(__xludf.DUMMYFUNCTION("AVERAGE(QUERY(SORT(GOOGLEFINANCE(B1528,""price"",TODAY()-365,TODAY()),1,0),""select Col2 limit 10""))"),196.51900000000003)</f>
        <v>196.519</v>
      </c>
      <c r="J1528" s="17">
        <f>IFERROR(__xludf.DUMMYFUNCTION("AVERAGE(QUERY(SORT(GOOGLEFINANCE(B1528,""price"",TODAY()-365,TODAY()),1,0),""select Col2 limit 30""))"),206.58966666666663)</f>
        <v>206.5896667</v>
      </c>
      <c r="K1528" s="18">
        <f>IFERROR(__xludf.DUMMYFUNCTION("AVERAGE(QUERY(SORT(GOOGLEFINANCE(B1528,""price"",TODAY()-365,TODAY()),1,0),""select Col2 limit 60""))"),195.52833333333334)</f>
        <v>195.5283333</v>
      </c>
      <c r="L1528" s="17">
        <f>IFERROR(__xludf.DUMMYFUNCTION("AVERAGE(QUERY(SORT(GOOGLEFINANCE(B1528,""price"",TODAY()-365,TODAY()),1,0),""select Col2 limit 90""))"),182.41688888888893)</f>
        <v>182.4168889</v>
      </c>
      <c r="M1528" s="17">
        <f>IFERROR(__xludf.DUMMYFUNCTION("AVERAGE(QUERY(SORT(GOOGLEFINANCE(B1528,""price"",TODAY()-365,TODAY()),1,0),""select Col2 limit 120""))"),176.65466666666674)</f>
        <v>176.6546667</v>
      </c>
      <c r="N1528" s="19">
        <f>IFERROR(__xludf.DUMMYFUNCTION("AVERAGE(QUERY(SORT(GOOGLEFINANCE(B1528,""price"",TODAY()-365,TODAY()),1,0),""select Col2 limit 200""))"),181.65650000000002)</f>
        <v>181.6565</v>
      </c>
      <c r="O1528" s="20" t="str">
        <f t="shared" si="2"/>
        <v>Avoid</v>
      </c>
      <c r="P1528" s="21" t="str">
        <f t="shared" si="3"/>
        <v/>
      </c>
      <c r="Q1528" s="21" t="str">
        <f t="shared" si="4"/>
        <v/>
      </c>
      <c r="R1528" s="22">
        <f>IFERROR(__xludf.DUMMYFUNCTION("GOOGLEFINANCE(B1528, ""pe"")
"),8.15)</f>
        <v>8.15</v>
      </c>
    </row>
    <row r="1529">
      <c r="A1529" s="9" t="s">
        <v>1537</v>
      </c>
      <c r="B1529" s="11" t="str">
        <f t="shared" si="1"/>
        <v>NSE:MAWANASUG</v>
      </c>
      <c r="C1529" s="12">
        <f>IFERROR(__xludf.DUMMYFUNCTION("GOOGLEFINANCE(B1529,""marketcap"")/10000000"),382.3673065)</f>
        <v>382.3673065</v>
      </c>
      <c r="D1529" s="13">
        <f>IFERROR(__xludf.DUMMYFUNCTION("GOOGLEFINANCE(B1529,""price"")"),97.75)</f>
        <v>97.75</v>
      </c>
      <c r="E1529" s="14">
        <f>IFERROR(__xludf.DUMMYFUNCTION("GOOGLEFINANCE(B1529,""Volume"")"),34134.0)</f>
        <v>34134</v>
      </c>
      <c r="F1529" s="14">
        <f t="array" ref="F1529">F1528</f>
        <v>14</v>
      </c>
      <c r="G1529" s="15" t="str">
        <f>IFERROR(__xludf.DUMMYFUNCTION("IF(E1529&gt;AVERAGE(INDEX(GOOGLEFINANCE(B1529,""volume"",WORKDAY(TODAY(),-$F$1),TODAY()),,2)),""Breakout"","""")"),"")</f>
        <v/>
      </c>
      <c r="H1529" s="16">
        <f>IFERROR(__xludf.DUMMYFUNCTION("GOOGLEFINANCE(B1529,""price"")"),97.75)</f>
        <v>97.75</v>
      </c>
      <c r="I1529" s="17" t="str">
        <f>IFERROR(__xludf.DUMMYFUNCTION("AVERAGE(QUERY(SORT(GOOGLEFINANCE(B1529,""price"",TODAY()-365,TODAY()),1,0),""select Col2 limit 10""))"),"#N/A")</f>
        <v>#N/A</v>
      </c>
      <c r="J1529" s="17" t="str">
        <f>IFERROR(__xludf.DUMMYFUNCTION("AVERAGE(QUERY(SORT(GOOGLEFINANCE(B1529,""price"",TODAY()-365,TODAY()),1,0),""select Col2 limit 30""))"),"#N/A")</f>
        <v>#N/A</v>
      </c>
      <c r="K1529" s="18" t="str">
        <f>IFERROR(__xludf.DUMMYFUNCTION("AVERAGE(QUERY(SORT(GOOGLEFINANCE(B1529,""price"",TODAY()-365,TODAY()),1,0),""select Col2 limit 60""))"),"#N/A")</f>
        <v>#N/A</v>
      </c>
      <c r="L1529" s="17" t="str">
        <f>IFERROR(__xludf.DUMMYFUNCTION("AVERAGE(QUERY(SORT(GOOGLEFINANCE(B1529,""price"",TODAY()-365,TODAY()),1,0),""select Col2 limit 90""))"),"#N/A")</f>
        <v>#N/A</v>
      </c>
      <c r="M1529" s="17" t="str">
        <f>IFERROR(__xludf.DUMMYFUNCTION("AVERAGE(QUERY(SORT(GOOGLEFINANCE(B1529,""price"",TODAY()-365,TODAY()),1,0),""select Col2 limit 120""))"),"#N/A")</f>
        <v>#N/A</v>
      </c>
      <c r="N1529" s="19" t="str">
        <f>IFERROR(__xludf.DUMMYFUNCTION("AVERAGE(QUERY(SORT(GOOGLEFINANCE(B1529,""price"",TODAY()-365,TODAY()),1,0),""select Col2 limit 200""))"),"#N/A")</f>
        <v>#N/A</v>
      </c>
      <c r="O1529" s="20" t="str">
        <f t="shared" si="2"/>
        <v>#N/A</v>
      </c>
      <c r="P1529" s="21" t="str">
        <f t="shared" si="3"/>
        <v>#N/A</v>
      </c>
      <c r="Q1529" s="21" t="str">
        <f t="shared" si="4"/>
        <v>#N/A</v>
      </c>
      <c r="R1529" s="22">
        <f>IFERROR(__xludf.DUMMYFUNCTION("GOOGLEFINANCE(B1529, ""pe"")
"),3.49)</f>
        <v>3.49</v>
      </c>
    </row>
    <row r="1530">
      <c r="A1530" s="9" t="s">
        <v>1538</v>
      </c>
      <c r="B1530" s="11" t="str">
        <f t="shared" si="1"/>
        <v>NSE:PODDARMENT</v>
      </c>
      <c r="C1530" s="12">
        <f>IFERROR(__xludf.DUMMYFUNCTION("GOOGLEFINANCE(B1530,""marketcap"")/10000000"),314.4803935)</f>
        <v>314.4803935</v>
      </c>
      <c r="D1530" s="13">
        <f>IFERROR(__xludf.DUMMYFUNCTION("GOOGLEFINANCE(B1530,""price"")"),296.4)</f>
        <v>296.4</v>
      </c>
      <c r="E1530" s="14">
        <f>IFERROR(__xludf.DUMMYFUNCTION("GOOGLEFINANCE(B1530,""Volume"")"),1677.0)</f>
        <v>1677</v>
      </c>
      <c r="F1530" s="14">
        <f t="array" ref="F1530">F1529</f>
        <v>14</v>
      </c>
      <c r="G1530" s="15" t="str">
        <f>IFERROR(__xludf.DUMMYFUNCTION("IF(E1530&gt;AVERAGE(INDEX(GOOGLEFINANCE(B1530,""volume"",WORKDAY(TODAY(),-$F$1),TODAY()),,2)),""Breakout"","""")"),"")</f>
        <v/>
      </c>
      <c r="H1530" s="16">
        <f>IFERROR(__xludf.DUMMYFUNCTION("GOOGLEFINANCE(B1530,""price"")"),296.4)</f>
        <v>296.4</v>
      </c>
      <c r="I1530" s="17">
        <f>IFERROR(__xludf.DUMMYFUNCTION("AVERAGE(QUERY(SORT(GOOGLEFINANCE(B1530,""price"",TODAY()-365,TODAY()),1,0),""select Col2 limit 10""))"),301.27)</f>
        <v>301.27</v>
      </c>
      <c r="J1530" s="17">
        <f>IFERROR(__xludf.DUMMYFUNCTION("AVERAGE(QUERY(SORT(GOOGLEFINANCE(B1530,""price"",TODAY()-365,TODAY()),1,0),""select Col2 limit 30""))"),306.72)</f>
        <v>306.72</v>
      </c>
      <c r="K1530" s="18">
        <f>IFERROR(__xludf.DUMMYFUNCTION("AVERAGE(QUERY(SORT(GOOGLEFINANCE(B1530,""price"",TODAY()-365,TODAY()),1,0),""select Col2 limit 60""))"),303.85416666666663)</f>
        <v>303.8541667</v>
      </c>
      <c r="L1530" s="17">
        <f>IFERROR(__xludf.DUMMYFUNCTION("AVERAGE(QUERY(SORT(GOOGLEFINANCE(B1530,""price"",TODAY()-365,TODAY()),1,0),""select Col2 limit 90""))"),301.871111111111)</f>
        <v>301.8711111</v>
      </c>
      <c r="M1530" s="17">
        <f>IFERROR(__xludf.DUMMYFUNCTION("AVERAGE(QUERY(SORT(GOOGLEFINANCE(B1530,""price"",TODAY()-365,TODAY()),1,0),""select Col2 limit 120""))"),304.6333333333332)</f>
        <v>304.6333333</v>
      </c>
      <c r="N1530" s="19">
        <f>IFERROR(__xludf.DUMMYFUNCTION("AVERAGE(QUERY(SORT(GOOGLEFINANCE(B1530,""price"",TODAY()-365,TODAY()),1,0),""select Col2 limit 200""))"),333.0504999999999)</f>
        <v>333.0505</v>
      </c>
      <c r="O1530" s="20" t="str">
        <f t="shared" si="2"/>
        <v>Avoid</v>
      </c>
      <c r="P1530" s="21" t="str">
        <f t="shared" si="3"/>
        <v/>
      </c>
      <c r="Q1530" s="21" t="str">
        <f t="shared" si="4"/>
        <v/>
      </c>
      <c r="R1530" s="22">
        <f>IFERROR(__xludf.DUMMYFUNCTION("GOOGLEFINANCE(B1530, ""pe"")
"),13.78)</f>
        <v>13.78</v>
      </c>
    </row>
    <row r="1531">
      <c r="A1531" s="9" t="s">
        <v>1539</v>
      </c>
      <c r="B1531" s="11" t="str">
        <f t="shared" si="1"/>
        <v>NSE:SOFTTECH</v>
      </c>
      <c r="C1531" s="12">
        <f>IFERROR(__xludf.DUMMYFUNCTION("GOOGLEFINANCE(B1531,""marketcap"")/10000000"),513.0038982)</f>
        <v>513.0038982</v>
      </c>
      <c r="D1531" s="13">
        <f>IFERROR(__xludf.DUMMYFUNCTION("GOOGLEFINANCE(B1531,""price"")"),370.0)</f>
        <v>370</v>
      </c>
      <c r="E1531" s="14">
        <f>IFERROR(__xludf.DUMMYFUNCTION("GOOGLEFINANCE(B1531,""Volume"")"),4051.0)</f>
        <v>4051</v>
      </c>
      <c r="F1531" s="14">
        <f t="array" ref="F1531">F1530</f>
        <v>14</v>
      </c>
      <c r="G1531" s="15" t="str">
        <f>IFERROR(__xludf.DUMMYFUNCTION("IF(E1531&gt;AVERAGE(INDEX(GOOGLEFINANCE(B1531,""volume"",WORKDAY(TODAY(),-$F$1),TODAY()),,2)),""Breakout"","""")"),"")</f>
        <v/>
      </c>
      <c r="H1531" s="16">
        <f>IFERROR(__xludf.DUMMYFUNCTION("GOOGLEFINANCE(B1531,""price"")"),370.0)</f>
        <v>370</v>
      </c>
      <c r="I1531" s="17">
        <f>IFERROR(__xludf.DUMMYFUNCTION("AVERAGE(QUERY(SORT(GOOGLEFINANCE(B1531,""price"",TODAY()-365,TODAY()),1,0),""select Col2 limit 10""))"),385.08)</f>
        <v>385.08</v>
      </c>
      <c r="J1531" s="17">
        <f>IFERROR(__xludf.DUMMYFUNCTION("AVERAGE(QUERY(SORT(GOOGLEFINANCE(B1531,""price"",TODAY()-365,TODAY()),1,0),""select Col2 limit 30""))"),379.83)</f>
        <v>379.83</v>
      </c>
      <c r="K1531" s="18">
        <f>IFERROR(__xludf.DUMMYFUNCTION("AVERAGE(QUERY(SORT(GOOGLEFINANCE(B1531,""price"",TODAY()-365,TODAY()),1,0),""select Col2 limit 60""))"),365.06916666666655)</f>
        <v>365.0691667</v>
      </c>
      <c r="L1531" s="17">
        <f>IFERROR(__xludf.DUMMYFUNCTION("AVERAGE(QUERY(SORT(GOOGLEFINANCE(B1531,""price"",TODAY()-365,TODAY()),1,0),""select Col2 limit 90""))"),360.2455555555556)</f>
        <v>360.2455556</v>
      </c>
      <c r="M1531" s="17">
        <f>IFERROR(__xludf.DUMMYFUNCTION("AVERAGE(QUERY(SORT(GOOGLEFINANCE(B1531,""price"",TODAY()-365,TODAY()),1,0),""select Col2 limit 120""))"),359.9745833333334)</f>
        <v>359.9745833</v>
      </c>
      <c r="N1531" s="19">
        <f>IFERROR(__xludf.DUMMYFUNCTION("AVERAGE(QUERY(SORT(GOOGLEFINANCE(B1531,""price"",TODAY()-365,TODAY()),1,0),""select Col2 limit 200""))"),386.5875)</f>
        <v>386.5875</v>
      </c>
      <c r="O1531" s="20" t="str">
        <f t="shared" si="2"/>
        <v>Avoid</v>
      </c>
      <c r="P1531" s="21" t="str">
        <f t="shared" si="3"/>
        <v/>
      </c>
      <c r="Q1531" s="21" t="str">
        <f t="shared" si="4"/>
        <v/>
      </c>
      <c r="R1531" s="22">
        <f>IFERROR(__xludf.DUMMYFUNCTION("GOOGLEFINANCE(B1531, ""pe"")
"),370.0)</f>
        <v>370</v>
      </c>
    </row>
    <row r="1532">
      <c r="A1532" s="9" t="s">
        <v>1540</v>
      </c>
      <c r="B1532" s="11" t="str">
        <f t="shared" si="1"/>
        <v>NSE:GOLDTECH</v>
      </c>
      <c r="C1532" s="12">
        <f>IFERROR(__xludf.DUMMYFUNCTION("GOOGLEFINANCE(B1532,""marketcap"")/10000000"),352.6627789)</f>
        <v>352.6627789</v>
      </c>
      <c r="D1532" s="13">
        <f>IFERROR(__xludf.DUMMYFUNCTION("GOOGLEFINANCE(B1532,""price"")"),67.45)</f>
        <v>67.45</v>
      </c>
      <c r="E1532" s="14">
        <f>IFERROR(__xludf.DUMMYFUNCTION("GOOGLEFINANCE(B1532,""Volume"")"),32562.0)</f>
        <v>32562</v>
      </c>
      <c r="F1532" s="14">
        <f t="array" ref="F1532">F1531</f>
        <v>14</v>
      </c>
      <c r="G1532" s="15" t="str">
        <f>IFERROR(__xludf.DUMMYFUNCTION("IF(E1532&gt;AVERAGE(INDEX(GOOGLEFINANCE(B1532,""volume"",WORKDAY(TODAY(),-$F$1),TODAY()),,2)),""Breakout"","""")"),"#N/A")</f>
        <v>#N/A</v>
      </c>
      <c r="H1532" s="16">
        <f>IFERROR(__xludf.DUMMYFUNCTION("GOOGLEFINANCE(B1532,""price"")"),67.45)</f>
        <v>67.45</v>
      </c>
      <c r="I1532" s="17">
        <f>IFERROR(__xludf.DUMMYFUNCTION("AVERAGE(QUERY(SORT(GOOGLEFINANCE(B1532,""price"",TODAY()-365,TODAY()),1,0),""select Col2 limit 10""))"),71.90400000000001)</f>
        <v>71.904</v>
      </c>
      <c r="J1532" s="17">
        <f>IFERROR(__xludf.DUMMYFUNCTION("AVERAGE(QUERY(SORT(GOOGLEFINANCE(B1532,""price"",TODAY()-365,TODAY()),1,0),""select Col2 limit 30""))"),70.71766666666669)</f>
        <v>70.71766667</v>
      </c>
      <c r="K1532" s="18">
        <f>IFERROR(__xludf.DUMMYFUNCTION("AVERAGE(QUERY(SORT(GOOGLEFINANCE(B1532,""price"",TODAY()-365,TODAY()),1,0),""select Col2 limit 60""))"),69.77716666666669)</f>
        <v>69.77716667</v>
      </c>
      <c r="L1532" s="17">
        <f>IFERROR(__xludf.DUMMYFUNCTION("AVERAGE(QUERY(SORT(GOOGLEFINANCE(B1532,""price"",TODAY()-365,TODAY()),1,0),""select Col2 limit 90""))"),65.5272222222222)</f>
        <v>65.52722222</v>
      </c>
      <c r="M1532" s="17">
        <f>IFERROR(__xludf.DUMMYFUNCTION("AVERAGE(QUERY(SORT(GOOGLEFINANCE(B1532,""price"",TODAY()-365,TODAY()),1,0),""select Col2 limit 120""))"),64.9673333333333)</f>
        <v>64.96733333</v>
      </c>
      <c r="N1532" s="19">
        <f>IFERROR(__xludf.DUMMYFUNCTION("AVERAGE(QUERY(SORT(GOOGLEFINANCE(B1532,""price"",TODAY()-365,TODAY()),1,0),""select Col2 limit 200""))"),69.55924999999999)</f>
        <v>69.55925</v>
      </c>
      <c r="O1532" s="20" t="str">
        <f t="shared" si="2"/>
        <v>Avoid</v>
      </c>
      <c r="P1532" s="21" t="str">
        <f t="shared" si="3"/>
        <v/>
      </c>
      <c r="Q1532" s="21" t="str">
        <f t="shared" si="4"/>
        <v/>
      </c>
      <c r="R1532" s="22">
        <f>IFERROR(__xludf.DUMMYFUNCTION("GOOGLEFINANCE(B1532, ""pe"")
"),23.58)</f>
        <v>23.58</v>
      </c>
    </row>
    <row r="1533">
      <c r="A1533" s="9" t="s">
        <v>1541</v>
      </c>
      <c r="B1533" s="11" t="str">
        <f t="shared" si="1"/>
        <v>NSE:DCMNVL</v>
      </c>
      <c r="C1533" s="12">
        <f>IFERROR(__xludf.DUMMYFUNCTION("GOOGLEFINANCE(B1533,""marketcap"")/10000000"),345.2208566)</f>
        <v>345.2208566</v>
      </c>
      <c r="D1533" s="13">
        <f>IFERROR(__xludf.DUMMYFUNCTION("GOOGLEFINANCE(B1533,""price"")"),185.4)</f>
        <v>185.4</v>
      </c>
      <c r="E1533" s="14">
        <f>IFERROR(__xludf.DUMMYFUNCTION("GOOGLEFINANCE(B1533,""Volume"")"),2925.0)</f>
        <v>2925</v>
      </c>
      <c r="F1533" s="14">
        <f t="array" ref="F1533">F1532</f>
        <v>14</v>
      </c>
      <c r="G1533" s="15" t="str">
        <f>IFERROR(__xludf.DUMMYFUNCTION("IF(E1533&gt;AVERAGE(INDEX(GOOGLEFINANCE(B1533,""volume"",WORKDAY(TODAY(),-$F$1),TODAY()),,2)),""Breakout"","""")"),"")</f>
        <v/>
      </c>
      <c r="H1533" s="16">
        <f>IFERROR(__xludf.DUMMYFUNCTION("GOOGLEFINANCE(B1533,""price"")"),185.4)</f>
        <v>185.4</v>
      </c>
      <c r="I1533" s="17">
        <f>IFERROR(__xludf.DUMMYFUNCTION("AVERAGE(QUERY(SORT(GOOGLEFINANCE(B1533,""price"",TODAY()-365,TODAY()),1,0),""select Col2 limit 10""))"),188.53699999999998)</f>
        <v>188.537</v>
      </c>
      <c r="J1533" s="17">
        <f>IFERROR(__xludf.DUMMYFUNCTION("AVERAGE(QUERY(SORT(GOOGLEFINANCE(B1533,""price"",TODAY()-365,TODAY()),1,0),""select Col2 limit 30""))"),181.58533333333335)</f>
        <v>181.5853333</v>
      </c>
      <c r="K1533" s="18">
        <f>IFERROR(__xludf.DUMMYFUNCTION("AVERAGE(QUERY(SORT(GOOGLEFINANCE(B1533,""price"",TODAY()-365,TODAY()),1,0),""select Col2 limit 60""))"),180.56749999999997)</f>
        <v>180.5675</v>
      </c>
      <c r="L1533" s="17">
        <f>IFERROR(__xludf.DUMMYFUNCTION("AVERAGE(QUERY(SORT(GOOGLEFINANCE(B1533,""price"",TODAY()-365,TODAY()),1,0),""select Col2 limit 90""))"),176.4112222222222)</f>
        <v>176.4112222</v>
      </c>
      <c r="M1533" s="17">
        <f>IFERROR(__xludf.DUMMYFUNCTION("AVERAGE(QUERY(SORT(GOOGLEFINANCE(B1533,""price"",TODAY()-365,TODAY()),1,0),""select Col2 limit 120""))"),175.14425000000008)</f>
        <v>175.14425</v>
      </c>
      <c r="N1533" s="19">
        <f>IFERROR(__xludf.DUMMYFUNCTION("AVERAGE(QUERY(SORT(GOOGLEFINANCE(B1533,""price"",TODAY()-365,TODAY()),1,0),""select Col2 limit 200""))"),185.8130000000001)</f>
        <v>185.813</v>
      </c>
      <c r="O1533" s="20" t="str">
        <f t="shared" si="2"/>
        <v>Avoid</v>
      </c>
      <c r="P1533" s="21" t="str">
        <f t="shared" si="3"/>
        <v>200 DMA</v>
      </c>
      <c r="Q1533" s="21" t="str">
        <f t="shared" si="4"/>
        <v/>
      </c>
      <c r="R1533" s="22">
        <f>IFERROR(__xludf.DUMMYFUNCTION("GOOGLEFINANCE(B1533, ""pe"")
"),57.4)</f>
        <v>57.4</v>
      </c>
    </row>
    <row r="1534">
      <c r="A1534" s="9" t="s">
        <v>1542</v>
      </c>
      <c r="B1534" s="11" t="str">
        <f t="shared" si="1"/>
        <v>NSE:MGEL</v>
      </c>
      <c r="C1534" s="12">
        <f>IFERROR(__xludf.DUMMYFUNCTION("GOOGLEFINANCE(B1534,""marketcap"")/10000000"),563.8696517)</f>
        <v>563.8696517</v>
      </c>
      <c r="D1534" s="13">
        <f>IFERROR(__xludf.DUMMYFUNCTION("GOOGLEFINANCE(B1534,""price"")"),17.11)</f>
        <v>17.11</v>
      </c>
      <c r="E1534" s="14">
        <f>IFERROR(__xludf.DUMMYFUNCTION("GOOGLEFINANCE(B1534,""Volume"")"),453215.0)</f>
        <v>453215</v>
      </c>
      <c r="F1534" s="14">
        <f t="array" ref="F1534">F1533</f>
        <v>14</v>
      </c>
      <c r="G1534" s="15" t="str">
        <f>IFERROR(__xludf.DUMMYFUNCTION("IF(E1534&gt;AVERAGE(INDEX(GOOGLEFINANCE(B1534,""volume"",WORKDAY(TODAY(),-$F$1),TODAY()),,2)),""Breakout"","""")"),"")</f>
        <v/>
      </c>
      <c r="H1534" s="16">
        <f>IFERROR(__xludf.DUMMYFUNCTION("GOOGLEFINANCE(B1534,""price"")"),17.11)</f>
        <v>17.11</v>
      </c>
      <c r="I1534" s="17">
        <f>IFERROR(__xludf.DUMMYFUNCTION("AVERAGE(QUERY(SORT(GOOGLEFINANCE(B1534,""price"",TODAY()-365,TODAY()),1,0),""select Col2 limit 10""))"),16.993000000000002)</f>
        <v>16.993</v>
      </c>
      <c r="J1534" s="17">
        <f>IFERROR(__xludf.DUMMYFUNCTION("AVERAGE(QUERY(SORT(GOOGLEFINANCE(B1534,""price"",TODAY()-365,TODAY()),1,0),""select Col2 limit 30""))"),15.689999999999998)</f>
        <v>15.69</v>
      </c>
      <c r="K1534" s="18">
        <f>IFERROR(__xludf.DUMMYFUNCTION("AVERAGE(QUERY(SORT(GOOGLEFINANCE(B1534,""price"",TODAY()-365,TODAY()),1,0),""select Col2 limit 60""))"),14.300166666666666)</f>
        <v>14.30016667</v>
      </c>
      <c r="L1534" s="17">
        <f>IFERROR(__xludf.DUMMYFUNCTION("AVERAGE(QUERY(SORT(GOOGLEFINANCE(B1534,""price"",TODAY()-365,TODAY()),1,0),""select Col2 limit 90""))"),14.197777777777775)</f>
        <v>14.19777778</v>
      </c>
      <c r="M1534" s="17">
        <f>IFERROR(__xludf.DUMMYFUNCTION("AVERAGE(QUERY(SORT(GOOGLEFINANCE(B1534,""price"",TODAY()-365,TODAY()),1,0),""select Col2 limit 120""))"),14.176499999999992)</f>
        <v>14.1765</v>
      </c>
      <c r="N1534" s="19">
        <f>IFERROR(__xludf.DUMMYFUNCTION("AVERAGE(QUERY(SORT(GOOGLEFINANCE(B1534,""price"",TODAY()-365,TODAY()),1,0),""select Col2 limit 200""))"),13.581499999999995)</f>
        <v>13.5815</v>
      </c>
      <c r="O1534" s="20" t="str">
        <f t="shared" si="2"/>
        <v>Avoid</v>
      </c>
      <c r="P1534" s="21" t="str">
        <f t="shared" si="3"/>
        <v/>
      </c>
      <c r="Q1534" s="21" t="str">
        <f t="shared" si="4"/>
        <v/>
      </c>
      <c r="R1534" s="22">
        <f>IFERROR(__xludf.DUMMYFUNCTION("GOOGLEFINANCE(B1534, ""pe"")
"),23.7)</f>
        <v>23.7</v>
      </c>
    </row>
    <row r="1535">
      <c r="A1535" s="9" t="s">
        <v>1543</v>
      </c>
      <c r="B1535" s="11" t="str">
        <f t="shared" si="1"/>
        <v>NSE:IITL</v>
      </c>
      <c r="C1535" s="12">
        <f>IFERROR(__xludf.DUMMYFUNCTION("GOOGLEFINANCE(B1535,""marketcap"")/10000000"),372.3726093)</f>
        <v>372.3726093</v>
      </c>
      <c r="D1535" s="13">
        <f>IFERROR(__xludf.DUMMYFUNCTION("GOOGLEFINANCE(B1535,""price"")"),165.15)</f>
        <v>165.15</v>
      </c>
      <c r="E1535" s="14">
        <f>IFERROR(__xludf.DUMMYFUNCTION("GOOGLEFINANCE(B1535,""Volume"")"),188.0)</f>
        <v>188</v>
      </c>
      <c r="F1535" s="14">
        <f t="array" ref="F1535">F1534</f>
        <v>14</v>
      </c>
      <c r="G1535" s="15" t="str">
        <f>IFERROR(__xludf.DUMMYFUNCTION("IF(E1535&gt;AVERAGE(INDEX(GOOGLEFINANCE(B1535,""volume"",WORKDAY(TODAY(),-$F$1),TODAY()),,2)),""Breakout"","""")"),"")</f>
        <v/>
      </c>
      <c r="H1535" s="16">
        <f>IFERROR(__xludf.DUMMYFUNCTION("GOOGLEFINANCE(B1535,""price"")"),165.15)</f>
        <v>165.15</v>
      </c>
      <c r="I1535" s="17">
        <f>IFERROR(__xludf.DUMMYFUNCTION("AVERAGE(QUERY(SORT(GOOGLEFINANCE(B1535,""price"",TODAY()-365,TODAY()),1,0),""select Col2 limit 10""))"),169.14100000000002)</f>
        <v>169.141</v>
      </c>
      <c r="J1535" s="17">
        <f>IFERROR(__xludf.DUMMYFUNCTION("AVERAGE(QUERY(SORT(GOOGLEFINANCE(B1535,""price"",TODAY()-365,TODAY()),1,0),""select Col2 limit 30""))"),170.06900000000002)</f>
        <v>170.069</v>
      </c>
      <c r="K1535" s="18">
        <f>IFERROR(__xludf.DUMMYFUNCTION("AVERAGE(QUERY(SORT(GOOGLEFINANCE(B1535,""price"",TODAY()-365,TODAY()),1,0),""select Col2 limit 60""))"),172.22233333333332)</f>
        <v>172.2223333</v>
      </c>
      <c r="L1535" s="17">
        <f>IFERROR(__xludf.DUMMYFUNCTION("AVERAGE(QUERY(SORT(GOOGLEFINANCE(B1535,""price"",TODAY()-365,TODAY()),1,0),""select Col2 limit 90""))"),188.27544444444442)</f>
        <v>188.2754444</v>
      </c>
      <c r="M1535" s="17">
        <f>IFERROR(__xludf.DUMMYFUNCTION("AVERAGE(QUERY(SORT(GOOGLEFINANCE(B1535,""price"",TODAY()-365,TODAY()),1,0),""select Col2 limit 120""))"),223.4007500000001)</f>
        <v>223.40075</v>
      </c>
      <c r="N1535" s="19">
        <f>IFERROR(__xludf.DUMMYFUNCTION("AVERAGE(QUERY(SORT(GOOGLEFINANCE(B1535,""price"",TODAY()-365,TODAY()),1,0),""select Col2 limit 200""))"),278.2237000000001)</f>
        <v>278.2237</v>
      </c>
      <c r="O1535" s="20" t="str">
        <f t="shared" si="2"/>
        <v>Avoid</v>
      </c>
      <c r="P1535" s="21" t="str">
        <f t="shared" si="3"/>
        <v/>
      </c>
      <c r="Q1535" s="21" t="str">
        <f t="shared" si="4"/>
        <v/>
      </c>
      <c r="R1535" s="22">
        <f>IFERROR(__xludf.DUMMYFUNCTION("GOOGLEFINANCE(B1535, ""pe"")
"),92.78)</f>
        <v>92.78</v>
      </c>
    </row>
    <row r="1536">
      <c r="A1536" s="9" t="s">
        <v>1544</v>
      </c>
      <c r="B1536" s="11" t="str">
        <f t="shared" si="1"/>
        <v>NSE:EMKAY</v>
      </c>
      <c r="C1536" s="12">
        <f>IFERROR(__xludf.DUMMYFUNCTION("GOOGLEFINANCE(B1536,""marketcap"")/10000000"),618.5246496)</f>
        <v>618.5246496</v>
      </c>
      <c r="D1536" s="13">
        <f>IFERROR(__xludf.DUMMYFUNCTION("GOOGLEFINANCE(B1536,""price"")"),241.8)</f>
        <v>241.8</v>
      </c>
      <c r="E1536" s="14">
        <f>IFERROR(__xludf.DUMMYFUNCTION("GOOGLEFINANCE(B1536,""Volume"")"),9449.0)</f>
        <v>9449</v>
      </c>
      <c r="F1536" s="14">
        <f t="array" ref="F1536">F1535</f>
        <v>14</v>
      </c>
      <c r="G1536" s="15" t="str">
        <f>IFERROR(__xludf.DUMMYFUNCTION("IF(E1536&gt;AVERAGE(INDEX(GOOGLEFINANCE(B1536,""volume"",WORKDAY(TODAY(),-$F$1),TODAY()),,2)),""Breakout"","""")"),"")</f>
        <v/>
      </c>
      <c r="H1536" s="16">
        <f>IFERROR(__xludf.DUMMYFUNCTION("GOOGLEFINANCE(B1536,""price"")"),241.8)</f>
        <v>241.8</v>
      </c>
      <c r="I1536" s="17">
        <f>IFERROR(__xludf.DUMMYFUNCTION("AVERAGE(QUERY(SORT(GOOGLEFINANCE(B1536,""price"",TODAY()-365,TODAY()),1,0),""select Col2 limit 10""))"),258.04699999999997)</f>
        <v>258.047</v>
      </c>
      <c r="J1536" s="17">
        <f>IFERROR(__xludf.DUMMYFUNCTION("AVERAGE(QUERY(SORT(GOOGLEFINANCE(B1536,""price"",TODAY()-365,TODAY()),1,0),""select Col2 limit 30""))"),242.57933333333332)</f>
        <v>242.5793333</v>
      </c>
      <c r="K1536" s="18">
        <f>IFERROR(__xludf.DUMMYFUNCTION("AVERAGE(QUERY(SORT(GOOGLEFINANCE(B1536,""price"",TODAY()-365,TODAY()),1,0),""select Col2 limit 60""))"),231.422)</f>
        <v>231.422</v>
      </c>
      <c r="L1536" s="17">
        <f>IFERROR(__xludf.DUMMYFUNCTION("AVERAGE(QUERY(SORT(GOOGLEFINANCE(B1536,""price"",TODAY()-365,TODAY()),1,0),""select Col2 limit 90""))"),222.712)</f>
        <v>222.712</v>
      </c>
      <c r="M1536" s="17">
        <f>IFERROR(__xludf.DUMMYFUNCTION("AVERAGE(QUERY(SORT(GOOGLEFINANCE(B1536,""price"",TODAY()-365,TODAY()),1,0),""select Col2 limit 120""))"),221.3713333333333)</f>
        <v>221.3713333</v>
      </c>
      <c r="N1536" s="19">
        <f>IFERROR(__xludf.DUMMYFUNCTION("AVERAGE(QUERY(SORT(GOOGLEFINANCE(B1536,""price"",TODAY()-365,TODAY()),1,0),""select Col2 limit 200""))"),252.33804999999992)</f>
        <v>252.33805</v>
      </c>
      <c r="O1536" s="20" t="str">
        <f t="shared" si="2"/>
        <v>Avoid</v>
      </c>
      <c r="P1536" s="21" t="str">
        <f t="shared" si="3"/>
        <v>30 DMA</v>
      </c>
      <c r="Q1536" s="21" t="str">
        <f t="shared" si="4"/>
        <v/>
      </c>
      <c r="R1536" s="22">
        <f>IFERROR(__xludf.DUMMYFUNCTION("GOOGLEFINANCE(B1536, ""pe"")
"),11.02)</f>
        <v>11.02</v>
      </c>
    </row>
    <row r="1537">
      <c r="A1537" s="9" t="s">
        <v>1545</v>
      </c>
      <c r="B1537" s="11" t="str">
        <f t="shared" si="1"/>
        <v>NSE:SIGMA</v>
      </c>
      <c r="C1537" s="12">
        <f>IFERROR(__xludf.DUMMYFUNCTION("GOOGLEFINANCE(B1537,""marketcap"")/10000000"),392.600118)</f>
        <v>392.600118</v>
      </c>
      <c r="D1537" s="13">
        <f>IFERROR(__xludf.DUMMYFUNCTION("GOOGLEFINANCE(B1537,""price"")"),382.0)</f>
        <v>382</v>
      </c>
      <c r="E1537" s="14">
        <f>IFERROR(__xludf.DUMMYFUNCTION("GOOGLEFINANCE(B1537,""Volume"")"),591.0)</f>
        <v>591</v>
      </c>
      <c r="F1537" s="14">
        <f t="array" ref="F1537">F1536</f>
        <v>14</v>
      </c>
      <c r="G1537" s="15" t="str">
        <f>IFERROR(__xludf.DUMMYFUNCTION("IF(E1537&gt;AVERAGE(INDEX(GOOGLEFINANCE(B1537,""volume"",WORKDAY(TODAY(),-$F$1),TODAY()),,2)),""Breakout"","""")"),"")</f>
        <v/>
      </c>
      <c r="H1537" s="16">
        <f>IFERROR(__xludf.DUMMYFUNCTION("GOOGLEFINANCE(B1537,""price"")"),382.0)</f>
        <v>382</v>
      </c>
      <c r="I1537" s="17">
        <f>IFERROR(__xludf.DUMMYFUNCTION("AVERAGE(QUERY(SORT(GOOGLEFINANCE(B1537,""price"",TODAY()-365,TODAY()),1,0),""select Col2 limit 10""))"),382.55)</f>
        <v>382.55</v>
      </c>
      <c r="J1537" s="17">
        <f>IFERROR(__xludf.DUMMYFUNCTION("AVERAGE(QUERY(SORT(GOOGLEFINANCE(B1537,""price"",TODAY()-365,TODAY()),1,0),""select Col2 limit 30""))"),379.1816666666667)</f>
        <v>379.1816667</v>
      </c>
      <c r="K1537" s="18">
        <f>IFERROR(__xludf.DUMMYFUNCTION("AVERAGE(QUERY(SORT(GOOGLEFINANCE(B1537,""price"",TODAY()-365,TODAY()),1,0),""select Col2 limit 60""))"),358.4599999999999)</f>
        <v>358.46</v>
      </c>
      <c r="L1537" s="17">
        <f>IFERROR(__xludf.DUMMYFUNCTION("AVERAGE(QUERY(SORT(GOOGLEFINANCE(B1537,""price"",TODAY()-365,TODAY()),1,0),""select Col2 limit 90""))"),327.12655555555546)</f>
        <v>327.1265556</v>
      </c>
      <c r="M1537" s="17">
        <f>IFERROR(__xludf.DUMMYFUNCTION("AVERAGE(QUERY(SORT(GOOGLEFINANCE(B1537,""price"",TODAY()-365,TODAY()),1,0),""select Col2 limit 120""))"),316.49158333333315)</f>
        <v>316.4915833</v>
      </c>
      <c r="N1537" s="19">
        <f>IFERROR(__xludf.DUMMYFUNCTION("AVERAGE(QUERY(SORT(GOOGLEFINANCE(B1537,""price"",TODAY()-365,TODAY()),1,0),""select Col2 limit 200""))"),330.2769499999998)</f>
        <v>330.27695</v>
      </c>
      <c r="O1537" s="20" t="str">
        <f t="shared" si="2"/>
        <v>Avoid</v>
      </c>
      <c r="P1537" s="21" t="str">
        <f t="shared" si="3"/>
        <v>10 DMA</v>
      </c>
      <c r="Q1537" s="21" t="str">
        <f t="shared" si="4"/>
        <v/>
      </c>
      <c r="R1537" s="22">
        <f>IFERROR(__xludf.DUMMYFUNCTION("GOOGLEFINANCE(B1537, ""pe"")
"),20.57)</f>
        <v>20.57</v>
      </c>
    </row>
    <row r="1538">
      <c r="A1538" s="9" t="s">
        <v>1546</v>
      </c>
      <c r="B1538" s="11" t="str">
        <f t="shared" si="1"/>
        <v>NSE:SAHYADRI</v>
      </c>
      <c r="C1538" s="12">
        <f>IFERROR(__xludf.DUMMYFUNCTION("GOOGLEFINANCE(B1538,""marketcap"")/10000000"),333.9716196)</f>
        <v>333.9716196</v>
      </c>
      <c r="D1538" s="13">
        <f>IFERROR(__xludf.DUMMYFUNCTION("GOOGLEFINANCE(B1538,""price"")"),304.55)</f>
        <v>304.55</v>
      </c>
      <c r="E1538" s="14">
        <f>IFERROR(__xludf.DUMMYFUNCTION("GOOGLEFINANCE(B1538,""Volume"")"),245.0)</f>
        <v>245</v>
      </c>
      <c r="F1538" s="14">
        <f t="array" ref="F1538">F1537</f>
        <v>14</v>
      </c>
      <c r="G1538" s="15" t="str">
        <f>IFERROR(__xludf.DUMMYFUNCTION("IF(E1538&gt;AVERAGE(INDEX(GOOGLEFINANCE(B1538,""volume"",WORKDAY(TODAY(),-$F$1),TODAY()),,2)),""Breakout"","""")"),"")</f>
        <v/>
      </c>
      <c r="H1538" s="16">
        <f>IFERROR(__xludf.DUMMYFUNCTION("GOOGLEFINANCE(B1538,""price"")"),304.55)</f>
        <v>304.55</v>
      </c>
      <c r="I1538" s="17">
        <f>IFERROR(__xludf.DUMMYFUNCTION("AVERAGE(QUERY(SORT(GOOGLEFINANCE(B1538,""price"",TODAY()-365,TODAY()),1,0),""select Col2 limit 10""))"),305.15500000000003)</f>
        <v>305.155</v>
      </c>
      <c r="J1538" s="17">
        <f>IFERROR(__xludf.DUMMYFUNCTION("AVERAGE(QUERY(SORT(GOOGLEFINANCE(B1538,""price"",TODAY()-365,TODAY()),1,0),""select Col2 limit 30""))"),306.44999999999993)</f>
        <v>306.45</v>
      </c>
      <c r="K1538" s="18">
        <f>IFERROR(__xludf.DUMMYFUNCTION("AVERAGE(QUERY(SORT(GOOGLEFINANCE(B1538,""price"",TODAY()-365,TODAY()),1,0),""select Col2 limit 60""))"),297.28583333333324)</f>
        <v>297.2858333</v>
      </c>
      <c r="L1538" s="17">
        <f>IFERROR(__xludf.DUMMYFUNCTION("AVERAGE(QUERY(SORT(GOOGLEFINANCE(B1538,""price"",TODAY()-365,TODAY()),1,0),""select Col2 limit 90""))"),281.35711111111107)</f>
        <v>281.3571111</v>
      </c>
      <c r="M1538" s="17">
        <f>IFERROR(__xludf.DUMMYFUNCTION("AVERAGE(QUERY(SORT(GOOGLEFINANCE(B1538,""price"",TODAY()-365,TODAY()),1,0),""select Col2 limit 120""))"),275.5712499999999)</f>
        <v>275.57125</v>
      </c>
      <c r="N1538" s="19">
        <f>IFERROR(__xludf.DUMMYFUNCTION("AVERAGE(QUERY(SORT(GOOGLEFINANCE(B1538,""price"",TODAY()-365,TODAY()),1,0),""select Col2 limit 200""))"),294.20374999999984)</f>
        <v>294.20375</v>
      </c>
      <c r="O1538" s="20" t="str">
        <f t="shared" si="2"/>
        <v>Avoid</v>
      </c>
      <c r="P1538" s="21" t="str">
        <f t="shared" si="3"/>
        <v>10 DMA</v>
      </c>
      <c r="Q1538" s="21" t="str">
        <f t="shared" si="4"/>
        <v/>
      </c>
      <c r="R1538" s="22">
        <f>IFERROR(__xludf.DUMMYFUNCTION("GOOGLEFINANCE(B1538, ""pe"")
"),17.16)</f>
        <v>17.16</v>
      </c>
    </row>
    <row r="1539">
      <c r="A1539" s="9" t="s">
        <v>1547</v>
      </c>
      <c r="B1539" s="11" t="str">
        <f t="shared" si="1"/>
        <v>NSE:SHEMAROO</v>
      </c>
      <c r="C1539" s="12">
        <f>IFERROR(__xludf.DUMMYFUNCTION("GOOGLEFINANCE(B1539,""marketcap"")/10000000"),338.7443938)</f>
        <v>338.7443938</v>
      </c>
      <c r="D1539" s="13">
        <f>IFERROR(__xludf.DUMMYFUNCTION("GOOGLEFINANCE(B1539,""price"")"),122.65)</f>
        <v>122.65</v>
      </c>
      <c r="E1539" s="14">
        <f>IFERROR(__xludf.DUMMYFUNCTION("GOOGLEFINANCE(B1539,""Volume"")"),2889.0)</f>
        <v>2889</v>
      </c>
      <c r="F1539" s="14">
        <f t="array" ref="F1539">F1538</f>
        <v>14</v>
      </c>
      <c r="G1539" s="15" t="str">
        <f>IFERROR(__xludf.DUMMYFUNCTION("IF(E1539&gt;AVERAGE(INDEX(GOOGLEFINANCE(B1539,""volume"",WORKDAY(TODAY(),-$F$1),TODAY()),,2)),""Breakout"","""")"),"")</f>
        <v/>
      </c>
      <c r="H1539" s="16">
        <f>IFERROR(__xludf.DUMMYFUNCTION("GOOGLEFINANCE(B1539,""price"")"),122.65)</f>
        <v>122.65</v>
      </c>
      <c r="I1539" s="17">
        <f>IFERROR(__xludf.DUMMYFUNCTION("AVERAGE(QUERY(SORT(GOOGLEFINANCE(B1539,""price"",TODAY()-365,TODAY()),1,0),""select Col2 limit 10""))"),136.352)</f>
        <v>136.352</v>
      </c>
      <c r="J1539" s="17">
        <f>IFERROR(__xludf.DUMMYFUNCTION("AVERAGE(QUERY(SORT(GOOGLEFINANCE(B1539,""price"",TODAY()-365,TODAY()),1,0),""select Col2 limit 30""))"),131.4316666666667)</f>
        <v>131.4316667</v>
      </c>
      <c r="K1539" s="18">
        <f>IFERROR(__xludf.DUMMYFUNCTION("AVERAGE(QUERY(SORT(GOOGLEFINANCE(B1539,""price"",TODAY()-365,TODAY()),1,0),""select Col2 limit 60""))"),119.02699999999999)</f>
        <v>119.027</v>
      </c>
      <c r="L1539" s="17">
        <f>IFERROR(__xludf.DUMMYFUNCTION("AVERAGE(QUERY(SORT(GOOGLEFINANCE(B1539,""price"",TODAY()-365,TODAY()),1,0),""select Col2 limit 90""))"),113.16799999999995)</f>
        <v>113.168</v>
      </c>
      <c r="M1539" s="17">
        <f>IFERROR(__xludf.DUMMYFUNCTION("AVERAGE(QUERY(SORT(GOOGLEFINANCE(B1539,""price"",TODAY()-365,TODAY()),1,0),""select Col2 limit 120""))"),115.51999999999995)</f>
        <v>115.52</v>
      </c>
      <c r="N1539" s="19">
        <f>IFERROR(__xludf.DUMMYFUNCTION("AVERAGE(QUERY(SORT(GOOGLEFINANCE(B1539,""price"",TODAY()-365,TODAY()),1,0),""select Col2 limit 200""))"),134.55234999999993)</f>
        <v>134.55235</v>
      </c>
      <c r="O1539" s="20" t="str">
        <f t="shared" si="2"/>
        <v>Avoid</v>
      </c>
      <c r="P1539" s="21" t="str">
        <f t="shared" si="3"/>
        <v/>
      </c>
      <c r="Q1539" s="21" t="str">
        <f t="shared" si="4"/>
        <v/>
      </c>
      <c r="R1539" s="22" t="str">
        <f>IFERROR(__xludf.DUMMYFUNCTION("GOOGLEFINANCE(B1539, ""pe"")
"),"#N/A")</f>
        <v>#N/A</v>
      </c>
    </row>
    <row r="1540">
      <c r="A1540" s="9" t="s">
        <v>1548</v>
      </c>
      <c r="B1540" s="11" t="str">
        <f t="shared" si="1"/>
        <v>NSE:NIPPOBATRY</v>
      </c>
      <c r="C1540" s="12">
        <f>IFERROR(__xludf.DUMMYFUNCTION("GOOGLEFINANCE(B1540,""marketcap"")/10000000"),349.2750091)</f>
        <v>349.2750091</v>
      </c>
      <c r="D1540" s="13">
        <f>IFERROR(__xludf.DUMMYFUNCTION("GOOGLEFINANCE(B1540,""price"")"),465.9)</f>
        <v>465.9</v>
      </c>
      <c r="E1540" s="14">
        <f>IFERROR(__xludf.DUMMYFUNCTION("GOOGLEFINANCE(B1540,""Volume"")"),1500.0)</f>
        <v>1500</v>
      </c>
      <c r="F1540" s="14">
        <f t="array" ref="F1540">F1539</f>
        <v>14</v>
      </c>
      <c r="G1540" s="15" t="str">
        <f>IFERROR(__xludf.DUMMYFUNCTION("IF(E1540&gt;AVERAGE(INDEX(GOOGLEFINANCE(B1540,""volume"",WORKDAY(TODAY(),-$F$1),TODAY()),,2)),""Breakout"","""")"),"")</f>
        <v/>
      </c>
      <c r="H1540" s="16">
        <f>IFERROR(__xludf.DUMMYFUNCTION("GOOGLEFINANCE(B1540,""price"")"),465.9)</f>
        <v>465.9</v>
      </c>
      <c r="I1540" s="17">
        <f>IFERROR(__xludf.DUMMYFUNCTION("AVERAGE(QUERY(SORT(GOOGLEFINANCE(B1540,""price"",TODAY()-365,TODAY()),1,0),""select Col2 limit 10""))"),466.505)</f>
        <v>466.505</v>
      </c>
      <c r="J1540" s="17">
        <f>IFERROR(__xludf.DUMMYFUNCTION("AVERAGE(QUERY(SORT(GOOGLEFINANCE(B1540,""price"",TODAY()-365,TODAY()),1,0),""select Col2 limit 30""))"),469.74499999999995)</f>
        <v>469.745</v>
      </c>
      <c r="K1540" s="18">
        <f>IFERROR(__xludf.DUMMYFUNCTION("AVERAGE(QUERY(SORT(GOOGLEFINANCE(B1540,""price"",TODAY()-365,TODAY()),1,0),""select Col2 limit 60""))"),487.8683333333333)</f>
        <v>487.8683333</v>
      </c>
      <c r="L1540" s="17">
        <f>IFERROR(__xludf.DUMMYFUNCTION("AVERAGE(QUERY(SORT(GOOGLEFINANCE(B1540,""price"",TODAY()-365,TODAY()),1,0),""select Col2 limit 90""))"),478.62500000000006)</f>
        <v>478.625</v>
      </c>
      <c r="M1540" s="17">
        <f>IFERROR(__xludf.DUMMYFUNCTION("AVERAGE(QUERY(SORT(GOOGLEFINANCE(B1540,""price"",TODAY()-365,TODAY()),1,0),""select Col2 limit 120""))"),474.66249999999997)</f>
        <v>474.6625</v>
      </c>
      <c r="N1540" s="19">
        <f>IFERROR(__xludf.DUMMYFUNCTION("AVERAGE(QUERY(SORT(GOOGLEFINANCE(B1540,""price"",TODAY()-365,TODAY()),1,0),""select Col2 limit 200""))"),503.16074999999967)</f>
        <v>503.16075</v>
      </c>
      <c r="O1540" s="20" t="str">
        <f t="shared" si="2"/>
        <v>Avoid</v>
      </c>
      <c r="P1540" s="21" t="str">
        <f t="shared" si="3"/>
        <v>10 DMA</v>
      </c>
      <c r="Q1540" s="21" t="str">
        <f t="shared" si="4"/>
        <v>10 DMA cross best</v>
      </c>
      <c r="R1540" s="22">
        <f>IFERROR(__xludf.DUMMYFUNCTION("GOOGLEFINANCE(B1540, ""pe"")
"),2.82)</f>
        <v>2.82</v>
      </c>
    </row>
    <row r="1541">
      <c r="A1541" s="9" t="s">
        <v>1549</v>
      </c>
      <c r="B1541" s="11" t="str">
        <f t="shared" si="1"/>
        <v>NSE:DYNPRO</v>
      </c>
      <c r="C1541" s="12">
        <f>IFERROR(__xludf.DUMMYFUNCTION("GOOGLEFINANCE(B1541,""marketcap"")/10000000"),433.9368801)</f>
        <v>433.9368801</v>
      </c>
      <c r="D1541" s="13">
        <f>IFERROR(__xludf.DUMMYFUNCTION("GOOGLEFINANCE(B1541,""price"")"),349.8)</f>
        <v>349.8</v>
      </c>
      <c r="E1541" s="14">
        <f>IFERROR(__xludf.DUMMYFUNCTION("GOOGLEFINANCE(B1541,""Volume"")"),18202.0)</f>
        <v>18202</v>
      </c>
      <c r="F1541" s="14">
        <f t="array" ref="F1541">F1540</f>
        <v>14</v>
      </c>
      <c r="G1541" s="15" t="str">
        <f>IFERROR(__xludf.DUMMYFUNCTION("IF(E1541&gt;AVERAGE(INDEX(GOOGLEFINANCE(B1541,""volume"",WORKDAY(TODAY(),-$F$1),TODAY()),,2)),""Breakout"","""")"),"")</f>
        <v/>
      </c>
      <c r="H1541" s="16">
        <f>IFERROR(__xludf.DUMMYFUNCTION("GOOGLEFINANCE(B1541,""price"")"),349.8)</f>
        <v>349.8</v>
      </c>
      <c r="I1541" s="17">
        <f>IFERROR(__xludf.DUMMYFUNCTION("AVERAGE(QUERY(SORT(GOOGLEFINANCE(B1541,""price"",TODAY()-365,TODAY()),1,0),""select Col2 limit 10""))"),347.655)</f>
        <v>347.655</v>
      </c>
      <c r="J1541" s="17">
        <f>IFERROR(__xludf.DUMMYFUNCTION("AVERAGE(QUERY(SORT(GOOGLEFINANCE(B1541,""price"",TODAY()-365,TODAY()),1,0),""select Col2 limit 30""))"),314.945)</f>
        <v>314.945</v>
      </c>
      <c r="K1541" s="18">
        <f>IFERROR(__xludf.DUMMYFUNCTION("AVERAGE(QUERY(SORT(GOOGLEFINANCE(B1541,""price"",TODAY()-365,TODAY()),1,0),""select Col2 limit 60""))"),302.1183333333333)</f>
        <v>302.1183333</v>
      </c>
      <c r="L1541" s="17">
        <f>IFERROR(__xludf.DUMMYFUNCTION("AVERAGE(QUERY(SORT(GOOGLEFINANCE(B1541,""price"",TODAY()-365,TODAY()),1,0),""select Col2 limit 90""))"),293.99277777777775)</f>
        <v>293.9927778</v>
      </c>
      <c r="M1541" s="17">
        <f>IFERROR(__xludf.DUMMYFUNCTION("AVERAGE(QUERY(SORT(GOOGLEFINANCE(B1541,""price"",TODAY()-365,TODAY()),1,0),""select Col2 limit 120""))"),294.38624999999996)</f>
        <v>294.38625</v>
      </c>
      <c r="N1541" s="19">
        <f>IFERROR(__xludf.DUMMYFUNCTION("AVERAGE(QUERY(SORT(GOOGLEFINANCE(B1541,""price"",TODAY()-365,TODAY()),1,0),""select Col2 limit 200""))"),341.25875)</f>
        <v>341.25875</v>
      </c>
      <c r="O1541" s="20" t="str">
        <f t="shared" si="2"/>
        <v>Avoid</v>
      </c>
      <c r="P1541" s="21" t="str">
        <f t="shared" si="3"/>
        <v/>
      </c>
      <c r="Q1541" s="21" t="str">
        <f t="shared" si="4"/>
        <v/>
      </c>
      <c r="R1541" s="22">
        <f>IFERROR(__xludf.DUMMYFUNCTION("GOOGLEFINANCE(B1541, ""pe"")
"),28.11)</f>
        <v>28.11</v>
      </c>
    </row>
    <row r="1542">
      <c r="A1542" s="9" t="s">
        <v>1550</v>
      </c>
      <c r="B1542" s="11" t="str">
        <f t="shared" si="1"/>
        <v>NSE:RUCHIRA</v>
      </c>
      <c r="C1542" s="12">
        <f>IFERROR(__xludf.DUMMYFUNCTION("GOOGLEFINANCE(B1542,""marketcap"")/10000000"),401.1165129)</f>
        <v>401.1165129</v>
      </c>
      <c r="D1542" s="13">
        <f>IFERROR(__xludf.DUMMYFUNCTION("GOOGLEFINANCE(B1542,""price"")"),134.46)</f>
        <v>134.46</v>
      </c>
      <c r="E1542" s="14">
        <f>IFERROR(__xludf.DUMMYFUNCTION("GOOGLEFINANCE(B1542,""Volume"")"),15625.0)</f>
        <v>15625</v>
      </c>
      <c r="F1542" s="14">
        <f t="array" ref="F1542">F1541</f>
        <v>14</v>
      </c>
      <c r="G1542" s="15" t="str">
        <f>IFERROR(__xludf.DUMMYFUNCTION("IF(E1542&gt;AVERAGE(INDEX(GOOGLEFINANCE(B1542,""volume"",WORKDAY(TODAY(),-$F$1),TODAY()),,2)),""Breakout"","""")"),"")</f>
        <v/>
      </c>
      <c r="H1542" s="16">
        <f>IFERROR(__xludf.DUMMYFUNCTION("GOOGLEFINANCE(B1542,""price"")"),134.46)</f>
        <v>134.46</v>
      </c>
      <c r="I1542" s="17">
        <f>IFERROR(__xludf.DUMMYFUNCTION("AVERAGE(QUERY(SORT(GOOGLEFINANCE(B1542,""price"",TODAY()-365,TODAY()),1,0),""select Col2 limit 10""))"),139.114)</f>
        <v>139.114</v>
      </c>
      <c r="J1542" s="17">
        <f>IFERROR(__xludf.DUMMYFUNCTION("AVERAGE(QUERY(SORT(GOOGLEFINANCE(B1542,""price"",TODAY()-365,TODAY()),1,0),""select Col2 limit 30""))"),139.11633333333336)</f>
        <v>139.1163333</v>
      </c>
      <c r="K1542" s="18">
        <f>IFERROR(__xludf.DUMMYFUNCTION("AVERAGE(QUERY(SORT(GOOGLEFINANCE(B1542,""price"",TODAY()-365,TODAY()),1,0),""select Col2 limit 60""))"),135.34699999999995)</f>
        <v>135.347</v>
      </c>
      <c r="L1542" s="17">
        <f>IFERROR(__xludf.DUMMYFUNCTION("AVERAGE(QUERY(SORT(GOOGLEFINANCE(B1542,""price"",TODAY()-365,TODAY()),1,0),""select Col2 limit 90""))"),130.41477777777774)</f>
        <v>130.4147778</v>
      </c>
      <c r="M1542" s="17">
        <f>IFERROR(__xludf.DUMMYFUNCTION("AVERAGE(QUERY(SORT(GOOGLEFINANCE(B1542,""price"",TODAY()-365,TODAY()),1,0),""select Col2 limit 120""))"),127.33474999999999)</f>
        <v>127.33475</v>
      </c>
      <c r="N1542" s="19">
        <f>IFERROR(__xludf.DUMMYFUNCTION("AVERAGE(QUERY(SORT(GOOGLEFINANCE(B1542,""price"",TODAY()-365,TODAY()),1,0),""select Col2 limit 200""))"),127.74624999999996)</f>
        <v>127.74625</v>
      </c>
      <c r="O1542" s="20" t="str">
        <f t="shared" si="2"/>
        <v>Avoid</v>
      </c>
      <c r="P1542" s="21" t="str">
        <f t="shared" si="3"/>
        <v>60 DMA</v>
      </c>
      <c r="Q1542" s="21" t="str">
        <f t="shared" si="4"/>
        <v/>
      </c>
      <c r="R1542" s="22">
        <f>IFERROR(__xludf.DUMMYFUNCTION("GOOGLEFINANCE(B1542, ""pe"")
"),5.97)</f>
        <v>5.97</v>
      </c>
    </row>
    <row r="1543">
      <c r="A1543" s="9" t="s">
        <v>1551</v>
      </c>
      <c r="B1543" s="11" t="str">
        <f t="shared" si="1"/>
        <v>NSE:MANOMAY</v>
      </c>
      <c r="C1543" s="12">
        <f>IFERROR(__xludf.DUMMYFUNCTION("GOOGLEFINANCE(B1543,""marketcap"")/10000000"),288.5958563)</f>
        <v>288.5958563</v>
      </c>
      <c r="D1543" s="13">
        <f>IFERROR(__xludf.DUMMYFUNCTION("GOOGLEFINANCE(B1543,""price"")"),162.15)</f>
        <v>162.15</v>
      </c>
      <c r="E1543" s="14">
        <f>IFERROR(__xludf.DUMMYFUNCTION("GOOGLEFINANCE(B1543,""Volume"")"),1056.0)</f>
        <v>1056</v>
      </c>
      <c r="F1543" s="14">
        <f t="array" ref="F1543">F1542</f>
        <v>14</v>
      </c>
      <c r="G1543" s="15" t="str">
        <f>IFERROR(__xludf.DUMMYFUNCTION("IF(E1543&gt;AVERAGE(INDEX(GOOGLEFINANCE(B1543,""volume"",WORKDAY(TODAY(),-$F$1),TODAY()),,2)),""Breakout"","""")"),"")</f>
        <v/>
      </c>
      <c r="H1543" s="16">
        <f>IFERROR(__xludf.DUMMYFUNCTION("GOOGLEFINANCE(B1543,""price"")"),162.15)</f>
        <v>162.15</v>
      </c>
      <c r="I1543" s="17">
        <f>IFERROR(__xludf.DUMMYFUNCTION("AVERAGE(QUERY(SORT(GOOGLEFINANCE(B1543,""price"",TODAY()-365,TODAY()),1,0),""select Col2 limit 10""))"),165.779)</f>
        <v>165.779</v>
      </c>
      <c r="J1543" s="17">
        <f>IFERROR(__xludf.DUMMYFUNCTION("AVERAGE(QUERY(SORT(GOOGLEFINANCE(B1543,""price"",TODAY()-365,TODAY()),1,0),""select Col2 limit 30""))"),167.18800000000005)</f>
        <v>167.188</v>
      </c>
      <c r="K1543" s="18">
        <f>IFERROR(__xludf.DUMMYFUNCTION("AVERAGE(QUERY(SORT(GOOGLEFINANCE(B1543,""price"",TODAY()-365,TODAY()),1,0),""select Col2 limit 60""))"),168.85399999999996)</f>
        <v>168.854</v>
      </c>
      <c r="L1543" s="17">
        <f>IFERROR(__xludf.DUMMYFUNCTION("AVERAGE(QUERY(SORT(GOOGLEFINANCE(B1543,""price"",TODAY()-365,TODAY()),1,0),""select Col2 limit 90""))"),170.6198888888889)</f>
        <v>170.6198889</v>
      </c>
      <c r="M1543" s="17">
        <f>IFERROR(__xludf.DUMMYFUNCTION("AVERAGE(QUERY(SORT(GOOGLEFINANCE(B1543,""price"",TODAY()-365,TODAY()),1,0),""select Col2 limit 120""))"),173.47608333333335)</f>
        <v>173.4760833</v>
      </c>
      <c r="N1543" s="19">
        <f>IFERROR(__xludf.DUMMYFUNCTION("AVERAGE(QUERY(SORT(GOOGLEFINANCE(B1543,""price"",TODAY()-365,TODAY()),1,0),""select Col2 limit 200""))"),187.08835)</f>
        <v>187.08835</v>
      </c>
      <c r="O1543" s="20" t="str">
        <f t="shared" si="2"/>
        <v>Avoid</v>
      </c>
      <c r="P1543" s="21" t="str">
        <f t="shared" si="3"/>
        <v/>
      </c>
      <c r="Q1543" s="21" t="str">
        <f t="shared" si="4"/>
        <v/>
      </c>
      <c r="R1543" s="22">
        <f>IFERROR(__xludf.DUMMYFUNCTION("GOOGLEFINANCE(B1543, ""pe"")
"),15.2)</f>
        <v>15.2</v>
      </c>
    </row>
    <row r="1544">
      <c r="A1544" s="9" t="s">
        <v>1552</v>
      </c>
      <c r="B1544" s="11" t="str">
        <f t="shared" si="1"/>
        <v>NSE:LYKALABS</v>
      </c>
      <c r="C1544" s="12">
        <f>IFERROR(__xludf.DUMMYFUNCTION("GOOGLEFINANCE(B1544,""marketcap"")/10000000"),396.730053)</f>
        <v>396.730053</v>
      </c>
      <c r="D1544" s="13">
        <f>IFERROR(__xludf.DUMMYFUNCTION("GOOGLEFINANCE(B1544,""price"")"),111.16)</f>
        <v>111.16</v>
      </c>
      <c r="E1544" s="14">
        <f>IFERROR(__xludf.DUMMYFUNCTION("GOOGLEFINANCE(B1544,""Volume"")"),20267.0)</f>
        <v>20267</v>
      </c>
      <c r="F1544" s="14">
        <f t="array" ref="F1544">F1543</f>
        <v>14</v>
      </c>
      <c r="G1544" s="15" t="str">
        <f>IFERROR(__xludf.DUMMYFUNCTION("IF(E1544&gt;AVERAGE(INDEX(GOOGLEFINANCE(B1544,""volume"",WORKDAY(TODAY(),-$F$1),TODAY()),,2)),""Breakout"","""")"),"")</f>
        <v/>
      </c>
      <c r="H1544" s="16">
        <f>IFERROR(__xludf.DUMMYFUNCTION("GOOGLEFINANCE(B1544,""price"")"),111.16)</f>
        <v>111.16</v>
      </c>
      <c r="I1544" s="17">
        <f>IFERROR(__xludf.DUMMYFUNCTION("AVERAGE(QUERY(SORT(GOOGLEFINANCE(B1544,""price"",TODAY()-365,TODAY()),1,0),""select Col2 limit 10""))"),112.31200000000001)</f>
        <v>112.312</v>
      </c>
      <c r="J1544" s="17">
        <f>IFERROR(__xludf.DUMMYFUNCTION("AVERAGE(QUERY(SORT(GOOGLEFINANCE(B1544,""price"",TODAY()-365,TODAY()),1,0),""select Col2 limit 30""))"),112.87566666666666)</f>
        <v>112.8756667</v>
      </c>
      <c r="K1544" s="18">
        <f>IFERROR(__xludf.DUMMYFUNCTION("AVERAGE(QUERY(SORT(GOOGLEFINANCE(B1544,""price"",TODAY()-365,TODAY()),1,0),""select Col2 limit 60""))"),114.09650000000002)</f>
        <v>114.0965</v>
      </c>
      <c r="L1544" s="17">
        <f>IFERROR(__xludf.DUMMYFUNCTION("AVERAGE(QUERY(SORT(GOOGLEFINANCE(B1544,""price"",TODAY()-365,TODAY()),1,0),""select Col2 limit 90""))"),111.75822222222224)</f>
        <v>111.7582222</v>
      </c>
      <c r="M1544" s="17">
        <f>IFERROR(__xludf.DUMMYFUNCTION("AVERAGE(QUERY(SORT(GOOGLEFINANCE(B1544,""price"",TODAY()-365,TODAY()),1,0),""select Col2 limit 120""))"),113.83875000000002)</f>
        <v>113.83875</v>
      </c>
      <c r="N1544" s="19">
        <f>IFERROR(__xludf.DUMMYFUNCTION("AVERAGE(QUERY(SORT(GOOGLEFINANCE(B1544,""price"",TODAY()-365,TODAY()),1,0),""select Col2 limit 200""))"),128.84530000000007)</f>
        <v>128.8453</v>
      </c>
      <c r="O1544" s="20" t="str">
        <f t="shared" si="2"/>
        <v>Avoid</v>
      </c>
      <c r="P1544" s="21" t="str">
        <f t="shared" si="3"/>
        <v>90 DMA</v>
      </c>
      <c r="Q1544" s="21" t="str">
        <f t="shared" si="4"/>
        <v/>
      </c>
      <c r="R1544" s="22">
        <f>IFERROR(__xludf.DUMMYFUNCTION("GOOGLEFINANCE(B1544, ""pe"")
"),49.37)</f>
        <v>49.37</v>
      </c>
    </row>
    <row r="1545">
      <c r="A1545" s="9" t="s">
        <v>1553</v>
      </c>
      <c r="B1545" s="11" t="str">
        <f t="shared" si="1"/>
        <v>NSE:HARRMALAYA</v>
      </c>
      <c r="C1545" s="12">
        <f>IFERROR(__xludf.DUMMYFUNCTION("GOOGLEFINANCE(B1545,""marketcap"")/10000000"),385.8655065)</f>
        <v>385.8655065</v>
      </c>
      <c r="D1545" s="13">
        <f>IFERROR(__xludf.DUMMYFUNCTION("GOOGLEFINANCE(B1545,""price"")"),209.08)</f>
        <v>209.08</v>
      </c>
      <c r="E1545" s="14">
        <f>IFERROR(__xludf.DUMMYFUNCTION("GOOGLEFINANCE(B1545,""Volume"")"),12843.0)</f>
        <v>12843</v>
      </c>
      <c r="F1545" s="14">
        <f t="array" ref="F1545">F1544</f>
        <v>14</v>
      </c>
      <c r="G1545" s="15" t="str">
        <f>IFERROR(__xludf.DUMMYFUNCTION("IF(E1545&gt;AVERAGE(INDEX(GOOGLEFINANCE(B1545,""volume"",WORKDAY(TODAY(),-$F$1),TODAY()),,2)),""Breakout"","""")"),"")</f>
        <v/>
      </c>
      <c r="H1545" s="16">
        <f>IFERROR(__xludf.DUMMYFUNCTION("GOOGLEFINANCE(B1545,""price"")"),209.08)</f>
        <v>209.08</v>
      </c>
      <c r="I1545" s="17" t="str">
        <f>IFERROR(__xludf.DUMMYFUNCTION("AVERAGE(QUERY(SORT(GOOGLEFINANCE(B1545,""price"",TODAY()-365,TODAY()),1,0),""select Col2 limit 10""))"),"#N/A")</f>
        <v>#N/A</v>
      </c>
      <c r="J1545" s="17" t="str">
        <f>IFERROR(__xludf.DUMMYFUNCTION("AVERAGE(QUERY(SORT(GOOGLEFINANCE(B1545,""price"",TODAY()-365,TODAY()),1,0),""select Col2 limit 30""))"),"#N/A")</f>
        <v>#N/A</v>
      </c>
      <c r="K1545" s="18" t="str">
        <f>IFERROR(__xludf.DUMMYFUNCTION("AVERAGE(QUERY(SORT(GOOGLEFINANCE(B1545,""price"",TODAY()-365,TODAY()),1,0),""select Col2 limit 60""))"),"#N/A")</f>
        <v>#N/A</v>
      </c>
      <c r="L1545" s="17" t="str">
        <f>IFERROR(__xludf.DUMMYFUNCTION("AVERAGE(QUERY(SORT(GOOGLEFINANCE(B1545,""price"",TODAY()-365,TODAY()),1,0),""select Col2 limit 90""))"),"#N/A")</f>
        <v>#N/A</v>
      </c>
      <c r="M1545" s="17" t="str">
        <f>IFERROR(__xludf.DUMMYFUNCTION("AVERAGE(QUERY(SORT(GOOGLEFINANCE(B1545,""price"",TODAY()-365,TODAY()),1,0),""select Col2 limit 120""))"),"#N/A")</f>
        <v>#N/A</v>
      </c>
      <c r="N1545" s="19" t="str">
        <f>IFERROR(__xludf.DUMMYFUNCTION("AVERAGE(QUERY(SORT(GOOGLEFINANCE(B1545,""price"",TODAY()-365,TODAY()),1,0),""select Col2 limit 200""))"),"#N/A")</f>
        <v>#N/A</v>
      </c>
      <c r="O1545" s="20" t="str">
        <f t="shared" si="2"/>
        <v>#N/A</v>
      </c>
      <c r="P1545" s="21" t="str">
        <f t="shared" si="3"/>
        <v>#N/A</v>
      </c>
      <c r="Q1545" s="21" t="str">
        <f t="shared" si="4"/>
        <v>#N/A</v>
      </c>
      <c r="R1545" s="22">
        <f>IFERROR(__xludf.DUMMYFUNCTION("GOOGLEFINANCE(B1545, ""pe"")
"),25.91)</f>
        <v>25.91</v>
      </c>
    </row>
    <row r="1546">
      <c r="A1546" s="9" t="s">
        <v>1554</v>
      </c>
      <c r="B1546" s="11" t="str">
        <f t="shared" si="1"/>
        <v>NSE:HITECHCORP</v>
      </c>
      <c r="C1546" s="12">
        <f>IFERROR(__xludf.DUMMYFUNCTION("GOOGLEFINANCE(B1546,""marketcap"")/10000000"),340.078662)</f>
        <v>340.078662</v>
      </c>
      <c r="D1546" s="13">
        <f>IFERROR(__xludf.DUMMYFUNCTION("GOOGLEFINANCE(B1546,""price"")"),198.0)</f>
        <v>198</v>
      </c>
      <c r="E1546" s="14">
        <f>IFERROR(__xludf.DUMMYFUNCTION("GOOGLEFINANCE(B1546,""Volume"")"),779.0)</f>
        <v>779</v>
      </c>
      <c r="F1546" s="14">
        <f t="array" ref="F1546">F1545</f>
        <v>14</v>
      </c>
      <c r="G1546" s="15" t="str">
        <f>IFERROR(__xludf.DUMMYFUNCTION("IF(E1546&gt;AVERAGE(INDEX(GOOGLEFINANCE(B1546,""volume"",WORKDAY(TODAY(),-$F$1),TODAY()),,2)),""Breakout"","""")"),"")</f>
        <v/>
      </c>
      <c r="H1546" s="16">
        <f>IFERROR(__xludf.DUMMYFUNCTION("GOOGLEFINANCE(B1546,""price"")"),198.0)</f>
        <v>198</v>
      </c>
      <c r="I1546" s="17">
        <f>IFERROR(__xludf.DUMMYFUNCTION("AVERAGE(QUERY(SORT(GOOGLEFINANCE(B1546,""price"",TODAY()-365,TODAY()),1,0),""select Col2 limit 10""))"),206.151)</f>
        <v>206.151</v>
      </c>
      <c r="J1546" s="17">
        <f>IFERROR(__xludf.DUMMYFUNCTION("AVERAGE(QUERY(SORT(GOOGLEFINANCE(B1546,""price"",TODAY()-365,TODAY()),1,0),""select Col2 limit 30""))"),199.35166666666666)</f>
        <v>199.3516667</v>
      </c>
      <c r="K1546" s="18">
        <f>IFERROR(__xludf.DUMMYFUNCTION("AVERAGE(QUERY(SORT(GOOGLEFINANCE(B1546,""price"",TODAY()-365,TODAY()),1,0),""select Col2 limit 60""))"),193.20333333333326)</f>
        <v>193.2033333</v>
      </c>
      <c r="L1546" s="17">
        <f>IFERROR(__xludf.DUMMYFUNCTION("AVERAGE(QUERY(SORT(GOOGLEFINANCE(B1546,""price"",TODAY()-365,TODAY()),1,0),""select Col2 limit 90""))"),191.65466666666666)</f>
        <v>191.6546667</v>
      </c>
      <c r="M1546" s="17">
        <f>IFERROR(__xludf.DUMMYFUNCTION("AVERAGE(QUERY(SORT(GOOGLEFINANCE(B1546,""price"",TODAY()-365,TODAY()),1,0),""select Col2 limit 120""))"),191.5390833333334)</f>
        <v>191.5390833</v>
      </c>
      <c r="N1546" s="19">
        <f>IFERROR(__xludf.DUMMYFUNCTION("AVERAGE(QUERY(SORT(GOOGLEFINANCE(B1546,""price"",TODAY()-365,TODAY()),1,0),""select Col2 limit 200""))"),216.51874999999995)</f>
        <v>216.51875</v>
      </c>
      <c r="O1546" s="20" t="str">
        <f t="shared" si="2"/>
        <v>Avoid</v>
      </c>
      <c r="P1546" s="21" t="str">
        <f t="shared" si="3"/>
        <v>30 DMA</v>
      </c>
      <c r="Q1546" s="21" t="str">
        <f t="shared" si="4"/>
        <v/>
      </c>
      <c r="R1546" s="22">
        <f>IFERROR(__xludf.DUMMYFUNCTION("GOOGLEFINANCE(B1546, ""pe"")
"),38.05)</f>
        <v>38.05</v>
      </c>
    </row>
    <row r="1547">
      <c r="A1547" s="9" t="s">
        <v>1555</v>
      </c>
      <c r="B1547" s="11" t="str">
        <f t="shared" si="1"/>
        <v>NSE:MKPL</v>
      </c>
      <c r="C1547" s="12">
        <f>IFERROR(__xludf.DUMMYFUNCTION("GOOGLEFINANCE(B1547,""marketcap"")/10000000"),263.5121265)</f>
        <v>263.5121265</v>
      </c>
      <c r="D1547" s="13">
        <f>IFERROR(__xludf.DUMMYFUNCTION("GOOGLEFINANCE(B1547,""price"")"),7.06)</f>
        <v>7.06</v>
      </c>
      <c r="E1547" s="14">
        <f>IFERROR(__xludf.DUMMYFUNCTION("GOOGLEFINANCE(B1547,""Volume"")"),30853.0)</f>
        <v>30853</v>
      </c>
      <c r="F1547" s="14">
        <f t="array" ref="F1547">F1546</f>
        <v>14</v>
      </c>
      <c r="G1547" s="15" t="str">
        <f>IFERROR(__xludf.DUMMYFUNCTION("IF(E1547&gt;AVERAGE(INDEX(GOOGLEFINANCE(B1547,""volume"",WORKDAY(TODAY(),-$F$1),TODAY()),,2)),""Breakout"","""")"),"#N/A")</f>
        <v>#N/A</v>
      </c>
      <c r="H1547" s="16">
        <f>IFERROR(__xludf.DUMMYFUNCTION("GOOGLEFINANCE(B1547,""price"")"),7.06)</f>
        <v>7.06</v>
      </c>
      <c r="I1547" s="17">
        <f>IFERROR(__xludf.DUMMYFUNCTION("AVERAGE(QUERY(SORT(GOOGLEFINANCE(B1547,""price"",TODAY()-365,TODAY()),1,0),""select Col2 limit 10""))"),7.194000000000001)</f>
        <v>7.194</v>
      </c>
      <c r="J1547" s="17">
        <f>IFERROR(__xludf.DUMMYFUNCTION("AVERAGE(QUERY(SORT(GOOGLEFINANCE(B1547,""price"",TODAY()-365,TODAY()),1,0),""select Col2 limit 30""))"),7.497333333333333)</f>
        <v>7.497333333</v>
      </c>
      <c r="K1547" s="18">
        <f>IFERROR(__xludf.DUMMYFUNCTION("AVERAGE(QUERY(SORT(GOOGLEFINANCE(B1547,""price"",TODAY()-365,TODAY()),1,0),""select Col2 limit 60""))"),7.214333333333334)</f>
        <v>7.214333333</v>
      </c>
      <c r="L1547" s="17">
        <f>IFERROR(__xludf.DUMMYFUNCTION("AVERAGE(QUERY(SORT(GOOGLEFINANCE(B1547,""price"",TODAY()-365,TODAY()),1,0),""select Col2 limit 90""))"),7.002000000000002)</f>
        <v>7.002</v>
      </c>
      <c r="M1547" s="17">
        <f>IFERROR(__xludf.DUMMYFUNCTION("AVERAGE(QUERY(SORT(GOOGLEFINANCE(B1547,""price"",TODAY()-365,TODAY()),1,0),""select Col2 limit 120""))"),7.032250000000002)</f>
        <v>7.03225</v>
      </c>
      <c r="N1547" s="19">
        <f>IFERROR(__xludf.DUMMYFUNCTION("AVERAGE(QUERY(SORT(GOOGLEFINANCE(B1547,""price"",TODAY()-365,TODAY()),1,0),""select Col2 limit 200""))"),7.568600000000001)</f>
        <v>7.5686</v>
      </c>
      <c r="O1547" s="20" t="str">
        <f t="shared" si="2"/>
        <v>Avoid</v>
      </c>
      <c r="P1547" s="21" t="str">
        <f t="shared" si="3"/>
        <v/>
      </c>
      <c r="Q1547" s="21" t="str">
        <f t="shared" si="4"/>
        <v/>
      </c>
      <c r="R1547" s="22">
        <f>IFERROR(__xludf.DUMMYFUNCTION("GOOGLEFINANCE(B1547, ""pe"")
"),31.95)</f>
        <v>31.95</v>
      </c>
    </row>
    <row r="1548">
      <c r="A1548" s="9" t="s">
        <v>1556</v>
      </c>
      <c r="B1548" s="11" t="str">
        <f t="shared" si="1"/>
        <v>NSE:PRITIKAUTO</v>
      </c>
      <c r="C1548" s="12">
        <f>IFERROR(__xludf.DUMMYFUNCTION("GOOGLEFINANCE(B1548,""marketcap"")/10000000"),294.5607982)</f>
        <v>294.5607982</v>
      </c>
      <c r="D1548" s="13">
        <f>IFERROR(__xludf.DUMMYFUNCTION("GOOGLEFINANCE(B1548,""price"")"),17.87)</f>
        <v>17.87</v>
      </c>
      <c r="E1548" s="14">
        <f>IFERROR(__xludf.DUMMYFUNCTION("GOOGLEFINANCE(B1548,""Volume"")"),36069.0)</f>
        <v>36069</v>
      </c>
      <c r="F1548" s="14">
        <f t="array" ref="F1548">F1547</f>
        <v>14</v>
      </c>
      <c r="G1548" s="15" t="str">
        <f>IFERROR(__xludf.DUMMYFUNCTION("IF(E1548&gt;AVERAGE(INDEX(GOOGLEFINANCE(B1548,""volume"",WORKDAY(TODAY(),-$F$1),TODAY()),,2)),""Breakout"","""")"),"")</f>
        <v/>
      </c>
      <c r="H1548" s="16">
        <f>IFERROR(__xludf.DUMMYFUNCTION("GOOGLEFINANCE(B1548,""price"")"),17.87)</f>
        <v>17.87</v>
      </c>
      <c r="I1548" s="17">
        <f>IFERROR(__xludf.DUMMYFUNCTION("AVERAGE(QUERY(SORT(GOOGLEFINANCE(B1548,""price"",TODAY()-365,TODAY()),1,0),""select Col2 limit 10""))"),18.823999999999998)</f>
        <v>18.824</v>
      </c>
      <c r="J1548" s="17">
        <f>IFERROR(__xludf.DUMMYFUNCTION("AVERAGE(QUERY(SORT(GOOGLEFINANCE(B1548,""price"",TODAY()-365,TODAY()),1,0),""select Col2 limit 30""))"),18.608666666666668)</f>
        <v>18.60866667</v>
      </c>
      <c r="K1548" s="18">
        <f>IFERROR(__xludf.DUMMYFUNCTION("AVERAGE(QUERY(SORT(GOOGLEFINANCE(B1548,""price"",TODAY()-365,TODAY()),1,0),""select Col2 limit 60""))"),18.079666666666675)</f>
        <v>18.07966667</v>
      </c>
      <c r="L1548" s="17">
        <f>IFERROR(__xludf.DUMMYFUNCTION("AVERAGE(QUERY(SORT(GOOGLEFINANCE(B1548,""price"",TODAY()-365,TODAY()),1,0),""select Col2 limit 90""))"),17.563000000000002)</f>
        <v>17.563</v>
      </c>
      <c r="M1548" s="17">
        <f>IFERROR(__xludf.DUMMYFUNCTION("AVERAGE(QUERY(SORT(GOOGLEFINANCE(B1548,""price"",TODAY()-365,TODAY()),1,0),""select Col2 limit 120""))"),18.1265)</f>
        <v>18.1265</v>
      </c>
      <c r="N1548" s="19">
        <f>IFERROR(__xludf.DUMMYFUNCTION("AVERAGE(QUERY(SORT(GOOGLEFINANCE(B1548,""price"",TODAY()-365,TODAY()),1,0),""select Col2 limit 200""))"),20.864199999999997)</f>
        <v>20.8642</v>
      </c>
      <c r="O1548" s="20" t="str">
        <f t="shared" si="2"/>
        <v>Avoid</v>
      </c>
      <c r="P1548" s="21" t="str">
        <f t="shared" si="3"/>
        <v/>
      </c>
      <c r="Q1548" s="21" t="str">
        <f t="shared" si="4"/>
        <v/>
      </c>
      <c r="R1548" s="22">
        <f>IFERROR(__xludf.DUMMYFUNCTION("GOOGLEFINANCE(B1548, ""pe"")
"),17.29)</f>
        <v>17.29</v>
      </c>
    </row>
    <row r="1549">
      <c r="A1549" s="9" t="s">
        <v>1557</v>
      </c>
      <c r="B1549" s="11" t="str">
        <f t="shared" si="1"/>
        <v>NSE:UNIVPHOTO</v>
      </c>
      <c r="C1549" s="12">
        <f>IFERROR(__xludf.DUMMYFUNCTION("GOOGLEFINANCE(B1549,""marketcap"")/10000000"),287.89558)</f>
        <v>287.89558</v>
      </c>
      <c r="D1549" s="13">
        <f>IFERROR(__xludf.DUMMYFUNCTION("GOOGLEFINANCE(B1549,""price"")"),263.0)</f>
        <v>263</v>
      </c>
      <c r="E1549" s="14">
        <f>IFERROR(__xludf.DUMMYFUNCTION("GOOGLEFINANCE(B1549,""Volume"")"),98.0)</f>
        <v>98</v>
      </c>
      <c r="F1549" s="14">
        <f t="array" ref="F1549">F1548</f>
        <v>14</v>
      </c>
      <c r="G1549" s="15" t="str">
        <f>IFERROR(__xludf.DUMMYFUNCTION("IF(E1549&gt;AVERAGE(INDEX(GOOGLEFINANCE(B1549,""volume"",WORKDAY(TODAY(),-$F$1),TODAY()),,2)),""Breakout"","""")"),"")</f>
        <v/>
      </c>
      <c r="H1549" s="16">
        <f>IFERROR(__xludf.DUMMYFUNCTION("GOOGLEFINANCE(B1549,""price"")"),263.0)</f>
        <v>263</v>
      </c>
      <c r="I1549" s="17">
        <f>IFERROR(__xludf.DUMMYFUNCTION("AVERAGE(QUERY(SORT(GOOGLEFINANCE(B1549,""price"",TODAY()-365,TODAY()),1,0),""select Col2 limit 10""))"),275.783)</f>
        <v>275.783</v>
      </c>
      <c r="J1549" s="17">
        <f>IFERROR(__xludf.DUMMYFUNCTION("AVERAGE(QUERY(SORT(GOOGLEFINANCE(B1549,""price"",TODAY()-365,TODAY()),1,0),""select Col2 limit 30""))"),265.98066666666665)</f>
        <v>265.9806667</v>
      </c>
      <c r="K1549" s="18">
        <f>IFERROR(__xludf.DUMMYFUNCTION("AVERAGE(QUERY(SORT(GOOGLEFINANCE(B1549,""price"",TODAY()-365,TODAY()),1,0),""select Col2 limit 60""))"),248.34566666666663)</f>
        <v>248.3456667</v>
      </c>
      <c r="L1549" s="17">
        <f>IFERROR(__xludf.DUMMYFUNCTION("AVERAGE(QUERY(SORT(GOOGLEFINANCE(B1549,""price"",TODAY()-365,TODAY()),1,0),""select Col2 limit 90""))"),229.7191111111111)</f>
        <v>229.7191111</v>
      </c>
      <c r="M1549" s="17">
        <f>IFERROR(__xludf.DUMMYFUNCTION("AVERAGE(QUERY(SORT(GOOGLEFINANCE(B1549,""price"",TODAY()-365,TODAY()),1,0),""select Col2 limit 120""))"),220.9030833333333)</f>
        <v>220.9030833</v>
      </c>
      <c r="N1549" s="19">
        <f>IFERROR(__xludf.DUMMYFUNCTION("AVERAGE(QUERY(SORT(GOOGLEFINANCE(B1549,""price"",TODAY()-365,TODAY()),1,0),""select Col2 limit 200""))"),261.1076000000001)</f>
        <v>261.1076</v>
      </c>
      <c r="O1549" s="20" t="str">
        <f t="shared" si="2"/>
        <v>Avoid</v>
      </c>
      <c r="P1549" s="21" t="str">
        <f t="shared" si="3"/>
        <v/>
      </c>
      <c r="Q1549" s="21" t="str">
        <f t="shared" si="4"/>
        <v/>
      </c>
      <c r="R1549" s="22">
        <f>IFERROR(__xludf.DUMMYFUNCTION("GOOGLEFINANCE(B1549, ""pe"")
"),3.31)</f>
        <v>3.31</v>
      </c>
    </row>
    <row r="1550">
      <c r="A1550" s="9" t="s">
        <v>1558</v>
      </c>
      <c r="B1550" s="11" t="str">
        <f t="shared" si="1"/>
        <v>NSE:USK</v>
      </c>
      <c r="C1550" s="12">
        <f>IFERROR(__xludf.DUMMYFUNCTION("GOOGLEFINANCE(B1550,""marketcap"")/10000000"),194.3589219)</f>
        <v>194.3589219</v>
      </c>
      <c r="D1550" s="13">
        <f>IFERROR(__xludf.DUMMYFUNCTION("GOOGLEFINANCE(B1550,""price"")"),35.26)</f>
        <v>35.26</v>
      </c>
      <c r="E1550" s="14">
        <f>IFERROR(__xludf.DUMMYFUNCTION("GOOGLEFINANCE(B1550,""Volume"")"),26226.0)</f>
        <v>26226</v>
      </c>
      <c r="F1550" s="14">
        <f t="array" ref="F1550">F1549</f>
        <v>14</v>
      </c>
      <c r="G1550" s="15" t="str">
        <f>IFERROR(__xludf.DUMMYFUNCTION("IF(E1550&gt;AVERAGE(INDEX(GOOGLEFINANCE(B1550,""volume"",WORKDAY(TODAY(),-$F$1),TODAY()),,2)),""Breakout"","""")"),"")</f>
        <v/>
      </c>
      <c r="H1550" s="16">
        <f>IFERROR(__xludf.DUMMYFUNCTION("GOOGLEFINANCE(B1550,""price"")"),35.26)</f>
        <v>35.26</v>
      </c>
      <c r="I1550" s="17">
        <f>IFERROR(__xludf.DUMMYFUNCTION("AVERAGE(QUERY(SORT(GOOGLEFINANCE(B1550,""price"",TODAY()-365,TODAY()),1,0),""select Col2 limit 10""))"),36.160999999999994)</f>
        <v>36.161</v>
      </c>
      <c r="J1550" s="17">
        <f>IFERROR(__xludf.DUMMYFUNCTION("AVERAGE(QUERY(SORT(GOOGLEFINANCE(B1550,""price"",TODAY()-365,TODAY()),1,0),""select Col2 limit 30""))"),37.12)</f>
        <v>37.12</v>
      </c>
      <c r="K1550" s="18">
        <f>IFERROR(__xludf.DUMMYFUNCTION("AVERAGE(QUERY(SORT(GOOGLEFINANCE(B1550,""price"",TODAY()-365,TODAY()),1,0),""select Col2 limit 60""))"),37.796833333333325)</f>
        <v>37.79683333</v>
      </c>
      <c r="L1550" s="17">
        <f>IFERROR(__xludf.DUMMYFUNCTION("AVERAGE(QUERY(SORT(GOOGLEFINANCE(B1550,""price"",TODAY()-365,TODAY()),1,0),""select Col2 limit 90""))"),38.17266666666666)</f>
        <v>38.17266667</v>
      </c>
      <c r="M1550" s="17">
        <f>IFERROR(__xludf.DUMMYFUNCTION("AVERAGE(QUERY(SORT(GOOGLEFINANCE(B1550,""price"",TODAY()-365,TODAY()),1,0),""select Col2 limit 120""))"),39.62741666666667)</f>
        <v>39.62741667</v>
      </c>
      <c r="N1550" s="19">
        <f>IFERROR(__xludf.DUMMYFUNCTION("AVERAGE(QUERY(SORT(GOOGLEFINANCE(B1550,""price"",TODAY()-365,TODAY()),1,0),""select Col2 limit 200""))"),44.616249999999994)</f>
        <v>44.61625</v>
      </c>
      <c r="O1550" s="20" t="str">
        <f t="shared" si="2"/>
        <v>Avoid</v>
      </c>
      <c r="P1550" s="21" t="str">
        <f t="shared" si="3"/>
        <v/>
      </c>
      <c r="Q1550" s="21" t="str">
        <f t="shared" si="4"/>
        <v/>
      </c>
      <c r="R1550" s="22" t="str">
        <f>IFERROR(__xludf.DUMMYFUNCTION("GOOGLEFINANCE(B1550, ""pe"")
"),"#N/A")</f>
        <v>#N/A</v>
      </c>
    </row>
    <row r="1551">
      <c r="A1551" s="9" t="s">
        <v>1559</v>
      </c>
      <c r="B1551" s="11" t="str">
        <f t="shared" si="1"/>
        <v>NSE:SHREYANIND</v>
      </c>
      <c r="C1551" s="12">
        <f>IFERROR(__xludf.DUMMYFUNCTION("GOOGLEFINANCE(B1551,""marketcap"")/10000000"),324.1225742)</f>
        <v>324.1225742</v>
      </c>
      <c r="D1551" s="13">
        <f>IFERROR(__xludf.DUMMYFUNCTION("GOOGLEFINANCE(B1551,""price"")"),237.0)</f>
        <v>237</v>
      </c>
      <c r="E1551" s="14">
        <f>IFERROR(__xludf.DUMMYFUNCTION("GOOGLEFINANCE(B1551,""Volume"")"),1744.0)</f>
        <v>1744</v>
      </c>
      <c r="F1551" s="14">
        <f t="array" ref="F1551">F1550</f>
        <v>14</v>
      </c>
      <c r="G1551" s="15" t="str">
        <f>IFERROR(__xludf.DUMMYFUNCTION("IF(E1551&gt;AVERAGE(INDEX(GOOGLEFINANCE(B1551,""volume"",WORKDAY(TODAY(),-$F$1),TODAY()),,2)),""Breakout"","""")"),"")</f>
        <v/>
      </c>
      <c r="H1551" s="16">
        <f>IFERROR(__xludf.DUMMYFUNCTION("GOOGLEFINANCE(B1551,""price"")"),237.0)</f>
        <v>237</v>
      </c>
      <c r="I1551" s="17">
        <f>IFERROR(__xludf.DUMMYFUNCTION("AVERAGE(QUERY(SORT(GOOGLEFINANCE(B1551,""price"",TODAY()-365,TODAY()),1,0),""select Col2 limit 10""))"),235.977)</f>
        <v>235.977</v>
      </c>
      <c r="J1551" s="17">
        <f>IFERROR(__xludf.DUMMYFUNCTION("AVERAGE(QUERY(SORT(GOOGLEFINANCE(B1551,""price"",TODAY()-365,TODAY()),1,0),""select Col2 limit 30""))"),231.63733333333337)</f>
        <v>231.6373333</v>
      </c>
      <c r="K1551" s="18">
        <f>IFERROR(__xludf.DUMMYFUNCTION("AVERAGE(QUERY(SORT(GOOGLEFINANCE(B1551,""price"",TODAY()-365,TODAY()),1,0),""select Col2 limit 60""))"),217.97666666666666)</f>
        <v>217.9766667</v>
      </c>
      <c r="L1551" s="17">
        <f>IFERROR(__xludf.DUMMYFUNCTION("AVERAGE(QUERY(SORT(GOOGLEFINANCE(B1551,""price"",TODAY()-365,TODAY()),1,0),""select Col2 limit 90""))"),204.93377777777778)</f>
        <v>204.9337778</v>
      </c>
      <c r="M1551" s="17">
        <f>IFERROR(__xludf.DUMMYFUNCTION("AVERAGE(QUERY(SORT(GOOGLEFINANCE(B1551,""price"",TODAY()-365,TODAY()),1,0),""select Col2 limit 120""))"),201.06916666666663)</f>
        <v>201.0691667</v>
      </c>
      <c r="N1551" s="19">
        <f>IFERROR(__xludf.DUMMYFUNCTION("AVERAGE(QUERY(SORT(GOOGLEFINANCE(B1551,""price"",TODAY()-365,TODAY()),1,0),""select Col2 limit 200""))"),215.76430000000008)</f>
        <v>215.7643</v>
      </c>
      <c r="O1551" s="20" t="str">
        <f t="shared" si="2"/>
        <v>Avoid</v>
      </c>
      <c r="P1551" s="21" t="str">
        <f t="shared" si="3"/>
        <v/>
      </c>
      <c r="Q1551" s="21" t="str">
        <f t="shared" si="4"/>
        <v/>
      </c>
      <c r="R1551" s="22">
        <f>IFERROR(__xludf.DUMMYFUNCTION("GOOGLEFINANCE(B1551, ""pe"")
"),6.47)</f>
        <v>6.47</v>
      </c>
    </row>
    <row r="1552">
      <c r="A1552" s="9" t="s">
        <v>1560</v>
      </c>
      <c r="B1552" s="11" t="str">
        <f t="shared" si="1"/>
        <v>NSE:MAHEPC</v>
      </c>
      <c r="C1552" s="12">
        <f>IFERROR(__xludf.DUMMYFUNCTION("GOOGLEFINANCE(B1552,""marketcap"")/10000000"),407.959916)</f>
        <v>407.959916</v>
      </c>
      <c r="D1552" s="13">
        <f>IFERROR(__xludf.DUMMYFUNCTION("GOOGLEFINANCE(B1552,""price"")"),146.0)</f>
        <v>146</v>
      </c>
      <c r="E1552" s="14">
        <f>IFERROR(__xludf.DUMMYFUNCTION("GOOGLEFINANCE(B1552,""Volume"")"),17152.0)</f>
        <v>17152</v>
      </c>
      <c r="F1552" s="14">
        <f t="array" ref="F1552">F1551</f>
        <v>14</v>
      </c>
      <c r="G1552" s="15" t="str">
        <f>IFERROR(__xludf.DUMMYFUNCTION("IF(E1552&gt;AVERAGE(INDEX(GOOGLEFINANCE(B1552,""volume"",WORKDAY(TODAY(),-$F$1),TODAY()),,2)),""Breakout"","""")"),"")</f>
        <v/>
      </c>
      <c r="H1552" s="16">
        <f>IFERROR(__xludf.DUMMYFUNCTION("GOOGLEFINANCE(B1552,""price"")"),146.0)</f>
        <v>146</v>
      </c>
      <c r="I1552" s="17">
        <f>IFERROR(__xludf.DUMMYFUNCTION("AVERAGE(QUERY(SORT(GOOGLEFINANCE(B1552,""price"",TODAY()-365,TODAY()),1,0),""select Col2 limit 10""))"),148.804)</f>
        <v>148.804</v>
      </c>
      <c r="J1552" s="17">
        <f>IFERROR(__xludf.DUMMYFUNCTION("AVERAGE(QUERY(SORT(GOOGLEFINANCE(B1552,""price"",TODAY()-365,TODAY()),1,0),""select Col2 limit 30""))"),144.49699999999999)</f>
        <v>144.497</v>
      </c>
      <c r="K1552" s="18">
        <f>IFERROR(__xludf.DUMMYFUNCTION("AVERAGE(QUERY(SORT(GOOGLEFINANCE(B1552,""price"",TODAY()-365,TODAY()),1,0),""select Col2 limit 60""))"),143.1183333333333)</f>
        <v>143.1183333</v>
      </c>
      <c r="L1552" s="17">
        <f>IFERROR(__xludf.DUMMYFUNCTION("AVERAGE(QUERY(SORT(GOOGLEFINANCE(B1552,""price"",TODAY()-365,TODAY()),1,0),""select Col2 limit 90""))"),138.44855555555552)</f>
        <v>138.4485556</v>
      </c>
      <c r="M1552" s="17">
        <f>IFERROR(__xludf.DUMMYFUNCTION("AVERAGE(QUERY(SORT(GOOGLEFINANCE(B1552,""price"",TODAY()-365,TODAY()),1,0),""select Col2 limit 120""))"),134.8274166666666)</f>
        <v>134.8274167</v>
      </c>
      <c r="N1552" s="19">
        <f>IFERROR(__xludf.DUMMYFUNCTION("AVERAGE(QUERY(SORT(GOOGLEFINANCE(B1552,""price"",TODAY()-365,TODAY()),1,0),""select Col2 limit 200""))"),128.80129999999994)</f>
        <v>128.8013</v>
      </c>
      <c r="O1552" s="20" t="str">
        <f t="shared" si="2"/>
        <v>Avoid</v>
      </c>
      <c r="P1552" s="21" t="str">
        <f t="shared" si="3"/>
        <v/>
      </c>
      <c r="Q1552" s="21" t="str">
        <f t="shared" si="4"/>
        <v/>
      </c>
      <c r="R1552" s="22">
        <f>IFERROR(__xludf.DUMMYFUNCTION("GOOGLEFINANCE(B1552, ""pe"")
"),37.08)</f>
        <v>37.08</v>
      </c>
    </row>
    <row r="1553">
      <c r="A1553" s="9" t="s">
        <v>1561</v>
      </c>
      <c r="B1553" s="11" t="str">
        <f t="shared" si="1"/>
        <v>NSE:AFIL</v>
      </c>
      <c r="C1553" s="12">
        <f>IFERROR(__xludf.DUMMYFUNCTION("GOOGLEFINANCE(B1553,""marketcap"")/10000000"),305.5529218)</f>
        <v>305.5529218</v>
      </c>
      <c r="D1553" s="13">
        <f>IFERROR(__xludf.DUMMYFUNCTION("GOOGLEFINANCE(B1553,""price"")"),7.12)</f>
        <v>7.12</v>
      </c>
      <c r="E1553" s="14">
        <f>IFERROR(__xludf.DUMMYFUNCTION("GOOGLEFINANCE(B1553,""Volume"")"),398335.0)</f>
        <v>398335</v>
      </c>
      <c r="F1553" s="14">
        <f t="array" ref="F1553">F1552</f>
        <v>14</v>
      </c>
      <c r="G1553" s="15" t="str">
        <f>IFERROR(__xludf.DUMMYFUNCTION("IF(E1553&gt;AVERAGE(INDEX(GOOGLEFINANCE(B1553,""volume"",WORKDAY(TODAY(),-$F$1),TODAY()),,2)),""Breakout"","""")"),"")</f>
        <v/>
      </c>
      <c r="H1553" s="16">
        <f>IFERROR(__xludf.DUMMYFUNCTION("GOOGLEFINANCE(B1553,""price"")"),7.12)</f>
        <v>7.12</v>
      </c>
      <c r="I1553" s="17">
        <f>IFERROR(__xludf.DUMMYFUNCTION("AVERAGE(QUERY(SORT(GOOGLEFINANCE(B1553,""price"",TODAY()-365,TODAY()),1,0),""select Col2 limit 10""))"),7.4220000000000015)</f>
        <v>7.422</v>
      </c>
      <c r="J1553" s="17">
        <f>IFERROR(__xludf.DUMMYFUNCTION("AVERAGE(QUERY(SORT(GOOGLEFINANCE(B1553,""price"",TODAY()-365,TODAY()),1,0),""select Col2 limit 30""))"),7.555333333333334)</f>
        <v>7.555333333</v>
      </c>
      <c r="K1553" s="18">
        <f>IFERROR(__xludf.DUMMYFUNCTION("AVERAGE(QUERY(SORT(GOOGLEFINANCE(B1553,""price"",TODAY()-365,TODAY()),1,0),""select Col2 limit 60""))"),7.557833333333333)</f>
        <v>7.557833333</v>
      </c>
      <c r="L1553" s="17">
        <f>IFERROR(__xludf.DUMMYFUNCTION("AVERAGE(QUERY(SORT(GOOGLEFINANCE(B1553,""price"",TODAY()-365,TODAY()),1,0),""select Col2 limit 90""))"),7.529333333333331)</f>
        <v>7.529333333</v>
      </c>
      <c r="M1553" s="17">
        <f>IFERROR(__xludf.DUMMYFUNCTION("AVERAGE(QUERY(SORT(GOOGLEFINANCE(B1553,""price"",TODAY()-365,TODAY()),1,0),""select Col2 limit 120""))"),7.544083333333333)</f>
        <v>7.544083333</v>
      </c>
      <c r="N1553" s="19">
        <f>IFERROR(__xludf.DUMMYFUNCTION("AVERAGE(QUERY(SORT(GOOGLEFINANCE(B1553,""price"",TODAY()-365,TODAY()),1,0),""select Col2 limit 200""))"),8.204300000000007)</f>
        <v>8.2043</v>
      </c>
      <c r="O1553" s="20" t="str">
        <f t="shared" si="2"/>
        <v>Avoid</v>
      </c>
      <c r="P1553" s="21" t="str">
        <f t="shared" si="3"/>
        <v/>
      </c>
      <c r="Q1553" s="21" t="str">
        <f t="shared" si="4"/>
        <v/>
      </c>
      <c r="R1553" s="22">
        <f>IFERROR(__xludf.DUMMYFUNCTION("GOOGLEFINANCE(B1553, ""pe"")
"),8.65)</f>
        <v>8.65</v>
      </c>
    </row>
    <row r="1554">
      <c r="A1554" s="9" t="s">
        <v>1562</v>
      </c>
      <c r="B1554" s="11" t="str">
        <f t="shared" si="1"/>
        <v>NSE:TRIGYN</v>
      </c>
      <c r="C1554" s="12">
        <f>IFERROR(__xludf.DUMMYFUNCTION("GOOGLEFINANCE(B1554,""marketcap"")/10000000"),248.0098333)</f>
        <v>248.0098333</v>
      </c>
      <c r="D1554" s="13">
        <f>IFERROR(__xludf.DUMMYFUNCTION("GOOGLEFINANCE(B1554,""price"")"),80.56)</f>
        <v>80.56</v>
      </c>
      <c r="E1554" s="14">
        <f>IFERROR(__xludf.DUMMYFUNCTION("GOOGLEFINANCE(B1554,""Volume"")"),12373.0)</f>
        <v>12373</v>
      </c>
      <c r="F1554" s="14">
        <f t="array" ref="F1554">F1553</f>
        <v>14</v>
      </c>
      <c r="G1554" s="15" t="str">
        <f>IFERROR(__xludf.DUMMYFUNCTION("IF(E1554&gt;AVERAGE(INDEX(GOOGLEFINANCE(B1554,""volume"",WORKDAY(TODAY(),-$F$1),TODAY()),,2)),""Breakout"","""")"),"")</f>
        <v/>
      </c>
      <c r="H1554" s="16">
        <f>IFERROR(__xludf.DUMMYFUNCTION("GOOGLEFINANCE(B1554,""price"")"),80.56)</f>
        <v>80.56</v>
      </c>
      <c r="I1554" s="17">
        <f>IFERROR(__xludf.DUMMYFUNCTION("AVERAGE(QUERY(SORT(GOOGLEFINANCE(B1554,""price"",TODAY()-365,TODAY()),1,0),""select Col2 limit 10""))"),82.568)</f>
        <v>82.568</v>
      </c>
      <c r="J1554" s="17">
        <f>IFERROR(__xludf.DUMMYFUNCTION("AVERAGE(QUERY(SORT(GOOGLEFINANCE(B1554,""price"",TODAY()-365,TODAY()),1,0),""select Col2 limit 30""))"),83.1736666666667)</f>
        <v>83.17366667</v>
      </c>
      <c r="K1554" s="18">
        <f>IFERROR(__xludf.DUMMYFUNCTION("AVERAGE(QUERY(SORT(GOOGLEFINANCE(B1554,""price"",TODAY()-365,TODAY()),1,0),""select Col2 limit 60""))"),82.33066666666667)</f>
        <v>82.33066667</v>
      </c>
      <c r="L1554" s="17">
        <f>IFERROR(__xludf.DUMMYFUNCTION("AVERAGE(QUERY(SORT(GOOGLEFINANCE(B1554,""price"",TODAY()-365,TODAY()),1,0),""select Col2 limit 90""))"),79.91244444444442)</f>
        <v>79.91244444</v>
      </c>
      <c r="M1554" s="17">
        <f>IFERROR(__xludf.DUMMYFUNCTION("AVERAGE(QUERY(SORT(GOOGLEFINANCE(B1554,""price"",TODAY()-365,TODAY()),1,0),""select Col2 limit 120""))"),82.368)</f>
        <v>82.368</v>
      </c>
      <c r="N1554" s="19">
        <f>IFERROR(__xludf.DUMMYFUNCTION("AVERAGE(QUERY(SORT(GOOGLEFINANCE(B1554,""price"",TODAY()-365,TODAY()),1,0),""select Col2 limit 200""))"),94.54894999999999)</f>
        <v>94.54895</v>
      </c>
      <c r="O1554" s="20" t="str">
        <f t="shared" si="2"/>
        <v>Avoid</v>
      </c>
      <c r="P1554" s="21" t="str">
        <f t="shared" si="3"/>
        <v/>
      </c>
      <c r="Q1554" s="21" t="str">
        <f t="shared" si="4"/>
        <v/>
      </c>
      <c r="R1554" s="22">
        <f>IFERROR(__xludf.DUMMYFUNCTION("GOOGLEFINANCE(B1554, ""pe"")
"),21.09)</f>
        <v>21.09</v>
      </c>
    </row>
    <row r="1555">
      <c r="A1555" s="9" t="s">
        <v>1563</v>
      </c>
      <c r="B1555" s="11" t="str">
        <f t="shared" si="1"/>
        <v>NSE:ESSENTIA</v>
      </c>
      <c r="C1555" s="12">
        <f>IFERROR(__xludf.DUMMYFUNCTION("GOOGLEFINANCE(B1555,""marketcap"")/10000000"),217.8087559)</f>
        <v>217.8087559</v>
      </c>
      <c r="D1555" s="13">
        <f>IFERROR(__xludf.DUMMYFUNCTION("GOOGLEFINANCE(B1555,""price"")"),2.04)</f>
        <v>2.04</v>
      </c>
      <c r="E1555" s="14">
        <f>IFERROR(__xludf.DUMMYFUNCTION("GOOGLEFINANCE(B1555,""Volume"")"),1279603.0)</f>
        <v>1279603</v>
      </c>
      <c r="F1555" s="14">
        <f t="array" ref="F1555">F1554</f>
        <v>14</v>
      </c>
      <c r="G1555" s="15" t="str">
        <f>IFERROR(__xludf.DUMMYFUNCTION("IF(E1555&gt;AVERAGE(INDEX(GOOGLEFINANCE(B1555,""volume"",WORKDAY(TODAY(),-$F$1),TODAY()),,2)),""Breakout"","""")"),"")</f>
        <v/>
      </c>
      <c r="H1555" s="16">
        <f>IFERROR(__xludf.DUMMYFUNCTION("GOOGLEFINANCE(B1555,""price"")"),2.04)</f>
        <v>2.04</v>
      </c>
      <c r="I1555" s="17">
        <f>IFERROR(__xludf.DUMMYFUNCTION("AVERAGE(QUERY(SORT(GOOGLEFINANCE(B1555,""price"",TODAY()-365,TODAY()),1,0),""select Col2 limit 10""))"),2.125)</f>
        <v>2.125</v>
      </c>
      <c r="J1555" s="17">
        <f>IFERROR(__xludf.DUMMYFUNCTION("AVERAGE(QUERY(SORT(GOOGLEFINANCE(B1555,""price"",TODAY()-365,TODAY()),1,0),""select Col2 limit 30""))"),2.171333333333334)</f>
        <v>2.171333333</v>
      </c>
      <c r="K1555" s="18">
        <f>IFERROR(__xludf.DUMMYFUNCTION("AVERAGE(QUERY(SORT(GOOGLEFINANCE(B1555,""price"",TODAY()-365,TODAY()),1,0),""select Col2 limit 60""))"),2.244166666666667)</f>
        <v>2.244166667</v>
      </c>
      <c r="L1555" s="17">
        <f>IFERROR(__xludf.DUMMYFUNCTION("AVERAGE(QUERY(SORT(GOOGLEFINANCE(B1555,""price"",TODAY()-365,TODAY()),1,0),""select Col2 limit 90""))"),2.270000000000001)</f>
        <v>2.27</v>
      </c>
      <c r="M1555" s="17">
        <f>IFERROR(__xludf.DUMMYFUNCTION("AVERAGE(QUERY(SORT(GOOGLEFINANCE(B1555,""price"",TODAY()-365,TODAY()),1,0),""select Col2 limit 120""))"),2.3841666666666677)</f>
        <v>2.384166667</v>
      </c>
      <c r="N1555" s="19">
        <f>IFERROR(__xludf.DUMMYFUNCTION("AVERAGE(QUERY(SORT(GOOGLEFINANCE(B1555,""price"",TODAY()-365,TODAY()),1,0),""select Col2 limit 200""))"),2.7388500000000016)</f>
        <v>2.73885</v>
      </c>
      <c r="O1555" s="20" t="str">
        <f t="shared" si="2"/>
        <v>Avoid</v>
      </c>
      <c r="P1555" s="21" t="str">
        <f t="shared" si="3"/>
        <v/>
      </c>
      <c r="Q1555" s="21" t="str">
        <f t="shared" si="4"/>
        <v/>
      </c>
      <c r="R1555" s="22">
        <f>IFERROR(__xludf.DUMMYFUNCTION("GOOGLEFINANCE(B1555, ""pe"")
"),50.75)</f>
        <v>50.75</v>
      </c>
    </row>
    <row r="1556">
      <c r="A1556" s="9" t="s">
        <v>1564</v>
      </c>
      <c r="B1556" s="11" t="str">
        <f t="shared" si="1"/>
        <v>NSE:DRCSYSTEMS</v>
      </c>
      <c r="C1556" s="12">
        <f>IFERROR(__xludf.DUMMYFUNCTION("GOOGLEFINANCE(B1556,""marketcap"")/10000000"),247.4681523)</f>
        <v>247.4681523</v>
      </c>
      <c r="D1556" s="13">
        <f>IFERROR(__xludf.DUMMYFUNCTION("GOOGLEFINANCE(B1556,""price"")"),18.51)</f>
        <v>18.51</v>
      </c>
      <c r="E1556" s="14">
        <f>IFERROR(__xludf.DUMMYFUNCTION("GOOGLEFINANCE(B1556,""Volume"")"),76358.0)</f>
        <v>76358</v>
      </c>
      <c r="F1556" s="14">
        <f t="array" ref="F1556">F1555</f>
        <v>14</v>
      </c>
      <c r="G1556" s="15" t="str">
        <f>IFERROR(__xludf.DUMMYFUNCTION("IF(E1556&gt;AVERAGE(INDEX(GOOGLEFINANCE(B1556,""volume"",WORKDAY(TODAY(),-$F$1),TODAY()),,2)),""Breakout"","""")"),"")</f>
        <v/>
      </c>
      <c r="H1556" s="16">
        <f>IFERROR(__xludf.DUMMYFUNCTION("GOOGLEFINANCE(B1556,""price"")"),18.51)</f>
        <v>18.51</v>
      </c>
      <c r="I1556" s="17">
        <f>IFERROR(__xludf.DUMMYFUNCTION("AVERAGE(QUERY(SORT(GOOGLEFINANCE(B1556,""price"",TODAY()-365,TODAY()),1,0),""select Col2 limit 10""))"),18.871999999999996)</f>
        <v>18.872</v>
      </c>
      <c r="J1556" s="17">
        <f>IFERROR(__xludf.DUMMYFUNCTION("AVERAGE(QUERY(SORT(GOOGLEFINANCE(B1556,""price"",TODAY()-365,TODAY()),1,0),""select Col2 limit 30""))"),19.045333333333335)</f>
        <v>19.04533333</v>
      </c>
      <c r="K1556" s="18">
        <f>IFERROR(__xludf.DUMMYFUNCTION("AVERAGE(QUERY(SORT(GOOGLEFINANCE(B1556,""price"",TODAY()-365,TODAY()),1,0),""select Col2 limit 60""))"),19.222333333333335)</f>
        <v>19.22233333</v>
      </c>
      <c r="L1556" s="17">
        <f>IFERROR(__xludf.DUMMYFUNCTION("AVERAGE(QUERY(SORT(GOOGLEFINANCE(B1556,""price"",TODAY()-365,TODAY()),1,0),""select Col2 limit 90""))"),21.047555555555554)</f>
        <v>21.04755556</v>
      </c>
      <c r="M1556" s="17">
        <f>IFERROR(__xludf.DUMMYFUNCTION("AVERAGE(QUERY(SORT(GOOGLEFINANCE(B1556,""price"",TODAY()-365,TODAY()),1,0),""select Col2 limit 120""))"),21.54541666666667)</f>
        <v>21.54541667</v>
      </c>
      <c r="N1556" s="19">
        <f>IFERROR(__xludf.DUMMYFUNCTION("AVERAGE(QUERY(SORT(GOOGLEFINANCE(B1556,""price"",TODAY()-365,TODAY()),1,0),""select Col2 limit 200""))"),23.77080000000001)</f>
        <v>23.7708</v>
      </c>
      <c r="O1556" s="20" t="str">
        <f t="shared" si="2"/>
        <v>Avoid</v>
      </c>
      <c r="P1556" s="21" t="str">
        <f t="shared" si="3"/>
        <v/>
      </c>
      <c r="Q1556" s="21" t="str">
        <f t="shared" si="4"/>
        <v/>
      </c>
      <c r="R1556" s="22">
        <f>IFERROR(__xludf.DUMMYFUNCTION("GOOGLEFINANCE(B1556, ""pe"")
"),16.38)</f>
        <v>16.38</v>
      </c>
    </row>
    <row r="1557">
      <c r="A1557" s="9" t="s">
        <v>1565</v>
      </c>
      <c r="B1557" s="11" t="str">
        <f t="shared" si="1"/>
        <v>NSE:EXXARO</v>
      </c>
      <c r="C1557" s="12">
        <f>IFERROR(__xludf.DUMMYFUNCTION("GOOGLEFINANCE(B1557,""marketcap"")/10000000"),375.8249709)</f>
        <v>375.8249709</v>
      </c>
      <c r="D1557" s="13">
        <f>IFERROR(__xludf.DUMMYFUNCTION("GOOGLEFINANCE(B1557,""price"")"),8.4)</f>
        <v>8.4</v>
      </c>
      <c r="E1557" s="14">
        <f>IFERROR(__xludf.DUMMYFUNCTION("GOOGLEFINANCE(B1557,""Volume"")"),64077.0)</f>
        <v>64077</v>
      </c>
      <c r="F1557" s="14">
        <f t="array" ref="F1557">F1556</f>
        <v>14</v>
      </c>
      <c r="G1557" s="15" t="str">
        <f>IFERROR(__xludf.DUMMYFUNCTION("IF(E1557&gt;AVERAGE(INDEX(GOOGLEFINANCE(B1557,""volume"",WORKDAY(TODAY(),-$F$1),TODAY()),,2)),""Breakout"","""")"),"")</f>
        <v/>
      </c>
      <c r="H1557" s="16">
        <f>IFERROR(__xludf.DUMMYFUNCTION("GOOGLEFINANCE(B1557,""price"")"),8.4)</f>
        <v>8.4</v>
      </c>
      <c r="I1557" s="17">
        <f>IFERROR(__xludf.DUMMYFUNCTION("AVERAGE(QUERY(SORT(GOOGLEFINANCE(B1557,""price"",TODAY()-365,TODAY()),1,0),""select Col2 limit 10""))"),8.752)</f>
        <v>8.752</v>
      </c>
      <c r="J1557" s="17">
        <f>IFERROR(__xludf.DUMMYFUNCTION("AVERAGE(QUERY(SORT(GOOGLEFINANCE(B1557,""price"",TODAY()-365,TODAY()),1,0),""select Col2 limit 30""))"),8.966333333333333)</f>
        <v>8.966333333</v>
      </c>
      <c r="K1557" s="18">
        <f>IFERROR(__xludf.DUMMYFUNCTION("AVERAGE(QUERY(SORT(GOOGLEFINANCE(B1557,""price"",TODAY()-365,TODAY()),1,0),""select Col2 limit 60""))"),8.273333333333335)</f>
        <v>8.273333333</v>
      </c>
      <c r="L1557" s="17">
        <f>IFERROR(__xludf.DUMMYFUNCTION("AVERAGE(QUERY(SORT(GOOGLEFINANCE(B1557,""price"",TODAY()-365,TODAY()),1,0),""select Col2 limit 90""))"),7.589000000000002)</f>
        <v>7.589</v>
      </c>
      <c r="M1557" s="17">
        <f>IFERROR(__xludf.DUMMYFUNCTION("AVERAGE(QUERY(SORT(GOOGLEFINANCE(B1557,""price"",TODAY()-365,TODAY()),1,0),""select Col2 limit 120""))"),7.7515833333333335)</f>
        <v>7.751583333</v>
      </c>
      <c r="N1557" s="19">
        <f>IFERROR(__xludf.DUMMYFUNCTION("AVERAGE(QUERY(SORT(GOOGLEFINANCE(B1557,""price"",TODAY()-365,TODAY()),1,0),""select Col2 limit 200""))"),8.391349999999996)</f>
        <v>8.39135</v>
      </c>
      <c r="O1557" s="20" t="str">
        <f t="shared" si="2"/>
        <v>Avoid</v>
      </c>
      <c r="P1557" s="21" t="str">
        <f t="shared" si="3"/>
        <v/>
      </c>
      <c r="Q1557" s="21" t="str">
        <f t="shared" si="4"/>
        <v/>
      </c>
      <c r="R1557" s="22" t="str">
        <f>IFERROR(__xludf.DUMMYFUNCTION("GOOGLEFINANCE(B1557, ""pe"")
"),"#N/A")</f>
        <v>#N/A</v>
      </c>
    </row>
    <row r="1558">
      <c r="A1558" s="9" t="s">
        <v>1566</v>
      </c>
      <c r="B1558" s="11" t="str">
        <f t="shared" si="1"/>
        <v>NSE:IVC</v>
      </c>
      <c r="C1558" s="12">
        <f>IFERROR(__xludf.DUMMYFUNCTION("GOOGLEFINANCE(B1558,""marketcap"")/10000000"),274.4644852)</f>
        <v>274.4644852</v>
      </c>
      <c r="D1558" s="13">
        <f>IFERROR(__xludf.DUMMYFUNCTION("GOOGLEFINANCE(B1558,""price"")"),8.77)</f>
        <v>8.77</v>
      </c>
      <c r="E1558" s="14">
        <f>IFERROR(__xludf.DUMMYFUNCTION("GOOGLEFINANCE(B1558,""Volume"")"),141466.0)</f>
        <v>141466</v>
      </c>
      <c r="F1558" s="14">
        <f t="array" ref="F1558">F1557</f>
        <v>14</v>
      </c>
      <c r="G1558" s="15" t="str">
        <f>IFERROR(__xludf.DUMMYFUNCTION("IF(E1558&gt;AVERAGE(INDEX(GOOGLEFINANCE(B1558,""volume"",WORKDAY(TODAY(),-$F$1),TODAY()),,2)),""Breakout"","""")"),"")</f>
        <v/>
      </c>
      <c r="H1558" s="16">
        <f>IFERROR(__xludf.DUMMYFUNCTION("GOOGLEFINANCE(B1558,""price"")"),8.77)</f>
        <v>8.77</v>
      </c>
      <c r="I1558" s="17">
        <f>IFERROR(__xludf.DUMMYFUNCTION("AVERAGE(QUERY(SORT(GOOGLEFINANCE(B1558,""price"",TODAY()-365,TODAY()),1,0),""select Col2 limit 10""))"),8.969)</f>
        <v>8.969</v>
      </c>
      <c r="J1558" s="17">
        <f>IFERROR(__xludf.DUMMYFUNCTION("AVERAGE(QUERY(SORT(GOOGLEFINANCE(B1558,""price"",TODAY()-365,TODAY()),1,0),""select Col2 limit 30""))"),9.008666666666665)</f>
        <v>9.008666667</v>
      </c>
      <c r="K1558" s="18">
        <f>IFERROR(__xludf.DUMMYFUNCTION("AVERAGE(QUERY(SORT(GOOGLEFINANCE(B1558,""price"",TODAY()-365,TODAY()),1,0),""select Col2 limit 60""))"),9.306166666666662)</f>
        <v>9.306166667</v>
      </c>
      <c r="L1558" s="17">
        <f>IFERROR(__xludf.DUMMYFUNCTION("AVERAGE(QUERY(SORT(GOOGLEFINANCE(B1558,""price"",TODAY()-365,TODAY()),1,0),""select Col2 limit 90""))"),9.323666666666663)</f>
        <v>9.323666667</v>
      </c>
      <c r="M1558" s="17">
        <f>IFERROR(__xludf.DUMMYFUNCTION("AVERAGE(QUERY(SORT(GOOGLEFINANCE(B1558,""price"",TODAY()-365,TODAY()),1,0),""select Col2 limit 120""))"),9.465166666666667)</f>
        <v>9.465166667</v>
      </c>
      <c r="N1558" s="19">
        <f>IFERROR(__xludf.DUMMYFUNCTION("AVERAGE(QUERY(SORT(GOOGLEFINANCE(B1558,""price"",TODAY()-365,TODAY()),1,0),""select Col2 limit 200""))"),10.131349999999998)</f>
        <v>10.13135</v>
      </c>
      <c r="O1558" s="20" t="str">
        <f t="shared" si="2"/>
        <v>Avoid</v>
      </c>
      <c r="P1558" s="21" t="str">
        <f t="shared" si="3"/>
        <v/>
      </c>
      <c r="Q1558" s="21" t="str">
        <f t="shared" si="4"/>
        <v/>
      </c>
      <c r="R1558" s="22" t="str">
        <f>IFERROR(__xludf.DUMMYFUNCTION("GOOGLEFINANCE(B1558, ""pe"")
"),"#N/A")</f>
        <v>#N/A</v>
      </c>
    </row>
    <row r="1559">
      <c r="A1559" s="9" t="s">
        <v>1567</v>
      </c>
      <c r="B1559" s="11" t="str">
        <f t="shared" si="1"/>
        <v>NSE:VIPCLOTHNG</v>
      </c>
      <c r="C1559" s="12">
        <f>IFERROR(__xludf.DUMMYFUNCTION("GOOGLEFINANCE(B1559,""marketcap"")/10000000"),358.7120018)</f>
        <v>358.7120018</v>
      </c>
      <c r="D1559" s="13">
        <f>IFERROR(__xludf.DUMMYFUNCTION("GOOGLEFINANCE(B1559,""price"")"),39.78)</f>
        <v>39.78</v>
      </c>
      <c r="E1559" s="14">
        <f>IFERROR(__xludf.DUMMYFUNCTION("GOOGLEFINANCE(B1559,""Volume"")"),102007.0)</f>
        <v>102007</v>
      </c>
      <c r="F1559" s="14">
        <f t="array" ref="F1559">F1558</f>
        <v>14</v>
      </c>
      <c r="G1559" s="15" t="str">
        <f>IFERROR(__xludf.DUMMYFUNCTION("IF(E1559&gt;AVERAGE(INDEX(GOOGLEFINANCE(B1559,""volume"",WORKDAY(TODAY(),-$F$1),TODAY()),,2)),""Breakout"","""")"),"")</f>
        <v/>
      </c>
      <c r="H1559" s="16">
        <f>IFERROR(__xludf.DUMMYFUNCTION("GOOGLEFINANCE(B1559,""price"")"),39.78)</f>
        <v>39.78</v>
      </c>
      <c r="I1559" s="17">
        <f>IFERROR(__xludf.DUMMYFUNCTION("AVERAGE(QUERY(SORT(GOOGLEFINANCE(B1559,""price"",TODAY()-365,TODAY()),1,0),""select Col2 limit 10""))"),41.114)</f>
        <v>41.114</v>
      </c>
      <c r="J1559" s="17">
        <f>IFERROR(__xludf.DUMMYFUNCTION("AVERAGE(QUERY(SORT(GOOGLEFINANCE(B1559,""price"",TODAY()-365,TODAY()),1,0),""select Col2 limit 30""))"),41.037)</f>
        <v>41.037</v>
      </c>
      <c r="K1559" s="18">
        <f>IFERROR(__xludf.DUMMYFUNCTION("AVERAGE(QUERY(SORT(GOOGLEFINANCE(B1559,""price"",TODAY()-365,TODAY()),1,0),""select Col2 limit 60""))"),40.56366666666666)</f>
        <v>40.56366667</v>
      </c>
      <c r="L1559" s="17">
        <f>IFERROR(__xludf.DUMMYFUNCTION("AVERAGE(QUERY(SORT(GOOGLEFINANCE(B1559,""price"",TODAY()-365,TODAY()),1,0),""select Col2 limit 90""))"),38.37955555555556)</f>
        <v>38.37955556</v>
      </c>
      <c r="M1559" s="17">
        <f>IFERROR(__xludf.DUMMYFUNCTION("AVERAGE(QUERY(SORT(GOOGLEFINANCE(B1559,""price"",TODAY()-365,TODAY()),1,0),""select Col2 limit 120""))"),37.74516666666668)</f>
        <v>37.74516667</v>
      </c>
      <c r="N1559" s="19">
        <f>IFERROR(__xludf.DUMMYFUNCTION("AVERAGE(QUERY(SORT(GOOGLEFINANCE(B1559,""price"",TODAY()-365,TODAY()),1,0),""select Col2 limit 200""))"),40.07500000000002)</f>
        <v>40.075</v>
      </c>
      <c r="O1559" s="20" t="str">
        <f t="shared" si="2"/>
        <v>Avoid</v>
      </c>
      <c r="P1559" s="21" t="str">
        <f t="shared" si="3"/>
        <v>200 DMA</v>
      </c>
      <c r="Q1559" s="21" t="str">
        <f t="shared" si="4"/>
        <v/>
      </c>
      <c r="R1559" s="22">
        <f>IFERROR(__xludf.DUMMYFUNCTION("GOOGLEFINANCE(B1559, ""pe"")
"),64.06)</f>
        <v>64.06</v>
      </c>
    </row>
    <row r="1560">
      <c r="A1560" s="9" t="s">
        <v>1568</v>
      </c>
      <c r="B1560" s="11" t="str">
        <f t="shared" si="1"/>
        <v>NSE:GOKUL</v>
      </c>
      <c r="C1560" s="12">
        <f>IFERROR(__xludf.DUMMYFUNCTION("GOOGLEFINANCE(B1560,""marketcap"")/10000000"),436.4689124)</f>
        <v>436.4689124</v>
      </c>
      <c r="D1560" s="13">
        <f>IFERROR(__xludf.DUMMYFUNCTION("GOOGLEFINANCE(B1560,""price"")"),44.12)</f>
        <v>44.12</v>
      </c>
      <c r="E1560" s="14">
        <f>IFERROR(__xludf.DUMMYFUNCTION("GOOGLEFINANCE(B1560,""Volume"")"),22651.0)</f>
        <v>22651</v>
      </c>
      <c r="F1560" s="14">
        <f t="array" ref="F1560">F1559</f>
        <v>14</v>
      </c>
      <c r="G1560" s="15" t="str">
        <f>IFERROR(__xludf.DUMMYFUNCTION("IF(E1560&gt;AVERAGE(INDEX(GOOGLEFINANCE(B1560,""volume"",WORKDAY(TODAY(),-$F$1),TODAY()),,2)),""Breakout"","""")"),"")</f>
        <v/>
      </c>
      <c r="H1560" s="16">
        <f>IFERROR(__xludf.DUMMYFUNCTION("GOOGLEFINANCE(B1560,""price"")"),44.12)</f>
        <v>44.12</v>
      </c>
      <c r="I1560" s="17">
        <f>IFERROR(__xludf.DUMMYFUNCTION("AVERAGE(QUERY(SORT(GOOGLEFINANCE(B1560,""price"",TODAY()-365,TODAY()),1,0),""select Col2 limit 10""))"),43.037)</f>
        <v>43.037</v>
      </c>
      <c r="J1560" s="17">
        <f>IFERROR(__xludf.DUMMYFUNCTION("AVERAGE(QUERY(SORT(GOOGLEFINANCE(B1560,""price"",TODAY()-365,TODAY()),1,0),""select Col2 limit 30""))"),44.33)</f>
        <v>44.33</v>
      </c>
      <c r="K1560" s="18">
        <f>IFERROR(__xludf.DUMMYFUNCTION("AVERAGE(QUERY(SORT(GOOGLEFINANCE(B1560,""price"",TODAY()-365,TODAY()),1,0),""select Col2 limit 60""))"),45.085333333333345)</f>
        <v>45.08533333</v>
      </c>
      <c r="L1560" s="17">
        <f>IFERROR(__xludf.DUMMYFUNCTION("AVERAGE(QUERY(SORT(GOOGLEFINANCE(B1560,""price"",TODAY()-365,TODAY()),1,0),""select Col2 limit 90""))"),45.064888888888895)</f>
        <v>45.06488889</v>
      </c>
      <c r="M1560" s="17">
        <f>IFERROR(__xludf.DUMMYFUNCTION("AVERAGE(QUERY(SORT(GOOGLEFINANCE(B1560,""price"",TODAY()-365,TODAY()),1,0),""select Col2 limit 120""))"),46.11333333333335)</f>
        <v>46.11333333</v>
      </c>
      <c r="N1560" s="19">
        <f>IFERROR(__xludf.DUMMYFUNCTION("AVERAGE(QUERY(SORT(GOOGLEFINANCE(B1560,""price"",TODAY()-365,TODAY()),1,0),""select Col2 limit 200""))"),50.7363)</f>
        <v>50.7363</v>
      </c>
      <c r="O1560" s="20" t="str">
        <f t="shared" si="2"/>
        <v>Avoid</v>
      </c>
      <c r="P1560" s="21" t="str">
        <f t="shared" si="3"/>
        <v>30 DMA</v>
      </c>
      <c r="Q1560" s="21" t="str">
        <f t="shared" si="4"/>
        <v>30 DMA cross best</v>
      </c>
      <c r="R1560" s="22">
        <f>IFERROR(__xludf.DUMMYFUNCTION("GOOGLEFINANCE(B1560, ""pe"")
"),29.74)</f>
        <v>29.74</v>
      </c>
    </row>
    <row r="1561">
      <c r="A1561" s="9" t="s">
        <v>1569</v>
      </c>
      <c r="B1561" s="11" t="str">
        <f t="shared" si="1"/>
        <v>NSE:BYKE</v>
      </c>
      <c r="C1561" s="12">
        <f>IFERROR(__xludf.DUMMYFUNCTION("GOOGLEFINANCE(B1561,""marketcap"")/10000000"),406.7501471)</f>
        <v>406.7501471</v>
      </c>
      <c r="D1561" s="13">
        <f>IFERROR(__xludf.DUMMYFUNCTION("GOOGLEFINANCE(B1561,""price"")"),78.98)</f>
        <v>78.98</v>
      </c>
      <c r="E1561" s="14">
        <f>IFERROR(__xludf.DUMMYFUNCTION("GOOGLEFINANCE(B1561,""Volume"")"),2993.0)</f>
        <v>2993</v>
      </c>
      <c r="F1561" s="14">
        <f t="array" ref="F1561">F1560</f>
        <v>14</v>
      </c>
      <c r="G1561" s="15" t="str">
        <f>IFERROR(__xludf.DUMMYFUNCTION("IF(E1561&gt;AVERAGE(INDEX(GOOGLEFINANCE(B1561,""volume"",WORKDAY(TODAY(),-$F$1),TODAY()),,2)),""Breakout"","""")"),"")</f>
        <v/>
      </c>
      <c r="H1561" s="16">
        <f>IFERROR(__xludf.DUMMYFUNCTION("GOOGLEFINANCE(B1561,""price"")"),78.98)</f>
        <v>78.98</v>
      </c>
      <c r="I1561" s="17">
        <f>IFERROR(__xludf.DUMMYFUNCTION("AVERAGE(QUERY(SORT(GOOGLEFINANCE(B1561,""price"",TODAY()-365,TODAY()),1,0),""select Col2 limit 10""))"),80.033)</f>
        <v>80.033</v>
      </c>
      <c r="J1561" s="17">
        <f>IFERROR(__xludf.DUMMYFUNCTION("AVERAGE(QUERY(SORT(GOOGLEFINANCE(B1561,""price"",TODAY()-365,TODAY()),1,0),""select Col2 limit 30""))"),82.57933333333335)</f>
        <v>82.57933333</v>
      </c>
      <c r="K1561" s="18">
        <f>IFERROR(__xludf.DUMMYFUNCTION("AVERAGE(QUERY(SORT(GOOGLEFINANCE(B1561,""price"",TODAY()-365,TODAY()),1,0),""select Col2 limit 60""))"),86.41950000000001)</f>
        <v>86.4195</v>
      </c>
      <c r="L1561" s="17">
        <f>IFERROR(__xludf.DUMMYFUNCTION("AVERAGE(QUERY(SORT(GOOGLEFINANCE(B1561,""price"",TODAY()-365,TODAY()),1,0),""select Col2 limit 90""))"),81.26877777777777)</f>
        <v>81.26877778</v>
      </c>
      <c r="M1561" s="17">
        <f>IFERROR(__xludf.DUMMYFUNCTION("AVERAGE(QUERY(SORT(GOOGLEFINANCE(B1561,""price"",TODAY()-365,TODAY()),1,0),""select Col2 limit 120""))"),78.38499999999999)</f>
        <v>78.385</v>
      </c>
      <c r="N1561" s="19">
        <f>IFERROR(__xludf.DUMMYFUNCTION("AVERAGE(QUERY(SORT(GOOGLEFINANCE(B1561,""price"",TODAY()-365,TODAY()),1,0),""select Col2 limit 200""))"),79.07155)</f>
        <v>79.07155</v>
      </c>
      <c r="O1561" s="20" t="str">
        <f t="shared" si="2"/>
        <v>Avoid</v>
      </c>
      <c r="P1561" s="21" t="str">
        <f t="shared" si="3"/>
        <v>200 DMA</v>
      </c>
      <c r="Q1561" s="21" t="str">
        <f t="shared" si="4"/>
        <v/>
      </c>
      <c r="R1561" s="22">
        <f>IFERROR(__xludf.DUMMYFUNCTION("GOOGLEFINANCE(B1561, ""pe"")
"),87.76)</f>
        <v>87.76</v>
      </c>
    </row>
    <row r="1562">
      <c r="A1562" s="9" t="s">
        <v>1570</v>
      </c>
      <c r="B1562" s="11" t="str">
        <f t="shared" si="1"/>
        <v>NSE:RANASUG</v>
      </c>
      <c r="C1562" s="12">
        <f>IFERROR(__xludf.DUMMYFUNCTION("GOOGLEFINANCE(B1562,""marketcap"")/10000000"),226.512505)</f>
        <v>226.512505</v>
      </c>
      <c r="D1562" s="13">
        <f>IFERROR(__xludf.DUMMYFUNCTION("GOOGLEFINANCE(B1562,""price"")"),14.75)</f>
        <v>14.75</v>
      </c>
      <c r="E1562" s="14">
        <f>IFERROR(__xludf.DUMMYFUNCTION("GOOGLEFINANCE(B1562,""Volume"")"),117861.0)</f>
        <v>117861</v>
      </c>
      <c r="F1562" s="14">
        <f t="array" ref="F1562">F1561</f>
        <v>14</v>
      </c>
      <c r="G1562" s="15" t="str">
        <f>IFERROR(__xludf.DUMMYFUNCTION("IF(E1562&gt;AVERAGE(INDEX(GOOGLEFINANCE(B1562,""volume"",WORKDAY(TODAY(),-$F$1),TODAY()),,2)),""Breakout"","""")"),"")</f>
        <v/>
      </c>
      <c r="H1562" s="16">
        <f>IFERROR(__xludf.DUMMYFUNCTION("GOOGLEFINANCE(B1562,""price"")"),14.75)</f>
        <v>14.75</v>
      </c>
      <c r="I1562" s="17">
        <f>IFERROR(__xludf.DUMMYFUNCTION("AVERAGE(QUERY(SORT(GOOGLEFINANCE(B1562,""price"",TODAY()-365,TODAY()),1,0),""select Col2 limit 10""))"),15.389999999999997)</f>
        <v>15.39</v>
      </c>
      <c r="J1562" s="17">
        <f>IFERROR(__xludf.DUMMYFUNCTION("AVERAGE(QUERY(SORT(GOOGLEFINANCE(B1562,""price"",TODAY()-365,TODAY()),1,0),""select Col2 limit 30""))"),15.820333333333336)</f>
        <v>15.82033333</v>
      </c>
      <c r="K1562" s="18">
        <f>IFERROR(__xludf.DUMMYFUNCTION("AVERAGE(QUERY(SORT(GOOGLEFINANCE(B1562,""price"",TODAY()-365,TODAY()),1,0),""select Col2 limit 60""))"),15.54216666666667)</f>
        <v>15.54216667</v>
      </c>
      <c r="L1562" s="17">
        <f>IFERROR(__xludf.DUMMYFUNCTION("AVERAGE(QUERY(SORT(GOOGLEFINANCE(B1562,""price"",TODAY()-365,TODAY()),1,0),""select Col2 limit 90""))"),14.917666666666669)</f>
        <v>14.91766667</v>
      </c>
      <c r="M1562" s="17">
        <f>IFERROR(__xludf.DUMMYFUNCTION("AVERAGE(QUERY(SORT(GOOGLEFINANCE(B1562,""price"",TODAY()-365,TODAY()),1,0),""select Col2 limit 120""))"),15.055416666666664)</f>
        <v>15.05541667</v>
      </c>
      <c r="N1562" s="19">
        <f>IFERROR(__xludf.DUMMYFUNCTION("AVERAGE(QUERY(SORT(GOOGLEFINANCE(B1562,""price"",TODAY()-365,TODAY()),1,0),""select Col2 limit 200""))"),16.815499999999993)</f>
        <v>16.8155</v>
      </c>
      <c r="O1562" s="20" t="str">
        <f t="shared" si="2"/>
        <v>Avoid</v>
      </c>
      <c r="P1562" s="21" t="str">
        <f t="shared" si="3"/>
        <v/>
      </c>
      <c r="Q1562" s="21" t="str">
        <f t="shared" si="4"/>
        <v/>
      </c>
      <c r="R1562" s="22">
        <f>IFERROR(__xludf.DUMMYFUNCTION("GOOGLEFINANCE(B1562, ""pe"")
"),6.58)</f>
        <v>6.58</v>
      </c>
    </row>
    <row r="1563">
      <c r="A1563" s="9" t="s">
        <v>1571</v>
      </c>
      <c r="B1563" s="11" t="str">
        <f t="shared" si="1"/>
        <v>NSE:STARPAPER</v>
      </c>
      <c r="C1563" s="12">
        <f>IFERROR(__xludf.DUMMYFUNCTION("GOOGLEFINANCE(B1563,""marketcap"")/10000000"),276.8921194)</f>
        <v>276.8921194</v>
      </c>
      <c r="D1563" s="13">
        <f>IFERROR(__xludf.DUMMYFUNCTION("GOOGLEFINANCE(B1563,""price"")"),176.52)</f>
        <v>176.52</v>
      </c>
      <c r="E1563" s="14">
        <f>IFERROR(__xludf.DUMMYFUNCTION("GOOGLEFINANCE(B1563,""Volume"")"),1752.0)</f>
        <v>1752</v>
      </c>
      <c r="F1563" s="14">
        <f t="array" ref="F1563">F1562</f>
        <v>14</v>
      </c>
      <c r="G1563" s="15" t="str">
        <f>IFERROR(__xludf.DUMMYFUNCTION("IF(E1563&gt;AVERAGE(INDEX(GOOGLEFINANCE(B1563,""volume"",WORKDAY(TODAY(),-$F$1),TODAY()),,2)),""Breakout"","""")"),"")</f>
        <v/>
      </c>
      <c r="H1563" s="16">
        <f>IFERROR(__xludf.DUMMYFUNCTION("GOOGLEFINANCE(B1563,""price"")"),176.52)</f>
        <v>176.52</v>
      </c>
      <c r="I1563" s="17">
        <f>IFERROR(__xludf.DUMMYFUNCTION("AVERAGE(QUERY(SORT(GOOGLEFINANCE(B1563,""price"",TODAY()-365,TODAY()),1,0),""select Col2 limit 10""))"),178.00799999999998)</f>
        <v>178.008</v>
      </c>
      <c r="J1563" s="17">
        <f>IFERROR(__xludf.DUMMYFUNCTION("AVERAGE(QUERY(SORT(GOOGLEFINANCE(B1563,""price"",TODAY()-365,TODAY()),1,0),""select Col2 limit 30""))"),177.176)</f>
        <v>177.176</v>
      </c>
      <c r="K1563" s="18">
        <f>IFERROR(__xludf.DUMMYFUNCTION("AVERAGE(QUERY(SORT(GOOGLEFINANCE(B1563,""price"",TODAY()-365,TODAY()),1,0),""select Col2 limit 60""))"),175.10066666666663)</f>
        <v>175.1006667</v>
      </c>
      <c r="L1563" s="17">
        <f>IFERROR(__xludf.DUMMYFUNCTION("AVERAGE(QUERY(SORT(GOOGLEFINANCE(B1563,""price"",TODAY()-365,TODAY()),1,0),""select Col2 limit 90""))"),171.26855555555548)</f>
        <v>171.2685556</v>
      </c>
      <c r="M1563" s="17">
        <f>IFERROR(__xludf.DUMMYFUNCTION("AVERAGE(QUERY(SORT(GOOGLEFINANCE(B1563,""price"",TODAY()-365,TODAY()),1,0),""select Col2 limit 120""))"),171.0763333333333)</f>
        <v>171.0763333</v>
      </c>
      <c r="N1563" s="19">
        <f>IFERROR(__xludf.DUMMYFUNCTION("AVERAGE(QUERY(SORT(GOOGLEFINANCE(B1563,""price"",TODAY()-365,TODAY()),1,0),""select Col2 limit 200""))"),186.98355000000004)</f>
        <v>186.98355</v>
      </c>
      <c r="O1563" s="20" t="str">
        <f t="shared" si="2"/>
        <v>Avoid</v>
      </c>
      <c r="P1563" s="21" t="str">
        <f t="shared" si="3"/>
        <v>10 DMA</v>
      </c>
      <c r="Q1563" s="21" t="str">
        <f t="shared" si="4"/>
        <v/>
      </c>
      <c r="R1563" s="22">
        <f>IFERROR(__xludf.DUMMYFUNCTION("GOOGLEFINANCE(B1563, ""pe"")
"),6.73)</f>
        <v>6.73</v>
      </c>
    </row>
    <row r="1564">
      <c r="A1564" s="9" t="s">
        <v>1572</v>
      </c>
      <c r="B1564" s="11" t="str">
        <f t="shared" si="1"/>
        <v>NSE:LAL</v>
      </c>
      <c r="C1564" s="12">
        <f>IFERROR(__xludf.DUMMYFUNCTION("GOOGLEFINANCE(B1564,""marketcap"")/10000000"),200.7064109)</f>
        <v>200.7064109</v>
      </c>
      <c r="D1564" s="13">
        <f>IFERROR(__xludf.DUMMYFUNCTION("GOOGLEFINANCE(B1564,""price"")"),11.35)</f>
        <v>11.35</v>
      </c>
      <c r="E1564" s="14">
        <f>IFERROR(__xludf.DUMMYFUNCTION("GOOGLEFINANCE(B1564,""Volume"")"),8063.0)</f>
        <v>8063</v>
      </c>
      <c r="F1564" s="14">
        <f t="array" ref="F1564">F1563</f>
        <v>14</v>
      </c>
      <c r="G1564" s="15" t="str">
        <f>IFERROR(__xludf.DUMMYFUNCTION("IF(E1564&gt;AVERAGE(INDEX(GOOGLEFINANCE(B1564,""volume"",WORKDAY(TODAY(),-$F$1),TODAY()),,2)),""Breakout"","""")"),"")</f>
        <v/>
      </c>
      <c r="H1564" s="16">
        <f>IFERROR(__xludf.DUMMYFUNCTION("GOOGLEFINANCE(B1564,""price"")"),11.35)</f>
        <v>11.35</v>
      </c>
      <c r="I1564" s="17">
        <f>IFERROR(__xludf.DUMMYFUNCTION("AVERAGE(QUERY(SORT(GOOGLEFINANCE(B1564,""price"",TODAY()-365,TODAY()),1,0),""select Col2 limit 10""))"),11.978000000000002)</f>
        <v>11.978</v>
      </c>
      <c r="J1564" s="17">
        <f>IFERROR(__xludf.DUMMYFUNCTION("AVERAGE(QUERY(SORT(GOOGLEFINANCE(B1564,""price"",TODAY()-365,TODAY()),1,0),""select Col2 limit 30""))"),12.242333333333333)</f>
        <v>12.24233333</v>
      </c>
      <c r="K1564" s="18">
        <f>IFERROR(__xludf.DUMMYFUNCTION("AVERAGE(QUERY(SORT(GOOGLEFINANCE(B1564,""price"",TODAY()-365,TODAY()),1,0),""select Col2 limit 60""))"),11.940333333333333)</f>
        <v>11.94033333</v>
      </c>
      <c r="L1564" s="17">
        <f>IFERROR(__xludf.DUMMYFUNCTION("AVERAGE(QUERY(SORT(GOOGLEFINANCE(B1564,""price"",TODAY()-365,TODAY()),1,0),""select Col2 limit 90""))"),11.85833333333333)</f>
        <v>11.85833333</v>
      </c>
      <c r="M1564" s="17">
        <f>IFERROR(__xludf.DUMMYFUNCTION("AVERAGE(QUERY(SORT(GOOGLEFINANCE(B1564,""price"",TODAY()-365,TODAY()),1,0),""select Col2 limit 120""))"),12.394916666666669)</f>
        <v>12.39491667</v>
      </c>
      <c r="N1564" s="19">
        <f>IFERROR(__xludf.DUMMYFUNCTION("AVERAGE(QUERY(SORT(GOOGLEFINANCE(B1564,""price"",TODAY()-365,TODAY()),1,0),""select Col2 limit 200""))"),16.44179999999999)</f>
        <v>16.4418</v>
      </c>
      <c r="O1564" s="20" t="str">
        <f t="shared" si="2"/>
        <v>Avoid</v>
      </c>
      <c r="P1564" s="21" t="str">
        <f t="shared" si="3"/>
        <v/>
      </c>
      <c r="Q1564" s="21" t="str">
        <f t="shared" si="4"/>
        <v/>
      </c>
      <c r="R1564" s="22">
        <f>IFERROR(__xludf.DUMMYFUNCTION("GOOGLEFINANCE(B1564, ""pe"")
"),32.97)</f>
        <v>32.97</v>
      </c>
    </row>
    <row r="1565">
      <c r="A1565" s="9" t="s">
        <v>1573</v>
      </c>
      <c r="B1565" s="11" t="str">
        <f t="shared" si="1"/>
        <v>NSE:RAJMET</v>
      </c>
      <c r="C1565" s="12">
        <f>IFERROR(__xludf.DUMMYFUNCTION("GOOGLEFINANCE(B1565,""marketcap"")/10000000"),137.9635136)</f>
        <v>137.9635136</v>
      </c>
      <c r="D1565" s="13">
        <f>IFERROR(__xludf.DUMMYFUNCTION("GOOGLEFINANCE(B1565,""price"")"),4.99)</f>
        <v>4.99</v>
      </c>
      <c r="E1565" s="14">
        <f>IFERROR(__xludf.DUMMYFUNCTION("GOOGLEFINANCE(B1565,""Volume"")"),713490.0)</f>
        <v>713490</v>
      </c>
      <c r="F1565" s="14">
        <f t="array" ref="F1565">F1564</f>
        <v>14</v>
      </c>
      <c r="G1565" s="15" t="str">
        <f>IFERROR(__xludf.DUMMYFUNCTION("IF(E1565&gt;AVERAGE(INDEX(GOOGLEFINANCE(B1565,""volume"",WORKDAY(TODAY(),-$F$1),TODAY()),,2)),""Breakout"","""")"),"")</f>
        <v/>
      </c>
      <c r="H1565" s="16">
        <f>IFERROR(__xludf.DUMMYFUNCTION("GOOGLEFINANCE(B1565,""price"")"),4.99)</f>
        <v>4.99</v>
      </c>
      <c r="I1565" s="17">
        <f>IFERROR(__xludf.DUMMYFUNCTION("AVERAGE(QUERY(SORT(GOOGLEFINANCE(B1565,""price"",TODAY()-365,TODAY()),1,0),""select Col2 limit 10""))"),4.985)</f>
        <v>4.985</v>
      </c>
      <c r="J1565" s="17">
        <f>IFERROR(__xludf.DUMMYFUNCTION("AVERAGE(QUERY(SORT(GOOGLEFINANCE(B1565,""price"",TODAY()-365,TODAY()),1,0),""select Col2 limit 30""))"),4.954999999999998)</f>
        <v>4.955</v>
      </c>
      <c r="K1565" s="18">
        <f>IFERROR(__xludf.DUMMYFUNCTION("AVERAGE(QUERY(SORT(GOOGLEFINANCE(B1565,""price"",TODAY()-365,TODAY()),1,0),""select Col2 limit 60""))"),5.164166666666665)</f>
        <v>5.164166667</v>
      </c>
      <c r="L1565" s="17">
        <f>IFERROR(__xludf.DUMMYFUNCTION("AVERAGE(QUERY(SORT(GOOGLEFINANCE(B1565,""price"",TODAY()-365,TODAY()),1,0),""select Col2 limit 90""))"),5.076666666666666)</f>
        <v>5.076666667</v>
      </c>
      <c r="M1565" s="17">
        <f>IFERROR(__xludf.DUMMYFUNCTION("AVERAGE(QUERY(SORT(GOOGLEFINANCE(B1565,""price"",TODAY()-365,TODAY()),1,0),""select Col2 limit 120""))"),5.405416666666667)</f>
        <v>5.405416667</v>
      </c>
      <c r="N1565" s="19">
        <f>IFERROR(__xludf.DUMMYFUNCTION("AVERAGE(QUERY(SORT(GOOGLEFINANCE(B1565,""price"",TODAY()-365,TODAY()),1,0),""select Col2 limit 200""))"),6.952049999999998)</f>
        <v>6.95205</v>
      </c>
      <c r="O1565" s="20" t="str">
        <f t="shared" si="2"/>
        <v>Avoid</v>
      </c>
      <c r="P1565" s="21" t="str">
        <f t="shared" si="3"/>
        <v/>
      </c>
      <c r="Q1565" s="21" t="str">
        <f t="shared" si="4"/>
        <v/>
      </c>
      <c r="R1565" s="22" t="str">
        <f>IFERROR(__xludf.DUMMYFUNCTION("GOOGLEFINANCE(B1565, ""pe"")
"),"#N/A")</f>
        <v>#N/A</v>
      </c>
    </row>
    <row r="1566">
      <c r="A1566" s="9" t="s">
        <v>1574</v>
      </c>
      <c r="B1566" s="11" t="str">
        <f t="shared" si="1"/>
        <v>NSE:KAPSTON</v>
      </c>
      <c r="C1566" s="12">
        <f>IFERROR(__xludf.DUMMYFUNCTION("GOOGLEFINANCE(B1566,""marketcap"")/10000000"),241.7126604)</f>
        <v>241.7126604</v>
      </c>
      <c r="D1566" s="13">
        <f>IFERROR(__xludf.DUMMYFUNCTION("GOOGLEFINANCE(B1566,""price"")"),238.23)</f>
        <v>238.23</v>
      </c>
      <c r="E1566" s="14">
        <f>IFERROR(__xludf.DUMMYFUNCTION("GOOGLEFINANCE(B1566,""Volume"")"),6401.0)</f>
        <v>6401</v>
      </c>
      <c r="F1566" s="14">
        <f t="array" ref="F1566">F1565</f>
        <v>14</v>
      </c>
      <c r="G1566" s="15" t="str">
        <f>IFERROR(__xludf.DUMMYFUNCTION("IF(E1566&gt;AVERAGE(INDEX(GOOGLEFINANCE(B1566,""volume"",WORKDAY(TODAY(),-$F$1),TODAY()),,2)),""Breakout"","""")"),"#N/A")</f>
        <v>#N/A</v>
      </c>
      <c r="H1566" s="16">
        <f>IFERROR(__xludf.DUMMYFUNCTION("GOOGLEFINANCE(B1566,""price"")"),238.23)</f>
        <v>238.23</v>
      </c>
      <c r="I1566" s="17">
        <f>IFERROR(__xludf.DUMMYFUNCTION("AVERAGE(QUERY(SORT(GOOGLEFINANCE(B1566,""price"",TODAY()-365,TODAY()),1,0),""select Col2 limit 10""))"),244.33700000000005)</f>
        <v>244.337</v>
      </c>
      <c r="J1566" s="17">
        <f>IFERROR(__xludf.DUMMYFUNCTION("AVERAGE(QUERY(SORT(GOOGLEFINANCE(B1566,""price"",TODAY()-365,TODAY()),1,0),""select Col2 limit 30""))"),243.58599999999998)</f>
        <v>243.586</v>
      </c>
      <c r="K1566" s="18">
        <f>IFERROR(__xludf.DUMMYFUNCTION("AVERAGE(QUERY(SORT(GOOGLEFINANCE(B1566,""price"",TODAY()-365,TODAY()),1,0),""select Col2 limit 60""))"),237.63400000000004)</f>
        <v>237.634</v>
      </c>
      <c r="L1566" s="17">
        <f>IFERROR(__xludf.DUMMYFUNCTION("AVERAGE(QUERY(SORT(GOOGLEFINANCE(B1566,""price"",TODAY()-365,TODAY()),1,0),""select Col2 limit 90""))"),231.64300000000014)</f>
        <v>231.643</v>
      </c>
      <c r="M1566" s="17">
        <f>IFERROR(__xludf.DUMMYFUNCTION("AVERAGE(QUERY(SORT(GOOGLEFINANCE(B1566,""price"",TODAY()-365,TODAY()),1,0),""select Col2 limit 120""))"),230.84291666666678)</f>
        <v>230.8429167</v>
      </c>
      <c r="N1566" s="19">
        <f>IFERROR(__xludf.DUMMYFUNCTION("AVERAGE(QUERY(SORT(GOOGLEFINANCE(B1566,""price"",TODAY()-365,TODAY()),1,0),""select Col2 limit 200""))"),243.99875)</f>
        <v>243.99875</v>
      </c>
      <c r="O1566" s="20" t="str">
        <f t="shared" si="2"/>
        <v>Avoid</v>
      </c>
      <c r="P1566" s="21" t="str">
        <f t="shared" si="3"/>
        <v/>
      </c>
      <c r="Q1566" s="21" t="str">
        <f t="shared" si="4"/>
        <v/>
      </c>
      <c r="R1566" s="22">
        <f>IFERROR(__xludf.DUMMYFUNCTION("GOOGLEFINANCE(B1566, ""pe"")
"),27.11)</f>
        <v>27.11</v>
      </c>
    </row>
    <row r="1567">
      <c r="A1567" s="9" t="s">
        <v>1575</v>
      </c>
      <c r="B1567" s="11" t="str">
        <f t="shared" si="1"/>
        <v>NSE:INDOWIND</v>
      </c>
      <c r="C1567" s="12">
        <f>IFERROR(__xludf.DUMMYFUNCTION("GOOGLEFINANCE(B1567,""marketcap"")/10000000"),235.9647104)</f>
        <v>235.9647104</v>
      </c>
      <c r="D1567" s="13">
        <f>IFERROR(__xludf.DUMMYFUNCTION("GOOGLEFINANCE(B1567,""price"")"),18.32)</f>
        <v>18.32</v>
      </c>
      <c r="E1567" s="14">
        <f>IFERROR(__xludf.DUMMYFUNCTION("GOOGLEFINANCE(B1567,""Volume"")"),119125.0)</f>
        <v>119125</v>
      </c>
      <c r="F1567" s="14">
        <f t="array" ref="F1567">F1566</f>
        <v>14</v>
      </c>
      <c r="G1567" s="15" t="str">
        <f>IFERROR(__xludf.DUMMYFUNCTION("IF(E1567&gt;AVERAGE(INDEX(GOOGLEFINANCE(B1567,""volume"",WORKDAY(TODAY(),-$F$1),TODAY()),,2)),""Breakout"","""")"),"")</f>
        <v/>
      </c>
      <c r="H1567" s="16">
        <f>IFERROR(__xludf.DUMMYFUNCTION("GOOGLEFINANCE(B1567,""price"")"),18.32)</f>
        <v>18.32</v>
      </c>
      <c r="I1567" s="17">
        <f>IFERROR(__xludf.DUMMYFUNCTION("AVERAGE(QUERY(SORT(GOOGLEFINANCE(B1567,""price"",TODAY()-365,TODAY()),1,0),""select Col2 limit 10""))"),19.226999999999997)</f>
        <v>19.227</v>
      </c>
      <c r="J1567" s="17">
        <f>IFERROR(__xludf.DUMMYFUNCTION("AVERAGE(QUERY(SORT(GOOGLEFINANCE(B1567,""price"",TODAY()-365,TODAY()),1,0),""select Col2 limit 30""))"),19.755333333333336)</f>
        <v>19.75533333</v>
      </c>
      <c r="K1567" s="18">
        <f>IFERROR(__xludf.DUMMYFUNCTION("AVERAGE(QUERY(SORT(GOOGLEFINANCE(B1567,""price"",TODAY()-365,TODAY()),1,0),""select Col2 limit 60""))"),19.969666666666665)</f>
        <v>19.96966667</v>
      </c>
      <c r="L1567" s="17">
        <f>IFERROR(__xludf.DUMMYFUNCTION("AVERAGE(QUERY(SORT(GOOGLEFINANCE(B1567,""price"",TODAY()-365,TODAY()),1,0),""select Col2 limit 90""))"),19.287333333333333)</f>
        <v>19.28733333</v>
      </c>
      <c r="M1567" s="17">
        <f>IFERROR(__xludf.DUMMYFUNCTION("AVERAGE(QUERY(SORT(GOOGLEFINANCE(B1567,""price"",TODAY()-365,TODAY()),1,0),""select Col2 limit 120""))"),19.208583333333333)</f>
        <v>19.20858333</v>
      </c>
      <c r="N1567" s="19">
        <f>IFERROR(__xludf.DUMMYFUNCTION("AVERAGE(QUERY(SORT(GOOGLEFINANCE(B1567,""price"",TODAY()-365,TODAY()),1,0),""select Col2 limit 200""))"),20.658100000000005)</f>
        <v>20.6581</v>
      </c>
      <c r="O1567" s="20" t="str">
        <f t="shared" si="2"/>
        <v>Avoid</v>
      </c>
      <c r="P1567" s="21" t="str">
        <f t="shared" si="3"/>
        <v/>
      </c>
      <c r="Q1567" s="21" t="str">
        <f t="shared" si="4"/>
        <v/>
      </c>
      <c r="R1567" s="22">
        <f>IFERROR(__xludf.DUMMYFUNCTION("GOOGLEFINANCE(B1567, ""pe"")
"),166.55)</f>
        <v>166.55</v>
      </c>
    </row>
    <row r="1568">
      <c r="A1568" s="9" t="s">
        <v>1576</v>
      </c>
      <c r="B1568" s="11" t="str">
        <f t="shared" si="1"/>
        <v>NSE:SHREERAMA</v>
      </c>
      <c r="C1568" s="12">
        <f>IFERROR(__xludf.DUMMYFUNCTION("GOOGLEFINANCE(B1568,""marketcap"")/10000000"),537.6090877)</f>
        <v>537.6090877</v>
      </c>
      <c r="D1568" s="13">
        <f>IFERROR(__xludf.DUMMYFUNCTION("GOOGLEFINANCE(B1568,""price"")"),40.28)</f>
        <v>40.28</v>
      </c>
      <c r="E1568" s="14">
        <f>IFERROR(__xludf.DUMMYFUNCTION("GOOGLEFINANCE(B1568,""Volume"")"),99601.0)</f>
        <v>99601</v>
      </c>
      <c r="F1568" s="14">
        <f t="array" ref="F1568">F1567</f>
        <v>14</v>
      </c>
      <c r="G1568" s="15" t="str">
        <f>IFERROR(__xludf.DUMMYFUNCTION("IF(E1568&gt;AVERAGE(INDEX(GOOGLEFINANCE(B1568,""volume"",WORKDAY(TODAY(),-$F$1),TODAY()),,2)),""Breakout"","""")"),"Breakout")</f>
        <v>Breakout</v>
      </c>
      <c r="H1568" s="16">
        <f>IFERROR(__xludf.DUMMYFUNCTION("GOOGLEFINANCE(B1568,""price"")"),40.28)</f>
        <v>40.28</v>
      </c>
      <c r="I1568" s="17">
        <f>IFERROR(__xludf.DUMMYFUNCTION("AVERAGE(QUERY(SORT(GOOGLEFINANCE(B1568,""price"",TODAY()-365,TODAY()),1,0),""select Col2 limit 10""))"),42.722)</f>
        <v>42.722</v>
      </c>
      <c r="J1568" s="17">
        <f>IFERROR(__xludf.DUMMYFUNCTION("AVERAGE(QUERY(SORT(GOOGLEFINANCE(B1568,""price"",TODAY()-365,TODAY()),1,0),""select Col2 limit 30""))"),42.26633333333333)</f>
        <v>42.26633333</v>
      </c>
      <c r="K1568" s="18">
        <f>IFERROR(__xludf.DUMMYFUNCTION("AVERAGE(QUERY(SORT(GOOGLEFINANCE(B1568,""price"",TODAY()-365,TODAY()),1,0),""select Col2 limit 60""))"),41.094166666666666)</f>
        <v>41.09416667</v>
      </c>
      <c r="L1568" s="17">
        <f>IFERROR(__xludf.DUMMYFUNCTION("AVERAGE(QUERY(SORT(GOOGLEFINANCE(B1568,""price"",TODAY()-365,TODAY()),1,0),""select Col2 limit 90""))"),38.645)</f>
        <v>38.645</v>
      </c>
      <c r="M1568" s="17">
        <f>IFERROR(__xludf.DUMMYFUNCTION("AVERAGE(QUERY(SORT(GOOGLEFINANCE(B1568,""price"",TODAY()-365,TODAY()),1,0),""select Col2 limit 120""))"),38.07133333333334)</f>
        <v>38.07133333</v>
      </c>
      <c r="N1568" s="19">
        <f>IFERROR(__xludf.DUMMYFUNCTION("AVERAGE(QUERY(SORT(GOOGLEFINANCE(B1568,""price"",TODAY()-365,TODAY()),1,0),""select Col2 limit 200""))"),38.90345000000002)</f>
        <v>38.90345</v>
      </c>
      <c r="O1568" s="20" t="str">
        <f t="shared" si="2"/>
        <v>Avoid</v>
      </c>
      <c r="P1568" s="21" t="str">
        <f t="shared" si="3"/>
        <v/>
      </c>
      <c r="Q1568" s="21" t="str">
        <f t="shared" si="4"/>
        <v/>
      </c>
      <c r="R1568" s="22">
        <f>IFERROR(__xludf.DUMMYFUNCTION("GOOGLEFINANCE(B1568, ""pe"")
"),10.71)</f>
        <v>10.71</v>
      </c>
    </row>
    <row r="1569">
      <c r="A1569" s="9" t="s">
        <v>1577</v>
      </c>
      <c r="B1569" s="11" t="str">
        <f t="shared" si="1"/>
        <v>NSE:CCHHL</v>
      </c>
      <c r="C1569" s="12">
        <f>IFERROR(__xludf.DUMMYFUNCTION("GOOGLEFINANCE(B1569,""marketcap"")/10000000"),298.4865459)</f>
        <v>298.4865459</v>
      </c>
      <c r="D1569" s="13">
        <f>IFERROR(__xludf.DUMMYFUNCTION("GOOGLEFINANCE(B1569,""price"")"),18.26)</f>
        <v>18.26</v>
      </c>
      <c r="E1569" s="14">
        <f>IFERROR(__xludf.DUMMYFUNCTION("GOOGLEFINANCE(B1569,""Volume"")"),67198.0)</f>
        <v>67198</v>
      </c>
      <c r="F1569" s="14">
        <f t="array" ref="F1569">F1568</f>
        <v>14</v>
      </c>
      <c r="G1569" s="15" t="str">
        <f>IFERROR(__xludf.DUMMYFUNCTION("IF(E1569&gt;AVERAGE(INDEX(GOOGLEFINANCE(B1569,""volume"",WORKDAY(TODAY(),-$F$1),TODAY()),,2)),""Breakout"","""")"),"#N/A")</f>
        <v>#N/A</v>
      </c>
      <c r="H1569" s="16">
        <f>IFERROR(__xludf.DUMMYFUNCTION("GOOGLEFINANCE(B1569,""price"")"),18.26)</f>
        <v>18.26</v>
      </c>
      <c r="I1569" s="17">
        <f>IFERROR(__xludf.DUMMYFUNCTION("AVERAGE(QUERY(SORT(GOOGLEFINANCE(B1569,""price"",TODAY()-365,TODAY()),1,0),""select Col2 limit 10""))"),18.711)</f>
        <v>18.711</v>
      </c>
      <c r="J1569" s="17">
        <f>IFERROR(__xludf.DUMMYFUNCTION("AVERAGE(QUERY(SORT(GOOGLEFINANCE(B1569,""price"",TODAY()-365,TODAY()),1,0),""select Col2 limit 30""))"),17.80533333333333)</f>
        <v>17.80533333</v>
      </c>
      <c r="K1569" s="18">
        <f>IFERROR(__xludf.DUMMYFUNCTION("AVERAGE(QUERY(SORT(GOOGLEFINANCE(B1569,""price"",TODAY()-365,TODAY()),1,0),""select Col2 limit 60""))"),17.123666666666665)</f>
        <v>17.12366667</v>
      </c>
      <c r="L1569" s="17">
        <f>IFERROR(__xludf.DUMMYFUNCTION("AVERAGE(QUERY(SORT(GOOGLEFINANCE(B1569,""price"",TODAY()-365,TODAY()),1,0),""select Col2 limit 90""))"),16.932888888888893)</f>
        <v>16.93288889</v>
      </c>
      <c r="M1569" s="17">
        <f>IFERROR(__xludf.DUMMYFUNCTION("AVERAGE(QUERY(SORT(GOOGLEFINANCE(B1569,""price"",TODAY()-365,TODAY()),1,0),""select Col2 limit 120""))"),16.835916666666673)</f>
        <v>16.83591667</v>
      </c>
      <c r="N1569" s="19">
        <f>IFERROR(__xludf.DUMMYFUNCTION("AVERAGE(QUERY(SORT(GOOGLEFINANCE(B1569,""price"",TODAY()-365,TODAY()),1,0),""select Col2 limit 200""))"),18.18295)</f>
        <v>18.18295</v>
      </c>
      <c r="O1569" s="20" t="str">
        <f t="shared" si="2"/>
        <v>Avoid</v>
      </c>
      <c r="P1569" s="21" t="str">
        <f t="shared" si="3"/>
        <v/>
      </c>
      <c r="Q1569" s="21" t="str">
        <f t="shared" si="4"/>
        <v/>
      </c>
      <c r="R1569" s="22">
        <f>IFERROR(__xludf.DUMMYFUNCTION("GOOGLEFINANCE(B1569, ""pe"")
"),67.63)</f>
        <v>67.63</v>
      </c>
    </row>
    <row r="1570">
      <c r="A1570" s="9" t="s">
        <v>1578</v>
      </c>
      <c r="B1570" s="11" t="str">
        <f t="shared" si="1"/>
        <v>NSE:KMSUGAR</v>
      </c>
      <c r="C1570" s="12">
        <f>IFERROR(__xludf.DUMMYFUNCTION("GOOGLEFINANCE(B1570,""marketcap"")/10000000"),248.7691861)</f>
        <v>248.7691861</v>
      </c>
      <c r="D1570" s="13">
        <f>IFERROR(__xludf.DUMMYFUNCTION("GOOGLEFINANCE(B1570,""price"")"),27.08)</f>
        <v>27.08</v>
      </c>
      <c r="E1570" s="14">
        <f>IFERROR(__xludf.DUMMYFUNCTION("GOOGLEFINANCE(B1570,""Volume"")"),38665.0)</f>
        <v>38665</v>
      </c>
      <c r="F1570" s="14">
        <f t="array" ref="F1570">F1569</f>
        <v>14</v>
      </c>
      <c r="G1570" s="15" t="str">
        <f>IFERROR(__xludf.DUMMYFUNCTION("IF(E1570&gt;AVERAGE(INDEX(GOOGLEFINANCE(B1570,""volume"",WORKDAY(TODAY(),-$F$1),TODAY()),,2)),""Breakout"","""")"),"")</f>
        <v/>
      </c>
      <c r="H1570" s="16">
        <f>IFERROR(__xludf.DUMMYFUNCTION("GOOGLEFINANCE(B1570,""price"")"),27.08)</f>
        <v>27.08</v>
      </c>
      <c r="I1570" s="17">
        <f>IFERROR(__xludf.DUMMYFUNCTION("AVERAGE(QUERY(SORT(GOOGLEFINANCE(B1570,""price"",TODAY()-365,TODAY()),1,0),""select Col2 limit 10""))"),28.008999999999997)</f>
        <v>28.009</v>
      </c>
      <c r="J1570" s="17">
        <f>IFERROR(__xludf.DUMMYFUNCTION("AVERAGE(QUERY(SORT(GOOGLEFINANCE(B1570,""price"",TODAY()-365,TODAY()),1,0),""select Col2 limit 30""))"),28.458666666666666)</f>
        <v>28.45866667</v>
      </c>
      <c r="K1570" s="18">
        <f>IFERROR(__xludf.DUMMYFUNCTION("AVERAGE(QUERY(SORT(GOOGLEFINANCE(B1570,""price"",TODAY()-365,TODAY()),1,0),""select Col2 limit 60""))"),28.753499999999992)</f>
        <v>28.7535</v>
      </c>
      <c r="L1570" s="17">
        <f>IFERROR(__xludf.DUMMYFUNCTION("AVERAGE(QUERY(SORT(GOOGLEFINANCE(B1570,""price"",TODAY()-365,TODAY()),1,0),""select Col2 limit 90""))"),28.500222222222224)</f>
        <v>28.50022222</v>
      </c>
      <c r="M1570" s="17">
        <f>IFERROR(__xludf.DUMMYFUNCTION("AVERAGE(QUERY(SORT(GOOGLEFINANCE(B1570,""price"",TODAY()-365,TODAY()),1,0),""select Col2 limit 120""))"),28.72825)</f>
        <v>28.72825</v>
      </c>
      <c r="N1570" s="19">
        <f>IFERROR(__xludf.DUMMYFUNCTION("AVERAGE(QUERY(SORT(GOOGLEFINANCE(B1570,""price"",TODAY()-365,TODAY()),1,0),""select Col2 limit 200""))"),30.593849999999996)</f>
        <v>30.59385</v>
      </c>
      <c r="O1570" s="20" t="str">
        <f t="shared" si="2"/>
        <v>Avoid</v>
      </c>
      <c r="P1570" s="21" t="str">
        <f t="shared" si="3"/>
        <v/>
      </c>
      <c r="Q1570" s="21" t="str">
        <f t="shared" si="4"/>
        <v/>
      </c>
      <c r="R1570" s="22">
        <f>IFERROR(__xludf.DUMMYFUNCTION("GOOGLEFINANCE(B1570, ""pe"")
"),7.02)</f>
        <v>7.02</v>
      </c>
    </row>
    <row r="1571">
      <c r="A1571" s="9" t="s">
        <v>1579</v>
      </c>
      <c r="B1571" s="11" t="str">
        <f t="shared" si="1"/>
        <v>NSE:EIFFL</v>
      </c>
      <c r="C1571" s="12">
        <f>IFERROR(__xludf.DUMMYFUNCTION("GOOGLEFINANCE(B1571,""marketcap"")/10000000"),592.72)</f>
        <v>592.72</v>
      </c>
      <c r="D1571" s="13">
        <f>IFERROR(__xludf.DUMMYFUNCTION("GOOGLEFINANCE(B1571,""price"")"),239.0)</f>
        <v>239</v>
      </c>
      <c r="E1571" s="14">
        <f>IFERROR(__xludf.DUMMYFUNCTION("GOOGLEFINANCE(B1571,""Volume"")"),733.0)</f>
        <v>733</v>
      </c>
      <c r="F1571" s="14">
        <f t="array" ref="F1571">F1570</f>
        <v>14</v>
      </c>
      <c r="G1571" s="15" t="str">
        <f>IFERROR(__xludf.DUMMYFUNCTION("IF(E1571&gt;AVERAGE(INDEX(GOOGLEFINANCE(B1571,""volume"",WORKDAY(TODAY(),-$F$1),TODAY()),,2)),""Breakout"","""")"),"")</f>
        <v/>
      </c>
      <c r="H1571" s="16">
        <f>IFERROR(__xludf.DUMMYFUNCTION("GOOGLEFINANCE(B1571,""price"")"),239.0)</f>
        <v>239</v>
      </c>
      <c r="I1571" s="17">
        <f>IFERROR(__xludf.DUMMYFUNCTION("AVERAGE(QUERY(SORT(GOOGLEFINANCE(B1571,""price"",TODAY()-365,TODAY()),1,0),""select Col2 limit 10""))"),244.93500000000003)</f>
        <v>244.935</v>
      </c>
      <c r="J1571" s="17">
        <f>IFERROR(__xludf.DUMMYFUNCTION("AVERAGE(QUERY(SORT(GOOGLEFINANCE(B1571,""price"",TODAY()-365,TODAY()),1,0),""select Col2 limit 30""))"),240.65500000000003)</f>
        <v>240.655</v>
      </c>
      <c r="K1571" s="18">
        <f>IFERROR(__xludf.DUMMYFUNCTION("AVERAGE(QUERY(SORT(GOOGLEFINANCE(B1571,""price"",TODAY()-365,TODAY()),1,0),""select Col2 limit 60""))"),229.3263333333334)</f>
        <v>229.3263333</v>
      </c>
      <c r="L1571" s="17">
        <f>IFERROR(__xludf.DUMMYFUNCTION("AVERAGE(QUERY(SORT(GOOGLEFINANCE(B1571,""price"",TODAY()-365,TODAY()),1,0),""select Col2 limit 90""))"),215.37755555555566)</f>
        <v>215.3775556</v>
      </c>
      <c r="M1571" s="17">
        <f>IFERROR(__xludf.DUMMYFUNCTION("AVERAGE(QUERY(SORT(GOOGLEFINANCE(B1571,""price"",TODAY()-365,TODAY()),1,0),""select Col2 limit 120""))"),208.42666666666673)</f>
        <v>208.4266667</v>
      </c>
      <c r="N1571" s="19">
        <f>IFERROR(__xludf.DUMMYFUNCTION("AVERAGE(QUERY(SORT(GOOGLEFINANCE(B1571,""price"",TODAY()-365,TODAY()),1,0),""select Col2 limit 200""))"),206.35935000000006)</f>
        <v>206.35935</v>
      </c>
      <c r="O1571" s="20" t="str">
        <f t="shared" si="2"/>
        <v>Avoid</v>
      </c>
      <c r="P1571" s="21" t="str">
        <f t="shared" si="3"/>
        <v>30 DMA</v>
      </c>
      <c r="Q1571" s="21" t="str">
        <f t="shared" si="4"/>
        <v/>
      </c>
      <c r="R1571" s="22">
        <f>IFERROR(__xludf.DUMMYFUNCTION("GOOGLEFINANCE(B1571, ""pe"")
"),105.75)</f>
        <v>105.75</v>
      </c>
    </row>
    <row r="1572">
      <c r="A1572" s="9" t="s">
        <v>1580</v>
      </c>
      <c r="B1572" s="11" t="str">
        <f t="shared" si="1"/>
        <v>NSE:MANORG</v>
      </c>
      <c r="C1572" s="12">
        <f>IFERROR(__xludf.DUMMYFUNCTION("GOOGLEFINANCE(B1572,""marketcap"")/10000000"),407.6495159)</f>
        <v>407.6495159</v>
      </c>
      <c r="D1572" s="13">
        <f>IFERROR(__xludf.DUMMYFUNCTION("GOOGLEFINANCE(B1572,""price"")"),475.0)</f>
        <v>475</v>
      </c>
      <c r="E1572" s="14">
        <f>IFERROR(__xludf.DUMMYFUNCTION("GOOGLEFINANCE(B1572,""Volume"")"),5094.0)</f>
        <v>5094</v>
      </c>
      <c r="F1572" s="14">
        <f t="array" ref="F1572">F1571</f>
        <v>14</v>
      </c>
      <c r="G1572" s="15" t="str">
        <f>IFERROR(__xludf.DUMMYFUNCTION("IF(E1572&gt;AVERAGE(INDEX(GOOGLEFINANCE(B1572,""volume"",WORKDAY(TODAY(),-$F$1),TODAY()),,2)),""Breakout"","""")"),"")</f>
        <v/>
      </c>
      <c r="H1572" s="16">
        <f>IFERROR(__xludf.DUMMYFUNCTION("GOOGLEFINANCE(B1572,""price"")"),475.0)</f>
        <v>475</v>
      </c>
      <c r="I1572" s="17">
        <f>IFERROR(__xludf.DUMMYFUNCTION("AVERAGE(QUERY(SORT(GOOGLEFINANCE(B1572,""price"",TODAY()-365,TODAY()),1,0),""select Col2 limit 10""))"),509.76500000000004)</f>
        <v>509.765</v>
      </c>
      <c r="J1572" s="17">
        <f>IFERROR(__xludf.DUMMYFUNCTION("AVERAGE(QUERY(SORT(GOOGLEFINANCE(B1572,""price"",TODAY()-365,TODAY()),1,0),""select Col2 limit 30""))"),553.6533333333333)</f>
        <v>553.6533333</v>
      </c>
      <c r="K1572" s="18">
        <f>IFERROR(__xludf.DUMMYFUNCTION("AVERAGE(QUERY(SORT(GOOGLEFINANCE(B1572,""price"",TODAY()-365,TODAY()),1,0),""select Col2 limit 60""))"),544.2316666666668)</f>
        <v>544.2316667</v>
      </c>
      <c r="L1572" s="17">
        <f>IFERROR(__xludf.DUMMYFUNCTION("AVERAGE(QUERY(SORT(GOOGLEFINANCE(B1572,""price"",TODAY()-365,TODAY()),1,0),""select Col2 limit 90""))"),496.61833333333334)</f>
        <v>496.6183333</v>
      </c>
      <c r="M1572" s="17">
        <f>IFERROR(__xludf.DUMMYFUNCTION("AVERAGE(QUERY(SORT(GOOGLEFINANCE(B1572,""price"",TODAY()-365,TODAY()),1,0),""select Col2 limit 120""))"),474.4937499999999)</f>
        <v>474.49375</v>
      </c>
      <c r="N1572" s="19">
        <f>IFERROR(__xludf.DUMMYFUNCTION("AVERAGE(QUERY(SORT(GOOGLEFINANCE(B1572,""price"",TODAY()-365,TODAY()),1,0),""select Col2 limit 200""))"),471.8844999999999)</f>
        <v>471.8845</v>
      </c>
      <c r="O1572" s="20" t="str">
        <f t="shared" si="2"/>
        <v>Avoid</v>
      </c>
      <c r="P1572" s="21" t="str">
        <f t="shared" si="3"/>
        <v/>
      </c>
      <c r="Q1572" s="21" t="str">
        <f t="shared" si="4"/>
        <v/>
      </c>
      <c r="R1572" s="22">
        <f>IFERROR(__xludf.DUMMYFUNCTION("GOOGLEFINANCE(B1572, ""pe"")
"),32.37)</f>
        <v>32.37</v>
      </c>
    </row>
    <row r="1573">
      <c r="A1573" s="9" t="s">
        <v>1581</v>
      </c>
      <c r="B1573" s="11" t="str">
        <f t="shared" si="1"/>
        <v>NSE:INTENTECH</v>
      </c>
      <c r="C1573" s="12">
        <f>IFERROR(__xludf.DUMMYFUNCTION("GOOGLEFINANCE(B1573,""marketcap"")/10000000"),197.9211378)</f>
        <v>197.9211378</v>
      </c>
      <c r="D1573" s="13">
        <f>IFERROR(__xludf.DUMMYFUNCTION("GOOGLEFINANCE(B1573,""price"")"),85.05)</f>
        <v>85.05</v>
      </c>
      <c r="E1573" s="14">
        <f>IFERROR(__xludf.DUMMYFUNCTION("GOOGLEFINANCE(B1573,""Volume"")"),19578.0)</f>
        <v>19578</v>
      </c>
      <c r="F1573" s="14">
        <f t="array" ref="F1573">F1572</f>
        <v>14</v>
      </c>
      <c r="G1573" s="15" t="str">
        <f>IFERROR(__xludf.DUMMYFUNCTION("IF(E1573&gt;AVERAGE(INDEX(GOOGLEFINANCE(B1573,""volume"",WORKDAY(TODAY(),-$F$1),TODAY()),,2)),""Breakout"","""")"),"")</f>
        <v/>
      </c>
      <c r="H1573" s="16">
        <f>IFERROR(__xludf.DUMMYFUNCTION("GOOGLEFINANCE(B1573,""price"")"),85.05)</f>
        <v>85.05</v>
      </c>
      <c r="I1573" s="17">
        <f>IFERROR(__xludf.DUMMYFUNCTION("AVERAGE(QUERY(SORT(GOOGLEFINANCE(B1573,""price"",TODAY()-365,TODAY()),1,0),""select Col2 limit 10""))"),89.429)</f>
        <v>89.429</v>
      </c>
      <c r="J1573" s="17">
        <f>IFERROR(__xludf.DUMMYFUNCTION("AVERAGE(QUERY(SORT(GOOGLEFINANCE(B1573,""price"",TODAY()-365,TODAY()),1,0),""select Col2 limit 30""))"),90.48733333333331)</f>
        <v>90.48733333</v>
      </c>
      <c r="K1573" s="18">
        <f>IFERROR(__xludf.DUMMYFUNCTION("AVERAGE(QUERY(SORT(GOOGLEFINANCE(B1573,""price"",TODAY()-365,TODAY()),1,0),""select Col2 limit 60""))"),93.58583333333337)</f>
        <v>93.58583333</v>
      </c>
      <c r="L1573" s="17">
        <f>IFERROR(__xludf.DUMMYFUNCTION("AVERAGE(QUERY(SORT(GOOGLEFINANCE(B1573,""price"",TODAY()-365,TODAY()),1,0),""select Col2 limit 90""))"),93.73577777777783)</f>
        <v>93.73577778</v>
      </c>
      <c r="M1573" s="17">
        <f>IFERROR(__xludf.DUMMYFUNCTION("AVERAGE(QUERY(SORT(GOOGLEFINANCE(B1573,""price"",TODAY()-365,TODAY()),1,0),""select Col2 limit 120""))"),95.91583333333337)</f>
        <v>95.91583333</v>
      </c>
      <c r="N1573" s="19">
        <f>IFERROR(__xludf.DUMMYFUNCTION("AVERAGE(QUERY(SORT(GOOGLEFINANCE(B1573,""price"",TODAY()-365,TODAY()),1,0),""select Col2 limit 200""))"),110.54745000000011)</f>
        <v>110.54745</v>
      </c>
      <c r="O1573" s="20" t="str">
        <f t="shared" si="2"/>
        <v>Avoid</v>
      </c>
      <c r="P1573" s="21" t="str">
        <f t="shared" si="3"/>
        <v/>
      </c>
      <c r="Q1573" s="21" t="str">
        <f t="shared" si="4"/>
        <v/>
      </c>
      <c r="R1573" s="22">
        <f>IFERROR(__xludf.DUMMYFUNCTION("GOOGLEFINANCE(B1573, ""pe"")
"),12.33)</f>
        <v>12.33</v>
      </c>
    </row>
    <row r="1574">
      <c r="A1574" s="9" t="s">
        <v>1582</v>
      </c>
      <c r="B1574" s="11" t="str">
        <f t="shared" si="1"/>
        <v>NSE:OCCL</v>
      </c>
      <c r="C1574" s="12">
        <f>IFERROR(__xludf.DUMMYFUNCTION("GOOGLEFINANCE(B1574,""marketcap"")/10000000"),221.5302679)</f>
        <v>221.5302679</v>
      </c>
      <c r="D1574" s="13">
        <f>IFERROR(__xludf.DUMMYFUNCTION("GOOGLEFINANCE(B1574,""price"")"),233.0)</f>
        <v>233</v>
      </c>
      <c r="E1574" s="14">
        <f>IFERROR(__xludf.DUMMYFUNCTION("GOOGLEFINANCE(B1574,""Volume"")"),0.0)</f>
        <v>0</v>
      </c>
      <c r="F1574" s="14">
        <f t="array" ref="F1574">F1573</f>
        <v>14</v>
      </c>
      <c r="G1574" s="15" t="str">
        <f>IFERROR(__xludf.DUMMYFUNCTION("IF(E1574&gt;AVERAGE(INDEX(GOOGLEFINANCE(B1574,""volume"",WORKDAY(TODAY(),-$F$1),TODAY()),,2)),""Breakout"","""")"),"#N/A")</f>
        <v>#N/A</v>
      </c>
      <c r="H1574" s="16">
        <f>IFERROR(__xludf.DUMMYFUNCTION("GOOGLEFINANCE(B1574,""price"")"),233.0)</f>
        <v>233</v>
      </c>
      <c r="I1574" s="17">
        <f>IFERROR(__xludf.DUMMYFUNCTION("AVERAGE(QUERY(SORT(GOOGLEFINANCE(B1574,""price"",TODAY()-365,TODAY()),1,0),""select Col2 limit 10""))"),232.098)</f>
        <v>232.098</v>
      </c>
      <c r="J1574" s="17">
        <f>IFERROR(__xludf.DUMMYFUNCTION("AVERAGE(QUERY(SORT(GOOGLEFINANCE(B1574,""price"",TODAY()-365,TODAY()),1,0),""select Col2 limit 30""))"),238.0836666666667)</f>
        <v>238.0836667</v>
      </c>
      <c r="K1574" s="18">
        <f>IFERROR(__xludf.DUMMYFUNCTION("AVERAGE(QUERY(SORT(GOOGLEFINANCE(B1574,""price"",TODAY()-365,TODAY()),1,0),""select Col2 limit 60""))"),210.045)</f>
        <v>210.045</v>
      </c>
      <c r="L1574" s="17">
        <f>IFERROR(__xludf.DUMMYFUNCTION("AVERAGE(QUERY(SORT(GOOGLEFINANCE(B1574,""price"",TODAY()-365,TODAY()),1,0),""select Col2 limit 90""))"),197.26177777777775)</f>
        <v>197.2617778</v>
      </c>
      <c r="M1574" s="17">
        <f>IFERROR(__xludf.DUMMYFUNCTION("AVERAGE(QUERY(SORT(GOOGLEFINANCE(B1574,""price"",TODAY()-365,TODAY()),1,0),""select Col2 limit 120""))"),199.4525833333333)</f>
        <v>199.4525833</v>
      </c>
      <c r="N1574" s="19">
        <f>IFERROR(__xludf.DUMMYFUNCTION("AVERAGE(QUERY(SORT(GOOGLEFINANCE(B1574,""price"",TODAY()-365,TODAY()),1,0),""select Col2 limit 200""))"),219.79715000000007)</f>
        <v>219.79715</v>
      </c>
      <c r="O1574" s="20" t="str">
        <f t="shared" si="2"/>
        <v>Avoid</v>
      </c>
      <c r="P1574" s="21" t="str">
        <f t="shared" si="3"/>
        <v/>
      </c>
      <c r="Q1574" s="21" t="str">
        <f t="shared" si="4"/>
        <v/>
      </c>
      <c r="R1574" s="22">
        <f>IFERROR(__xludf.DUMMYFUNCTION("GOOGLEFINANCE(B1574, ""pe"")
"),77.19)</f>
        <v>77.19</v>
      </c>
    </row>
    <row r="1575">
      <c r="A1575" s="9" t="s">
        <v>1583</v>
      </c>
      <c r="B1575" s="11" t="str">
        <f t="shared" si="1"/>
        <v>NSE:DJML</v>
      </c>
      <c r="C1575" s="12">
        <f>IFERROR(__xludf.DUMMYFUNCTION("GOOGLEFINANCE(B1575,""marketcap"")/10000000"),370.2752957)</f>
        <v>370.2752957</v>
      </c>
      <c r="D1575" s="13">
        <f>IFERROR(__xludf.DUMMYFUNCTION("GOOGLEFINANCE(B1575,""price"")"),112.28)</f>
        <v>112.28</v>
      </c>
      <c r="E1575" s="14">
        <f>IFERROR(__xludf.DUMMYFUNCTION("GOOGLEFINANCE(B1575,""Volume"")"),10243.0)</f>
        <v>10243</v>
      </c>
      <c r="F1575" s="14">
        <f t="array" ref="F1575">F1574</f>
        <v>14</v>
      </c>
      <c r="G1575" s="15" t="str">
        <f>IFERROR(__xludf.DUMMYFUNCTION("IF(E1575&gt;AVERAGE(INDEX(GOOGLEFINANCE(B1575,""volume"",WORKDAY(TODAY(),-$F$1),TODAY()),,2)),""Breakout"","""")"),"")</f>
        <v/>
      </c>
      <c r="H1575" s="16">
        <f>IFERROR(__xludf.DUMMYFUNCTION("GOOGLEFINANCE(B1575,""price"")"),112.28)</f>
        <v>112.28</v>
      </c>
      <c r="I1575" s="17">
        <f>IFERROR(__xludf.DUMMYFUNCTION("AVERAGE(QUERY(SORT(GOOGLEFINANCE(B1575,""price"",TODAY()-365,TODAY()),1,0),""select Col2 limit 10""))"),117.93299999999999)</f>
        <v>117.933</v>
      </c>
      <c r="J1575" s="17">
        <f>IFERROR(__xludf.DUMMYFUNCTION("AVERAGE(QUERY(SORT(GOOGLEFINANCE(B1575,""price"",TODAY()-365,TODAY()),1,0),""select Col2 limit 30""))"),111.84899999999999)</f>
        <v>111.849</v>
      </c>
      <c r="K1575" s="18">
        <f>IFERROR(__xludf.DUMMYFUNCTION("AVERAGE(QUERY(SORT(GOOGLEFINANCE(B1575,""price"",TODAY()-365,TODAY()),1,0),""select Col2 limit 60""))"),112.10550000000002)</f>
        <v>112.1055</v>
      </c>
      <c r="L1575" s="17">
        <f>IFERROR(__xludf.DUMMYFUNCTION("AVERAGE(QUERY(SORT(GOOGLEFINANCE(B1575,""price"",TODAY()-365,TODAY()),1,0),""select Col2 limit 90""))"),115.9108888888889)</f>
        <v>115.9108889</v>
      </c>
      <c r="M1575" s="17">
        <f>IFERROR(__xludf.DUMMYFUNCTION("AVERAGE(QUERY(SORT(GOOGLEFINANCE(B1575,""price"",TODAY()-365,TODAY()),1,0),""select Col2 limit 120""))"),118.67091666666664)</f>
        <v>118.6709167</v>
      </c>
      <c r="N1575" s="19">
        <f>IFERROR(__xludf.DUMMYFUNCTION("AVERAGE(QUERY(SORT(GOOGLEFINANCE(B1575,""price"",TODAY()-365,TODAY()),1,0),""select Col2 limit 200""))"),129.98704999999998)</f>
        <v>129.98705</v>
      </c>
      <c r="O1575" s="20" t="str">
        <f t="shared" si="2"/>
        <v>Avoid</v>
      </c>
      <c r="P1575" s="21" t="str">
        <f t="shared" si="3"/>
        <v/>
      </c>
      <c r="Q1575" s="21" t="str">
        <f t="shared" si="4"/>
        <v/>
      </c>
      <c r="R1575" s="22">
        <f>IFERROR(__xludf.DUMMYFUNCTION("GOOGLEFINANCE(B1575, ""pe"")
"),54.24)</f>
        <v>54.24</v>
      </c>
    </row>
    <row r="1576">
      <c r="A1576" s="9" t="s">
        <v>1584</v>
      </c>
      <c r="B1576" s="11" t="str">
        <f t="shared" si="1"/>
        <v>NSE:APOLSINHOT</v>
      </c>
      <c r="C1576" s="12">
        <f>IFERROR(__xludf.DUMMYFUNCTION("GOOGLEFINANCE(B1576,""marketcap"")/10000000"),370.2968176)</f>
        <v>370.2968176</v>
      </c>
      <c r="D1576" s="13">
        <f>IFERROR(__xludf.DUMMYFUNCTION("GOOGLEFINANCE(B1576,""price"")"),1424.0)</f>
        <v>1424</v>
      </c>
      <c r="E1576" s="14">
        <f>IFERROR(__xludf.DUMMYFUNCTION("GOOGLEFINANCE(B1576,""Volume"")"),398.0)</f>
        <v>398</v>
      </c>
      <c r="F1576" s="14">
        <f t="array" ref="F1576">F1575</f>
        <v>14</v>
      </c>
      <c r="G1576" s="15" t="str">
        <f>IFERROR(__xludf.DUMMYFUNCTION("IF(E1576&gt;AVERAGE(INDEX(GOOGLEFINANCE(B1576,""volume"",WORKDAY(TODAY(),-$F$1),TODAY()),,2)),""Breakout"","""")"),"")</f>
        <v/>
      </c>
      <c r="H1576" s="16">
        <f>IFERROR(__xludf.DUMMYFUNCTION("GOOGLEFINANCE(B1576,""price"")"),1424.0)</f>
        <v>1424</v>
      </c>
      <c r="I1576" s="17">
        <f>IFERROR(__xludf.DUMMYFUNCTION("AVERAGE(QUERY(SORT(GOOGLEFINANCE(B1576,""price"",TODAY()-365,TODAY()),1,0),""select Col2 limit 10""))"),1486.6)</f>
        <v>1486.6</v>
      </c>
      <c r="J1576" s="17">
        <f>IFERROR(__xludf.DUMMYFUNCTION("AVERAGE(QUERY(SORT(GOOGLEFINANCE(B1576,""price"",TODAY()-365,TODAY()),1,0),""select Col2 limit 30""))"),1382.7333333333336)</f>
        <v>1382.733333</v>
      </c>
      <c r="K1576" s="18">
        <f>IFERROR(__xludf.DUMMYFUNCTION("AVERAGE(QUERY(SORT(GOOGLEFINANCE(B1576,""price"",TODAY()-365,TODAY()),1,0),""select Col2 limit 60""))"),1337.8616666666667)</f>
        <v>1337.861667</v>
      </c>
      <c r="L1576" s="17">
        <f>IFERROR(__xludf.DUMMYFUNCTION("AVERAGE(QUERY(SORT(GOOGLEFINANCE(B1576,""price"",TODAY()-365,TODAY()),1,0),""select Col2 limit 90""))"),1313.2194444444444)</f>
        <v>1313.219444</v>
      </c>
      <c r="M1576" s="17">
        <f>IFERROR(__xludf.DUMMYFUNCTION("AVERAGE(QUERY(SORT(GOOGLEFINANCE(B1576,""price"",TODAY()-365,TODAY()),1,0),""select Col2 limit 120""))"),1333.0025000000003)</f>
        <v>1333.0025</v>
      </c>
      <c r="N1576" s="19">
        <f>IFERROR(__xludf.DUMMYFUNCTION("AVERAGE(QUERY(SORT(GOOGLEFINANCE(B1576,""price"",TODAY()-365,TODAY()),1,0),""select Col2 limit 200""))"),1508.0260000000003)</f>
        <v>1508.026</v>
      </c>
      <c r="O1576" s="20" t="str">
        <f t="shared" si="2"/>
        <v>Avoid</v>
      </c>
      <c r="P1576" s="21" t="str">
        <f t="shared" si="3"/>
        <v/>
      </c>
      <c r="Q1576" s="21" t="str">
        <f t="shared" si="4"/>
        <v/>
      </c>
      <c r="R1576" s="22">
        <f>IFERROR(__xludf.DUMMYFUNCTION("GOOGLEFINANCE(B1576, ""pe"")
"),47.94)</f>
        <v>47.94</v>
      </c>
    </row>
    <row r="1577">
      <c r="A1577" s="9" t="s">
        <v>1585</v>
      </c>
      <c r="B1577" s="11" t="str">
        <f t="shared" si="1"/>
        <v>NSE:PLAZACABLE</v>
      </c>
      <c r="C1577" s="12">
        <f>IFERROR(__xludf.DUMMYFUNCTION("GOOGLEFINANCE(B1577,""marketcap"")/10000000"),256.9122191)</f>
        <v>256.9122191</v>
      </c>
      <c r="D1577" s="13">
        <f>IFERROR(__xludf.DUMMYFUNCTION("GOOGLEFINANCE(B1577,""price"")"),58.64)</f>
        <v>58.64</v>
      </c>
      <c r="E1577" s="14">
        <f>IFERROR(__xludf.DUMMYFUNCTION("GOOGLEFINANCE(B1577,""Volume"")"),14266.0)</f>
        <v>14266</v>
      </c>
      <c r="F1577" s="14">
        <f t="array" ref="F1577">F1576</f>
        <v>14</v>
      </c>
      <c r="G1577" s="15" t="str">
        <f>IFERROR(__xludf.DUMMYFUNCTION("IF(E1577&gt;AVERAGE(INDEX(GOOGLEFINANCE(B1577,""volume"",WORKDAY(TODAY(),-$F$1),TODAY()),,2)),""Breakout"","""")"),"")</f>
        <v/>
      </c>
      <c r="H1577" s="16">
        <f>IFERROR(__xludf.DUMMYFUNCTION("GOOGLEFINANCE(B1577,""price"")"),58.64)</f>
        <v>58.64</v>
      </c>
      <c r="I1577" s="17">
        <f>IFERROR(__xludf.DUMMYFUNCTION("AVERAGE(QUERY(SORT(GOOGLEFINANCE(B1577,""price"",TODAY()-365,TODAY()),1,0),""select Col2 limit 10""))"),61.09999999999999)</f>
        <v>61.1</v>
      </c>
      <c r="J1577" s="17">
        <f>IFERROR(__xludf.DUMMYFUNCTION("AVERAGE(QUERY(SORT(GOOGLEFINANCE(B1577,""price"",TODAY()-365,TODAY()),1,0),""select Col2 limit 30""))"),60.45300000000001)</f>
        <v>60.453</v>
      </c>
      <c r="K1577" s="18">
        <f>IFERROR(__xludf.DUMMYFUNCTION("AVERAGE(QUERY(SORT(GOOGLEFINANCE(B1577,""price"",TODAY()-365,TODAY()),1,0),""select Col2 limit 60""))"),59.83933333333335)</f>
        <v>59.83933333</v>
      </c>
      <c r="L1577" s="17">
        <f>IFERROR(__xludf.DUMMYFUNCTION("AVERAGE(QUERY(SORT(GOOGLEFINANCE(B1577,""price"",TODAY()-365,TODAY()),1,0),""select Col2 limit 90""))"),58.17177777777779)</f>
        <v>58.17177778</v>
      </c>
      <c r="M1577" s="17">
        <f>IFERROR(__xludf.DUMMYFUNCTION("AVERAGE(QUERY(SORT(GOOGLEFINANCE(B1577,""price"",TODAY()-365,TODAY()),1,0),""select Col2 limit 120""))"),59.25308333333335)</f>
        <v>59.25308333</v>
      </c>
      <c r="N1577" s="19">
        <f>IFERROR(__xludf.DUMMYFUNCTION("AVERAGE(QUERY(SORT(GOOGLEFINANCE(B1577,""price"",TODAY()-365,TODAY()),1,0),""select Col2 limit 200""))"),66.59349999999999)</f>
        <v>66.5935</v>
      </c>
      <c r="O1577" s="20" t="str">
        <f t="shared" si="2"/>
        <v>Avoid</v>
      </c>
      <c r="P1577" s="21" t="str">
        <f t="shared" si="3"/>
        <v/>
      </c>
      <c r="Q1577" s="21" t="str">
        <f t="shared" si="4"/>
        <v/>
      </c>
      <c r="R1577" s="22">
        <f>IFERROR(__xludf.DUMMYFUNCTION("GOOGLEFINANCE(B1577, ""pe"")
"),89.26)</f>
        <v>89.26</v>
      </c>
    </row>
    <row r="1578">
      <c r="A1578" s="9" t="s">
        <v>1586</v>
      </c>
      <c r="B1578" s="11" t="str">
        <f t="shared" si="1"/>
        <v>NSE:MANAKSTEEL</v>
      </c>
      <c r="C1578" s="12">
        <f>IFERROR(__xludf.DUMMYFUNCTION("GOOGLEFINANCE(B1578,""marketcap"")/10000000"),399.757705)</f>
        <v>399.757705</v>
      </c>
      <c r="D1578" s="13">
        <f>IFERROR(__xludf.DUMMYFUNCTION("GOOGLEFINANCE(B1578,""price"")"),61.0)</f>
        <v>61</v>
      </c>
      <c r="E1578" s="14">
        <f>IFERROR(__xludf.DUMMYFUNCTION("GOOGLEFINANCE(B1578,""Volume"")"),4642.0)</f>
        <v>4642</v>
      </c>
      <c r="F1578" s="14">
        <f t="array" ref="F1578">F1577</f>
        <v>14</v>
      </c>
      <c r="G1578" s="15" t="str">
        <f>IFERROR(__xludf.DUMMYFUNCTION("IF(E1578&gt;AVERAGE(INDEX(GOOGLEFINANCE(B1578,""volume"",WORKDAY(TODAY(),-$F$1),TODAY()),,2)),""Breakout"","""")"),"")</f>
        <v/>
      </c>
      <c r="H1578" s="16">
        <f>IFERROR(__xludf.DUMMYFUNCTION("GOOGLEFINANCE(B1578,""price"")"),61.0)</f>
        <v>61</v>
      </c>
      <c r="I1578" s="17">
        <f>IFERROR(__xludf.DUMMYFUNCTION("AVERAGE(QUERY(SORT(GOOGLEFINANCE(B1578,""price"",TODAY()-365,TODAY()),1,0),""select Col2 limit 10""))"),62.37199999999999)</f>
        <v>62.372</v>
      </c>
      <c r="J1578" s="17">
        <f>IFERROR(__xludf.DUMMYFUNCTION("AVERAGE(QUERY(SORT(GOOGLEFINANCE(B1578,""price"",TODAY()-365,TODAY()),1,0),""select Col2 limit 30""))"),62.44033333333333)</f>
        <v>62.44033333</v>
      </c>
      <c r="K1578" s="18">
        <f>IFERROR(__xludf.DUMMYFUNCTION("AVERAGE(QUERY(SORT(GOOGLEFINANCE(B1578,""price"",TODAY()-365,TODAY()),1,0),""select Col2 limit 60""))"),62.19799999999999)</f>
        <v>62.198</v>
      </c>
      <c r="L1578" s="17">
        <f>IFERROR(__xludf.DUMMYFUNCTION("AVERAGE(QUERY(SORT(GOOGLEFINANCE(B1578,""price"",TODAY()-365,TODAY()),1,0),""select Col2 limit 90""))"),59.22766666666664)</f>
        <v>59.22766667</v>
      </c>
      <c r="M1578" s="17">
        <f>IFERROR(__xludf.DUMMYFUNCTION("AVERAGE(QUERY(SORT(GOOGLEFINANCE(B1578,""price"",TODAY()-365,TODAY()),1,0),""select Col2 limit 120""))"),57.51574999999998)</f>
        <v>57.51575</v>
      </c>
      <c r="N1578" s="19">
        <f>IFERROR(__xludf.DUMMYFUNCTION("AVERAGE(QUERY(SORT(GOOGLEFINANCE(B1578,""price"",TODAY()-365,TODAY()),1,0),""select Col2 limit 200""))"),59.90375000000002)</f>
        <v>59.90375</v>
      </c>
      <c r="O1578" s="20" t="str">
        <f t="shared" si="2"/>
        <v>Avoid</v>
      </c>
      <c r="P1578" s="21" t="str">
        <f t="shared" si="3"/>
        <v/>
      </c>
      <c r="Q1578" s="21" t="str">
        <f t="shared" si="4"/>
        <v/>
      </c>
      <c r="R1578" s="22">
        <f>IFERROR(__xludf.DUMMYFUNCTION("GOOGLEFINANCE(B1578, ""pe"")
"),40.94)</f>
        <v>40.94</v>
      </c>
    </row>
    <row r="1579">
      <c r="A1579" s="9" t="s">
        <v>1587</v>
      </c>
      <c r="B1579" s="11" t="str">
        <f t="shared" si="1"/>
        <v>NSE:EMAMIREAL</v>
      </c>
      <c r="C1579" s="12">
        <f>IFERROR(__xludf.DUMMYFUNCTION("GOOGLEFINANCE(B1579,""marketcap"")/10000000"),529.9956)</f>
        <v>529.9956</v>
      </c>
      <c r="D1579" s="13">
        <f>IFERROR(__xludf.DUMMYFUNCTION("GOOGLEFINANCE(B1579,""price"")"),118.0)</f>
        <v>118</v>
      </c>
      <c r="E1579" s="14">
        <f>IFERROR(__xludf.DUMMYFUNCTION("GOOGLEFINANCE(B1579,""Volume"")"),2140.0)</f>
        <v>2140</v>
      </c>
      <c r="F1579" s="14">
        <f t="array" ref="F1579">F1578</f>
        <v>14</v>
      </c>
      <c r="G1579" s="15" t="str">
        <f>IFERROR(__xludf.DUMMYFUNCTION("IF(E1579&gt;AVERAGE(INDEX(GOOGLEFINANCE(B1579,""volume"",WORKDAY(TODAY(),-$F$1),TODAY()),,2)),""Breakout"","""")"),"")</f>
        <v/>
      </c>
      <c r="H1579" s="16">
        <f>IFERROR(__xludf.DUMMYFUNCTION("GOOGLEFINANCE(B1579,""price"")"),118.0)</f>
        <v>118</v>
      </c>
      <c r="I1579" s="17">
        <f>IFERROR(__xludf.DUMMYFUNCTION("AVERAGE(QUERY(SORT(GOOGLEFINANCE(B1579,""price"",TODAY()-365,TODAY()),1,0),""select Col2 limit 10""))"),115.86599999999999)</f>
        <v>115.866</v>
      </c>
      <c r="J1579" s="17">
        <f>IFERROR(__xludf.DUMMYFUNCTION("AVERAGE(QUERY(SORT(GOOGLEFINANCE(B1579,""price"",TODAY()-365,TODAY()),1,0),""select Col2 limit 30""))"),114.02533333333334)</f>
        <v>114.0253333</v>
      </c>
      <c r="K1579" s="18">
        <f>IFERROR(__xludf.DUMMYFUNCTION("AVERAGE(QUERY(SORT(GOOGLEFINANCE(B1579,""price"",TODAY()-365,TODAY()),1,0),""select Col2 limit 60""))"),112.40116666666668)</f>
        <v>112.4011667</v>
      </c>
      <c r="L1579" s="17">
        <f>IFERROR(__xludf.DUMMYFUNCTION("AVERAGE(QUERY(SORT(GOOGLEFINANCE(B1579,""price"",TODAY()-365,TODAY()),1,0),""select Col2 limit 90""))"),114.14900000000002)</f>
        <v>114.149</v>
      </c>
      <c r="M1579" s="17">
        <f>IFERROR(__xludf.DUMMYFUNCTION("AVERAGE(QUERY(SORT(GOOGLEFINANCE(B1579,""price"",TODAY()-365,TODAY()),1,0),""select Col2 limit 120""))"),110.36308333333334)</f>
        <v>110.3630833</v>
      </c>
      <c r="N1579" s="19">
        <f>IFERROR(__xludf.DUMMYFUNCTION("AVERAGE(QUERY(SORT(GOOGLEFINANCE(B1579,""price"",TODAY()-365,TODAY()),1,0),""select Col2 limit 200""))"),110.44139999999992)</f>
        <v>110.4414</v>
      </c>
      <c r="O1579" s="20" t="str">
        <f t="shared" si="2"/>
        <v>Avoid</v>
      </c>
      <c r="P1579" s="21" t="str">
        <f t="shared" si="3"/>
        <v/>
      </c>
      <c r="Q1579" s="21" t="str">
        <f t="shared" si="4"/>
        <v/>
      </c>
      <c r="R1579" s="22" t="str">
        <f>IFERROR(__xludf.DUMMYFUNCTION("GOOGLEFINANCE(B1579, ""pe"")
"),"#N/A")</f>
        <v>#N/A</v>
      </c>
    </row>
    <row r="1580">
      <c r="A1580" s="9" t="s">
        <v>1588</v>
      </c>
      <c r="B1580" s="11" t="str">
        <f t="shared" si="1"/>
        <v>NSE:GLOBAL</v>
      </c>
      <c r="C1580" s="12">
        <f>IFERROR(__xludf.DUMMYFUNCTION("GOOGLEFINANCE(B1580,""marketcap"")/10000000"),342.5671105)</f>
        <v>342.5671105</v>
      </c>
      <c r="D1580" s="13">
        <f>IFERROR(__xludf.DUMMYFUNCTION("GOOGLEFINANCE(B1580,""price"")"),67.3)</f>
        <v>67.3</v>
      </c>
      <c r="E1580" s="14">
        <f>IFERROR(__xludf.DUMMYFUNCTION("GOOGLEFINANCE(B1580,""Volume"")"),39059.0)</f>
        <v>39059</v>
      </c>
      <c r="F1580" s="14">
        <f t="array" ref="F1580">F1579</f>
        <v>14</v>
      </c>
      <c r="G1580" s="15" t="str">
        <f>IFERROR(__xludf.DUMMYFUNCTION("IF(E1580&gt;AVERAGE(INDEX(GOOGLEFINANCE(B1580,""volume"",WORKDAY(TODAY(),-$F$1),TODAY()),,2)),""Breakout"","""")"),"Breakout")</f>
        <v>Breakout</v>
      </c>
      <c r="H1580" s="16">
        <f>IFERROR(__xludf.DUMMYFUNCTION("GOOGLEFINANCE(B1580,""price"")"),67.3)</f>
        <v>67.3</v>
      </c>
      <c r="I1580" s="17">
        <f>IFERROR(__xludf.DUMMYFUNCTION("AVERAGE(QUERY(SORT(GOOGLEFINANCE(B1580,""price"",TODAY()-365,TODAY()),1,0),""select Col2 limit 10""))"),64.284)</f>
        <v>64.284</v>
      </c>
      <c r="J1580" s="17">
        <f>IFERROR(__xludf.DUMMYFUNCTION("AVERAGE(QUERY(SORT(GOOGLEFINANCE(B1580,""price"",TODAY()-365,TODAY()),1,0),""select Col2 limit 30""))"),64.361)</f>
        <v>64.361</v>
      </c>
      <c r="K1580" s="18">
        <f>IFERROR(__xludf.DUMMYFUNCTION("AVERAGE(QUERY(SORT(GOOGLEFINANCE(B1580,""price"",TODAY()-365,TODAY()),1,0),""select Col2 limit 60""))"),62.454333333333324)</f>
        <v>62.45433333</v>
      </c>
      <c r="L1580" s="17">
        <f>IFERROR(__xludf.DUMMYFUNCTION("AVERAGE(QUERY(SORT(GOOGLEFINANCE(B1580,""price"",TODAY()-365,TODAY()),1,0),""select Col2 limit 90""))"),58.182444444444435)</f>
        <v>58.18244444</v>
      </c>
      <c r="M1580" s="17">
        <f>IFERROR(__xludf.DUMMYFUNCTION("AVERAGE(QUERY(SORT(GOOGLEFINANCE(B1580,""price"",TODAY()-365,TODAY()),1,0),""select Col2 limit 120""))"),57.261499999999984)</f>
        <v>57.2615</v>
      </c>
      <c r="N1580" s="19">
        <f>IFERROR(__xludf.DUMMYFUNCTION("AVERAGE(QUERY(SORT(GOOGLEFINANCE(B1580,""price"",TODAY()-365,TODAY()),1,0),""select Col2 limit 200""))"),63.456299999999985)</f>
        <v>63.4563</v>
      </c>
      <c r="O1580" s="20" t="str">
        <f t="shared" si="2"/>
        <v>Avoid</v>
      </c>
      <c r="P1580" s="21" t="str">
        <f t="shared" si="3"/>
        <v/>
      </c>
      <c r="Q1580" s="21" t="str">
        <f t="shared" si="4"/>
        <v/>
      </c>
      <c r="R1580" s="22">
        <f>IFERROR(__xludf.DUMMYFUNCTION("GOOGLEFINANCE(B1580, ""pe"")
"),12.15)</f>
        <v>12.15</v>
      </c>
    </row>
    <row r="1581">
      <c r="A1581" s="9" t="s">
        <v>1589</v>
      </c>
      <c r="B1581" s="11" t="str">
        <f t="shared" si="1"/>
        <v>NSE:AIRAN</v>
      </c>
      <c r="C1581" s="12">
        <f>IFERROR(__xludf.DUMMYFUNCTION("GOOGLEFINANCE(B1581,""marketcap"")/10000000"),339.6793409)</f>
        <v>339.6793409</v>
      </c>
      <c r="D1581" s="13">
        <f>IFERROR(__xludf.DUMMYFUNCTION("GOOGLEFINANCE(B1581,""price"")"),27.21)</f>
        <v>27.21</v>
      </c>
      <c r="E1581" s="14">
        <f>IFERROR(__xludf.DUMMYFUNCTION("GOOGLEFINANCE(B1581,""Volume"")"),40608.0)</f>
        <v>40608</v>
      </c>
      <c r="F1581" s="14">
        <f t="array" ref="F1581">F1580</f>
        <v>14</v>
      </c>
      <c r="G1581" s="15" t="str">
        <f>IFERROR(__xludf.DUMMYFUNCTION("IF(E1581&gt;AVERAGE(INDEX(GOOGLEFINANCE(B1581,""volume"",WORKDAY(TODAY(),-$F$1),TODAY()),,2)),""Breakout"","""")"),"")</f>
        <v/>
      </c>
      <c r="H1581" s="16">
        <f>IFERROR(__xludf.DUMMYFUNCTION("GOOGLEFINANCE(B1581,""price"")"),27.21)</f>
        <v>27.21</v>
      </c>
      <c r="I1581" s="17">
        <f>IFERROR(__xludf.DUMMYFUNCTION("AVERAGE(QUERY(SORT(GOOGLEFINANCE(B1581,""price"",TODAY()-365,TODAY()),1,0),""select Col2 limit 10""))"),29.025)</f>
        <v>29.025</v>
      </c>
      <c r="J1581" s="17">
        <f>IFERROR(__xludf.DUMMYFUNCTION("AVERAGE(QUERY(SORT(GOOGLEFINANCE(B1581,""price"",TODAY()-365,TODAY()),1,0),""select Col2 limit 30""))"),29.63866666666667)</f>
        <v>29.63866667</v>
      </c>
      <c r="K1581" s="18">
        <f>IFERROR(__xludf.DUMMYFUNCTION("AVERAGE(QUERY(SORT(GOOGLEFINANCE(B1581,""price"",TODAY()-365,TODAY()),1,0),""select Col2 limit 60""))"),28.273833333333332)</f>
        <v>28.27383333</v>
      </c>
      <c r="L1581" s="17">
        <f>IFERROR(__xludf.DUMMYFUNCTION("AVERAGE(QUERY(SORT(GOOGLEFINANCE(B1581,""price"",TODAY()-365,TODAY()),1,0),""select Col2 limit 90""))"),28.053888888888892)</f>
        <v>28.05388889</v>
      </c>
      <c r="M1581" s="17">
        <f>IFERROR(__xludf.DUMMYFUNCTION("AVERAGE(QUERY(SORT(GOOGLEFINANCE(B1581,""price"",TODAY()-365,TODAY()),1,0),""select Col2 limit 120""))"),28.411499999999997)</f>
        <v>28.4115</v>
      </c>
      <c r="N1581" s="19">
        <f>IFERROR(__xludf.DUMMYFUNCTION("AVERAGE(QUERY(SORT(GOOGLEFINANCE(B1581,""price"",TODAY()-365,TODAY()),1,0),""select Col2 limit 200""))"),30.632900000000003)</f>
        <v>30.6329</v>
      </c>
      <c r="O1581" s="20" t="str">
        <f t="shared" si="2"/>
        <v>Avoid</v>
      </c>
      <c r="P1581" s="21" t="str">
        <f t="shared" si="3"/>
        <v/>
      </c>
      <c r="Q1581" s="21" t="str">
        <f t="shared" si="4"/>
        <v/>
      </c>
      <c r="R1581" s="22">
        <f>IFERROR(__xludf.DUMMYFUNCTION("GOOGLEFINANCE(B1581, ""pe"")
"),18.66)</f>
        <v>18.66</v>
      </c>
    </row>
    <row r="1582">
      <c r="A1582" s="9" t="s">
        <v>1590</v>
      </c>
      <c r="B1582" s="11" t="str">
        <f t="shared" si="1"/>
        <v>NSE:COASTCORP</v>
      </c>
      <c r="C1582" s="12">
        <f>IFERROR(__xludf.DUMMYFUNCTION("GOOGLEFINANCE(B1582,""marketcap"")/10000000"),240.5151959)</f>
        <v>240.5151959</v>
      </c>
      <c r="D1582" s="13">
        <f>IFERROR(__xludf.DUMMYFUNCTION("GOOGLEFINANCE(B1582,""price"")"),35.91)</f>
        <v>35.91</v>
      </c>
      <c r="E1582" s="14">
        <f>IFERROR(__xludf.DUMMYFUNCTION("GOOGLEFINANCE(B1582,""Volume"")"),47897.0)</f>
        <v>47897</v>
      </c>
      <c r="F1582" s="14">
        <f t="array" ref="F1582">F1581</f>
        <v>14</v>
      </c>
      <c r="G1582" s="15" t="str">
        <f>IFERROR(__xludf.DUMMYFUNCTION("IF(E1582&gt;AVERAGE(INDEX(GOOGLEFINANCE(B1582,""volume"",WORKDAY(TODAY(),-$F$1),TODAY()),,2)),""Breakout"","""")"),"")</f>
        <v/>
      </c>
      <c r="H1582" s="16">
        <f>IFERROR(__xludf.DUMMYFUNCTION("GOOGLEFINANCE(B1582,""price"")"),35.91)</f>
        <v>35.91</v>
      </c>
      <c r="I1582" s="17">
        <f>IFERROR(__xludf.DUMMYFUNCTION("AVERAGE(QUERY(SORT(GOOGLEFINANCE(B1582,""price"",TODAY()-365,TODAY()),1,0),""select Col2 limit 10""))"),36.643)</f>
        <v>36.643</v>
      </c>
      <c r="J1582" s="17">
        <f>IFERROR(__xludf.DUMMYFUNCTION("AVERAGE(QUERY(SORT(GOOGLEFINANCE(B1582,""price"",TODAY()-365,TODAY()),1,0),""select Col2 limit 30""))"),37.759)</f>
        <v>37.759</v>
      </c>
      <c r="K1582" s="18">
        <f>IFERROR(__xludf.DUMMYFUNCTION("AVERAGE(QUERY(SORT(GOOGLEFINANCE(B1582,""price"",TODAY()-365,TODAY()),1,0),""select Col2 limit 60""))"),38.31916666666665)</f>
        <v>38.31916667</v>
      </c>
      <c r="L1582" s="17">
        <f>IFERROR(__xludf.DUMMYFUNCTION("AVERAGE(QUERY(SORT(GOOGLEFINANCE(B1582,""price"",TODAY()-365,TODAY()),1,0),""select Col2 limit 90""))"),38.249222222222215)</f>
        <v>38.24922222</v>
      </c>
      <c r="M1582" s="17">
        <f>IFERROR(__xludf.DUMMYFUNCTION("AVERAGE(QUERY(SORT(GOOGLEFINANCE(B1582,""price"",TODAY()-365,TODAY()),1,0),""select Col2 limit 120""))"),39.88408333333332)</f>
        <v>39.88408333</v>
      </c>
      <c r="N1582" s="19">
        <f>IFERROR(__xludf.DUMMYFUNCTION("AVERAGE(QUERY(SORT(GOOGLEFINANCE(B1582,""price"",TODAY()-365,TODAY()),1,0),""select Col2 limit 200""))"),43.744800000000005)</f>
        <v>43.7448</v>
      </c>
      <c r="O1582" s="20" t="str">
        <f t="shared" si="2"/>
        <v>Avoid</v>
      </c>
      <c r="P1582" s="21" t="str">
        <f t="shared" si="3"/>
        <v/>
      </c>
      <c r="Q1582" s="21" t="str">
        <f t="shared" si="4"/>
        <v/>
      </c>
      <c r="R1582" s="22">
        <f>IFERROR(__xludf.DUMMYFUNCTION("GOOGLEFINANCE(B1582, ""pe"")
"),53.6)</f>
        <v>53.6</v>
      </c>
    </row>
    <row r="1583">
      <c r="A1583" s="9" t="s">
        <v>1591</v>
      </c>
      <c r="B1583" s="11" t="str">
        <f t="shared" si="1"/>
        <v>NSE:SHYAMCENT</v>
      </c>
      <c r="C1583" s="12">
        <f>IFERROR(__xludf.DUMMYFUNCTION("GOOGLEFINANCE(B1583,""marketcap"")/10000000"),167.8288397)</f>
        <v>167.8288397</v>
      </c>
      <c r="D1583" s="13">
        <f>IFERROR(__xludf.DUMMYFUNCTION("GOOGLEFINANCE(B1583,""price"")"),7.91)</f>
        <v>7.91</v>
      </c>
      <c r="E1583" s="14">
        <f>IFERROR(__xludf.DUMMYFUNCTION("GOOGLEFINANCE(B1583,""Volume"")"),65083.0)</f>
        <v>65083</v>
      </c>
      <c r="F1583" s="14">
        <f t="array" ref="F1583">F1582</f>
        <v>14</v>
      </c>
      <c r="G1583" s="15" t="str">
        <f>IFERROR(__xludf.DUMMYFUNCTION("IF(E1583&gt;AVERAGE(INDEX(GOOGLEFINANCE(B1583,""volume"",WORKDAY(TODAY(),-$F$1),TODAY()),,2)),""Breakout"","""")"),"Breakout")</f>
        <v>Breakout</v>
      </c>
      <c r="H1583" s="16">
        <f>IFERROR(__xludf.DUMMYFUNCTION("GOOGLEFINANCE(B1583,""price"")"),7.91)</f>
        <v>7.91</v>
      </c>
      <c r="I1583" s="17">
        <f>IFERROR(__xludf.DUMMYFUNCTION("AVERAGE(QUERY(SORT(GOOGLEFINANCE(B1583,""price"",TODAY()-365,TODAY()),1,0),""select Col2 limit 10""))"),8.097999999999999)</f>
        <v>8.098</v>
      </c>
      <c r="J1583" s="17">
        <f>IFERROR(__xludf.DUMMYFUNCTION("AVERAGE(QUERY(SORT(GOOGLEFINANCE(B1583,""price"",TODAY()-365,TODAY()),1,0),""select Col2 limit 30""))"),7.888333333333334)</f>
        <v>7.888333333</v>
      </c>
      <c r="K1583" s="18">
        <f>IFERROR(__xludf.DUMMYFUNCTION("AVERAGE(QUERY(SORT(GOOGLEFINANCE(B1583,""price"",TODAY()-365,TODAY()),1,0),""select Col2 limit 60""))"),8.157833333333333)</f>
        <v>8.157833333</v>
      </c>
      <c r="L1583" s="17">
        <f>IFERROR(__xludf.DUMMYFUNCTION("AVERAGE(QUERY(SORT(GOOGLEFINANCE(B1583,""price"",TODAY()-365,TODAY()),1,0),""select Col2 limit 90""))"),8.130222222222221)</f>
        <v>8.130222222</v>
      </c>
      <c r="M1583" s="17">
        <f>IFERROR(__xludf.DUMMYFUNCTION("AVERAGE(QUERY(SORT(GOOGLEFINANCE(B1583,""price"",TODAY()-365,TODAY()),1,0),""select Col2 limit 120""))"),8.336916666666665)</f>
        <v>8.336916667</v>
      </c>
      <c r="N1583" s="19">
        <f>IFERROR(__xludf.DUMMYFUNCTION("AVERAGE(QUERY(SORT(GOOGLEFINANCE(B1583,""price"",TODAY()-365,TODAY()),1,0),""select Col2 limit 200""))"),10.861350000000002)</f>
        <v>10.86135</v>
      </c>
      <c r="O1583" s="20" t="str">
        <f t="shared" si="2"/>
        <v>Avoid</v>
      </c>
      <c r="P1583" s="21" t="str">
        <f t="shared" si="3"/>
        <v/>
      </c>
      <c r="Q1583" s="21" t="str">
        <f t="shared" si="4"/>
        <v/>
      </c>
      <c r="R1583" s="22" t="str">
        <f>IFERROR(__xludf.DUMMYFUNCTION("GOOGLEFINANCE(B1583, ""pe"")
"),"#N/A")</f>
        <v>#N/A</v>
      </c>
    </row>
    <row r="1584">
      <c r="A1584" s="9" t="s">
        <v>1592</v>
      </c>
      <c r="B1584" s="11" t="str">
        <f t="shared" si="1"/>
        <v>NSE:BHAGYANGR</v>
      </c>
      <c r="C1584" s="12">
        <f>IFERROR(__xludf.DUMMYFUNCTION("GOOGLEFINANCE(B1584,""marketcap"")/10000000"),313.463304)</f>
        <v>313.463304</v>
      </c>
      <c r="D1584" s="13">
        <f>IFERROR(__xludf.DUMMYFUNCTION("GOOGLEFINANCE(B1584,""price"")"),98.0)</f>
        <v>98</v>
      </c>
      <c r="E1584" s="14">
        <f>IFERROR(__xludf.DUMMYFUNCTION("GOOGLEFINANCE(B1584,""Volume"")"),19773.0)</f>
        <v>19773</v>
      </c>
      <c r="F1584" s="14">
        <f t="array" ref="F1584">F1583</f>
        <v>14</v>
      </c>
      <c r="G1584" s="15" t="str">
        <f>IFERROR(__xludf.DUMMYFUNCTION("IF(E1584&gt;AVERAGE(INDEX(GOOGLEFINANCE(B1584,""volume"",WORKDAY(TODAY(),-$F$1),TODAY()),,2)),""Breakout"","""")"),"")</f>
        <v/>
      </c>
      <c r="H1584" s="16">
        <f>IFERROR(__xludf.DUMMYFUNCTION("GOOGLEFINANCE(B1584,""price"")"),98.0)</f>
        <v>98</v>
      </c>
      <c r="I1584" s="17">
        <f>IFERROR(__xludf.DUMMYFUNCTION("AVERAGE(QUERY(SORT(GOOGLEFINANCE(B1584,""price"",TODAY()-365,TODAY()),1,0),""select Col2 limit 10""))"),98.036)</f>
        <v>98.036</v>
      </c>
      <c r="J1584" s="17">
        <f>IFERROR(__xludf.DUMMYFUNCTION("AVERAGE(QUERY(SORT(GOOGLEFINANCE(B1584,""price"",TODAY()-365,TODAY()),1,0),""select Col2 limit 30""))"),85.58433333333332)</f>
        <v>85.58433333</v>
      </c>
      <c r="K1584" s="18">
        <f>IFERROR(__xludf.DUMMYFUNCTION("AVERAGE(QUERY(SORT(GOOGLEFINANCE(B1584,""price"",TODAY()-365,TODAY()),1,0),""select Col2 limit 60""))"),81.04766666666661)</f>
        <v>81.04766667</v>
      </c>
      <c r="L1584" s="17">
        <f>IFERROR(__xludf.DUMMYFUNCTION("AVERAGE(QUERY(SORT(GOOGLEFINANCE(B1584,""price"",TODAY()-365,TODAY()),1,0),""select Col2 limit 90""))"),78.36777777777772)</f>
        <v>78.36777778</v>
      </c>
      <c r="M1584" s="17">
        <f>IFERROR(__xludf.DUMMYFUNCTION("AVERAGE(QUERY(SORT(GOOGLEFINANCE(B1584,""price"",TODAY()-365,TODAY()),1,0),""select Col2 limit 120""))"),78.71033333333331)</f>
        <v>78.71033333</v>
      </c>
      <c r="N1584" s="19">
        <f>IFERROR(__xludf.DUMMYFUNCTION("AVERAGE(QUERY(SORT(GOOGLEFINANCE(B1584,""price"",TODAY()-365,TODAY()),1,0),""select Col2 limit 200""))"),86.45880000000005)</f>
        <v>86.4588</v>
      </c>
      <c r="O1584" s="20" t="str">
        <f t="shared" si="2"/>
        <v>Avoid</v>
      </c>
      <c r="P1584" s="21" t="str">
        <f t="shared" si="3"/>
        <v>10 DMA</v>
      </c>
      <c r="Q1584" s="21" t="str">
        <f t="shared" si="4"/>
        <v/>
      </c>
      <c r="R1584" s="22">
        <f>IFERROR(__xludf.DUMMYFUNCTION("GOOGLEFINANCE(B1584, ""pe"")
"),15.73)</f>
        <v>15.73</v>
      </c>
    </row>
    <row r="1585">
      <c r="A1585" s="9" t="s">
        <v>1593</v>
      </c>
      <c r="B1585" s="11" t="str">
        <f t="shared" si="1"/>
        <v>NSE:ELGIRUBCO</v>
      </c>
      <c r="C1585" s="12">
        <f>IFERROR(__xludf.DUMMYFUNCTION("GOOGLEFINANCE(B1585,""marketcap"")/10000000"),285.285)</f>
        <v>285.285</v>
      </c>
      <c r="D1585" s="13">
        <f>IFERROR(__xludf.DUMMYFUNCTION("GOOGLEFINANCE(B1585,""price"")"),57.0)</f>
        <v>57</v>
      </c>
      <c r="E1585" s="14">
        <f>IFERROR(__xludf.DUMMYFUNCTION("GOOGLEFINANCE(B1585,""Volume"")"),238.0)</f>
        <v>238</v>
      </c>
      <c r="F1585" s="14">
        <f t="array" ref="F1585">F1584</f>
        <v>14</v>
      </c>
      <c r="G1585" s="15" t="str">
        <f>IFERROR(__xludf.DUMMYFUNCTION("IF(E1585&gt;AVERAGE(INDEX(GOOGLEFINANCE(B1585,""volume"",WORKDAY(TODAY(),-$F$1),TODAY()),,2)),""Breakout"","""")"),"")</f>
        <v/>
      </c>
      <c r="H1585" s="16">
        <f>IFERROR(__xludf.DUMMYFUNCTION("GOOGLEFINANCE(B1585,""price"")"),57.0)</f>
        <v>57</v>
      </c>
      <c r="I1585" s="17">
        <f>IFERROR(__xludf.DUMMYFUNCTION("AVERAGE(QUERY(SORT(GOOGLEFINANCE(B1585,""price"",TODAY()-365,TODAY()),1,0),""select Col2 limit 10""))"),59.402)</f>
        <v>59.402</v>
      </c>
      <c r="J1585" s="17">
        <f>IFERROR(__xludf.DUMMYFUNCTION("AVERAGE(QUERY(SORT(GOOGLEFINANCE(B1585,""price"",TODAY()-365,TODAY()),1,0),""select Col2 limit 30""))"),58.63533333333335)</f>
        <v>58.63533333</v>
      </c>
      <c r="K1585" s="18">
        <f>IFERROR(__xludf.DUMMYFUNCTION("AVERAGE(QUERY(SORT(GOOGLEFINANCE(B1585,""price"",TODAY()-365,TODAY()),1,0),""select Col2 limit 60""))"),59.59916666666668)</f>
        <v>59.59916667</v>
      </c>
      <c r="L1585" s="17">
        <f>IFERROR(__xludf.DUMMYFUNCTION("AVERAGE(QUERY(SORT(GOOGLEFINANCE(B1585,""price"",TODAY()-365,TODAY()),1,0),""select Col2 limit 90""))"),60.555444444444454)</f>
        <v>60.55544444</v>
      </c>
      <c r="M1585" s="17">
        <f>IFERROR(__xludf.DUMMYFUNCTION("AVERAGE(QUERY(SORT(GOOGLEFINANCE(B1585,""price"",TODAY()-365,TODAY()),1,0),""select Col2 limit 120""))"),64.71991666666666)</f>
        <v>64.71991667</v>
      </c>
      <c r="N1585" s="19">
        <f>IFERROR(__xludf.DUMMYFUNCTION("AVERAGE(QUERY(SORT(GOOGLEFINANCE(B1585,""price"",TODAY()-365,TODAY()),1,0),""select Col2 limit 200""))"),84.12434999999996)</f>
        <v>84.12435</v>
      </c>
      <c r="O1585" s="20" t="str">
        <f t="shared" si="2"/>
        <v>Avoid</v>
      </c>
      <c r="P1585" s="21" t="str">
        <f t="shared" si="3"/>
        <v/>
      </c>
      <c r="Q1585" s="21" t="str">
        <f t="shared" si="4"/>
        <v/>
      </c>
      <c r="R1585" s="22" t="str">
        <f>IFERROR(__xludf.DUMMYFUNCTION("GOOGLEFINANCE(B1585, ""pe"")
"),"#N/A")</f>
        <v>#N/A</v>
      </c>
    </row>
    <row r="1586">
      <c r="A1586" s="9" t="s">
        <v>1594</v>
      </c>
      <c r="B1586" s="11" t="str">
        <f t="shared" si="1"/>
        <v>NSE:GULFPETRO</v>
      </c>
      <c r="C1586" s="12">
        <f>IFERROR(__xludf.DUMMYFUNCTION("GOOGLEFINANCE(B1586,""marketcap"")/10000000"),215.6672109)</f>
        <v>215.6672109</v>
      </c>
      <c r="D1586" s="13">
        <f>IFERROR(__xludf.DUMMYFUNCTION("GOOGLEFINANCE(B1586,""price"")"),42.37)</f>
        <v>42.37</v>
      </c>
      <c r="E1586" s="14">
        <f>IFERROR(__xludf.DUMMYFUNCTION("GOOGLEFINANCE(B1586,""Volume"")"),38449.0)</f>
        <v>38449</v>
      </c>
      <c r="F1586" s="14">
        <f t="array" ref="F1586">F1585</f>
        <v>14</v>
      </c>
      <c r="G1586" s="15" t="str">
        <f>IFERROR(__xludf.DUMMYFUNCTION("IF(E1586&gt;AVERAGE(INDEX(GOOGLEFINANCE(B1586,""volume"",WORKDAY(TODAY(),-$F$1),TODAY()),,2)),""Breakout"","""")"),"")</f>
        <v/>
      </c>
      <c r="H1586" s="16">
        <f>IFERROR(__xludf.DUMMYFUNCTION("GOOGLEFINANCE(B1586,""price"")"),42.37)</f>
        <v>42.37</v>
      </c>
      <c r="I1586" s="17">
        <f>IFERROR(__xludf.DUMMYFUNCTION("AVERAGE(QUERY(SORT(GOOGLEFINANCE(B1586,""price"",TODAY()-365,TODAY()),1,0),""select Col2 limit 10""))"),44.663999999999994)</f>
        <v>44.664</v>
      </c>
      <c r="J1586" s="17">
        <f>IFERROR(__xludf.DUMMYFUNCTION("AVERAGE(QUERY(SORT(GOOGLEFINANCE(B1586,""price"",TODAY()-365,TODAY()),1,0),""select Col2 limit 30""))"),45.182)</f>
        <v>45.182</v>
      </c>
      <c r="K1586" s="18">
        <f>IFERROR(__xludf.DUMMYFUNCTION("AVERAGE(QUERY(SORT(GOOGLEFINANCE(B1586,""price"",TODAY()-365,TODAY()),1,0),""select Col2 limit 60""))"),44.754166666666656)</f>
        <v>44.75416667</v>
      </c>
      <c r="L1586" s="17">
        <f>IFERROR(__xludf.DUMMYFUNCTION("AVERAGE(QUERY(SORT(GOOGLEFINANCE(B1586,""price"",TODAY()-365,TODAY()),1,0),""select Col2 limit 90""))"),42.99055555555555)</f>
        <v>42.99055556</v>
      </c>
      <c r="M1586" s="17">
        <f>IFERROR(__xludf.DUMMYFUNCTION("AVERAGE(QUERY(SORT(GOOGLEFINANCE(B1586,""price"",TODAY()-365,TODAY()),1,0),""select Col2 limit 120""))"),43.52416666666666)</f>
        <v>43.52416667</v>
      </c>
      <c r="N1586" s="19">
        <f>IFERROR(__xludf.DUMMYFUNCTION("AVERAGE(QUERY(SORT(GOOGLEFINANCE(B1586,""price"",TODAY()-365,TODAY()),1,0),""select Col2 limit 200""))"),51.187349999999995)</f>
        <v>51.18735</v>
      </c>
      <c r="O1586" s="20" t="str">
        <f t="shared" si="2"/>
        <v>Avoid</v>
      </c>
      <c r="P1586" s="21" t="str">
        <f t="shared" si="3"/>
        <v/>
      </c>
      <c r="Q1586" s="21" t="str">
        <f t="shared" si="4"/>
        <v/>
      </c>
      <c r="R1586" s="22">
        <f>IFERROR(__xludf.DUMMYFUNCTION("GOOGLEFINANCE(B1586, ""pe"")
"),8.21)</f>
        <v>8.21</v>
      </c>
    </row>
    <row r="1587">
      <c r="A1587" s="9" t="s">
        <v>1595</v>
      </c>
      <c r="B1587" s="11" t="str">
        <f t="shared" si="1"/>
        <v>NSE:SURANAT&amp;P</v>
      </c>
      <c r="C1587" s="12">
        <f>IFERROR(__xludf.DUMMYFUNCTION("GOOGLEFINANCE(B1587,""marketcap"")/10000000"),256.1789426)</f>
        <v>256.1789426</v>
      </c>
      <c r="D1587" s="13">
        <f>IFERROR(__xludf.DUMMYFUNCTION("GOOGLEFINANCE(B1587,""price"")"),18.87)</f>
        <v>18.87</v>
      </c>
      <c r="E1587" s="14">
        <f>IFERROR(__xludf.DUMMYFUNCTION("GOOGLEFINANCE(B1587,""Volume"")"),60275.0)</f>
        <v>60275</v>
      </c>
      <c r="F1587" s="14">
        <f t="array" ref="F1587">F1586</f>
        <v>14</v>
      </c>
      <c r="G1587" s="15" t="str">
        <f>IFERROR(__xludf.DUMMYFUNCTION("IF(E1587&gt;AVERAGE(INDEX(GOOGLEFINANCE(B1587,""volume"",WORKDAY(TODAY(),-$F$1),TODAY()),,2)),""Breakout"","""")"),"")</f>
        <v/>
      </c>
      <c r="H1587" s="16">
        <f>IFERROR(__xludf.DUMMYFUNCTION("GOOGLEFINANCE(B1587,""price"")"),18.87)</f>
        <v>18.87</v>
      </c>
      <c r="I1587" s="17">
        <f>IFERROR(__xludf.DUMMYFUNCTION("AVERAGE(QUERY(SORT(GOOGLEFINANCE(B1587,""price"",TODAY()-365,TODAY()),1,0),""select Col2 limit 10""))"),18.88)</f>
        <v>18.88</v>
      </c>
      <c r="J1587" s="17">
        <f>IFERROR(__xludf.DUMMYFUNCTION("AVERAGE(QUERY(SORT(GOOGLEFINANCE(B1587,""price"",TODAY()-365,TODAY()),1,0),""select Col2 limit 30""))"),19.098666666666663)</f>
        <v>19.09866667</v>
      </c>
      <c r="K1587" s="18">
        <f>IFERROR(__xludf.DUMMYFUNCTION("AVERAGE(QUERY(SORT(GOOGLEFINANCE(B1587,""price"",TODAY()-365,TODAY()),1,0),""select Col2 limit 60""))"),19.33683333333333)</f>
        <v>19.33683333</v>
      </c>
      <c r="L1587" s="17">
        <f>IFERROR(__xludf.DUMMYFUNCTION("AVERAGE(QUERY(SORT(GOOGLEFINANCE(B1587,""price"",TODAY()-365,TODAY()),1,0),""select Col2 limit 90""))"),19.214111111111105)</f>
        <v>19.21411111</v>
      </c>
      <c r="M1587" s="17">
        <f>IFERROR(__xludf.DUMMYFUNCTION("AVERAGE(QUERY(SORT(GOOGLEFINANCE(B1587,""price"",TODAY()-365,TODAY()),1,0),""select Col2 limit 120""))"),19.398500000000002)</f>
        <v>19.3985</v>
      </c>
      <c r="N1587" s="19">
        <f>IFERROR(__xludf.DUMMYFUNCTION("AVERAGE(QUERY(SORT(GOOGLEFINANCE(B1587,""price"",TODAY()-365,TODAY()),1,0),""select Col2 limit 200""))"),20.542850000000012)</f>
        <v>20.54285</v>
      </c>
      <c r="O1587" s="20" t="str">
        <f t="shared" si="2"/>
        <v>Avoid</v>
      </c>
      <c r="P1587" s="21" t="str">
        <f t="shared" si="3"/>
        <v>10 DMA</v>
      </c>
      <c r="Q1587" s="21" t="str">
        <f t="shared" si="4"/>
        <v>10 DMA cross best</v>
      </c>
      <c r="R1587" s="22">
        <f>IFERROR(__xludf.DUMMYFUNCTION("GOOGLEFINANCE(B1587, ""pe"")
"),10.91)</f>
        <v>10.91</v>
      </c>
    </row>
    <row r="1588">
      <c r="A1588" s="9" t="s">
        <v>1596</v>
      </c>
      <c r="B1588" s="11" t="str">
        <f t="shared" si="1"/>
        <v>NSE:ZODIACLOTH</v>
      </c>
      <c r="C1588" s="12">
        <f>IFERROR(__xludf.DUMMYFUNCTION("GOOGLEFINANCE(B1588,""marketcap"")/10000000"),279.224428)</f>
        <v>279.224428</v>
      </c>
      <c r="D1588" s="13">
        <f>IFERROR(__xludf.DUMMYFUNCTION("GOOGLEFINANCE(B1588,""price"")"),107.42)</f>
        <v>107.42</v>
      </c>
      <c r="E1588" s="14">
        <f>IFERROR(__xludf.DUMMYFUNCTION("GOOGLEFINANCE(B1588,""Volume"")"),1118.0)</f>
        <v>1118</v>
      </c>
      <c r="F1588" s="14">
        <f t="array" ref="F1588">F1587</f>
        <v>14</v>
      </c>
      <c r="G1588" s="15" t="str">
        <f>IFERROR(__xludf.DUMMYFUNCTION("IF(E1588&gt;AVERAGE(INDEX(GOOGLEFINANCE(B1588,""volume"",WORKDAY(TODAY(),-$F$1),TODAY()),,2)),""Breakout"","""")"),"")</f>
        <v/>
      </c>
      <c r="H1588" s="16">
        <f>IFERROR(__xludf.DUMMYFUNCTION("GOOGLEFINANCE(B1588,""price"")"),107.42)</f>
        <v>107.42</v>
      </c>
      <c r="I1588" s="17">
        <f>IFERROR(__xludf.DUMMYFUNCTION("AVERAGE(QUERY(SORT(GOOGLEFINANCE(B1588,""price"",TODAY()-365,TODAY()),1,0),""select Col2 limit 10""))"),108.28699999999999)</f>
        <v>108.287</v>
      </c>
      <c r="J1588" s="17">
        <f>IFERROR(__xludf.DUMMYFUNCTION("AVERAGE(QUERY(SORT(GOOGLEFINANCE(B1588,""price"",TODAY()-365,TODAY()),1,0),""select Col2 limit 30""))"),109.14033333333333)</f>
        <v>109.1403333</v>
      </c>
      <c r="K1588" s="18">
        <f>IFERROR(__xludf.DUMMYFUNCTION("AVERAGE(QUERY(SORT(GOOGLEFINANCE(B1588,""price"",TODAY()-365,TODAY()),1,0),""select Col2 limit 60""))"),109.77233333333335)</f>
        <v>109.7723333</v>
      </c>
      <c r="L1588" s="17">
        <f>IFERROR(__xludf.DUMMYFUNCTION("AVERAGE(QUERY(SORT(GOOGLEFINANCE(B1588,""price"",TODAY()-365,TODAY()),1,0),""select Col2 limit 90""))"),104.2461111111111)</f>
        <v>104.2461111</v>
      </c>
      <c r="M1588" s="17">
        <f>IFERROR(__xludf.DUMMYFUNCTION("AVERAGE(QUERY(SORT(GOOGLEFINANCE(B1588,""price"",TODAY()-365,TODAY()),1,0),""select Col2 limit 120""))"),103.51150000000001)</f>
        <v>103.5115</v>
      </c>
      <c r="N1588" s="19">
        <f>IFERROR(__xludf.DUMMYFUNCTION("AVERAGE(QUERY(SORT(GOOGLEFINANCE(B1588,""price"",TODAY()-365,TODAY()),1,0),""select Col2 limit 200""))"),111.6292)</f>
        <v>111.6292</v>
      </c>
      <c r="O1588" s="20" t="str">
        <f t="shared" si="2"/>
        <v>Avoid</v>
      </c>
      <c r="P1588" s="21" t="str">
        <f t="shared" si="3"/>
        <v>10 DMA</v>
      </c>
      <c r="Q1588" s="21" t="str">
        <f t="shared" si="4"/>
        <v/>
      </c>
      <c r="R1588" s="22" t="str">
        <f>IFERROR(__xludf.DUMMYFUNCTION("GOOGLEFINANCE(B1588, ""pe"")
"),"#N/A")</f>
        <v>#N/A</v>
      </c>
    </row>
    <row r="1589">
      <c r="A1589" s="9" t="s">
        <v>1597</v>
      </c>
      <c r="B1589" s="11" t="str">
        <f t="shared" si="1"/>
        <v>NSE:ASIANHOTNR</v>
      </c>
      <c r="C1589" s="12">
        <f>IFERROR(__xludf.DUMMYFUNCTION("GOOGLEFINANCE(B1589,""marketcap"")/10000000"),672.1090965)</f>
        <v>672.1090965</v>
      </c>
      <c r="D1589" s="13">
        <f>IFERROR(__xludf.DUMMYFUNCTION("GOOGLEFINANCE(B1589,""price"")"),345.0)</f>
        <v>345</v>
      </c>
      <c r="E1589" s="14">
        <f>IFERROR(__xludf.DUMMYFUNCTION("GOOGLEFINANCE(B1589,""Volume"")"),2494.0)</f>
        <v>2494</v>
      </c>
      <c r="F1589" s="14">
        <f t="array" ref="F1589">F1588</f>
        <v>14</v>
      </c>
      <c r="G1589" s="15" t="str">
        <f>IFERROR(__xludf.DUMMYFUNCTION("IF(E1589&gt;AVERAGE(INDEX(GOOGLEFINANCE(B1589,""volume"",WORKDAY(TODAY(),-$F$1),TODAY()),,2)),""Breakout"","""")"),"Breakout")</f>
        <v>Breakout</v>
      </c>
      <c r="H1589" s="16">
        <f>IFERROR(__xludf.DUMMYFUNCTION("GOOGLEFINANCE(B1589,""price"")"),345.0)</f>
        <v>345</v>
      </c>
      <c r="I1589" s="17">
        <f>IFERROR(__xludf.DUMMYFUNCTION("AVERAGE(QUERY(SORT(GOOGLEFINANCE(B1589,""price"",TODAY()-365,TODAY()),1,0),""select Col2 limit 10""))"),361.34499999999997)</f>
        <v>361.345</v>
      </c>
      <c r="J1589" s="17">
        <f>IFERROR(__xludf.DUMMYFUNCTION("AVERAGE(QUERY(SORT(GOOGLEFINANCE(B1589,""price"",TODAY()-365,TODAY()),1,0),""select Col2 limit 30""))"),358.11333333333334)</f>
        <v>358.1133333</v>
      </c>
      <c r="K1589" s="18">
        <f>IFERROR(__xludf.DUMMYFUNCTION("AVERAGE(QUERY(SORT(GOOGLEFINANCE(B1589,""price"",TODAY()-365,TODAY()),1,0),""select Col2 limit 60""))"),359.47416666666663)</f>
        <v>359.4741667</v>
      </c>
      <c r="L1589" s="17">
        <f>IFERROR(__xludf.DUMMYFUNCTION("AVERAGE(QUERY(SORT(GOOGLEFINANCE(B1589,""price"",TODAY()-365,TODAY()),1,0),""select Col2 limit 90""))"),363.09055555555545)</f>
        <v>363.0905556</v>
      </c>
      <c r="M1589" s="17">
        <f>IFERROR(__xludf.DUMMYFUNCTION("AVERAGE(QUERY(SORT(GOOGLEFINANCE(B1589,""price"",TODAY()-365,TODAY()),1,0),""select Col2 limit 120""))"),362.9941666666666)</f>
        <v>362.9941667</v>
      </c>
      <c r="N1589" s="19">
        <f>IFERROR(__xludf.DUMMYFUNCTION("AVERAGE(QUERY(SORT(GOOGLEFINANCE(B1589,""price"",TODAY()-365,TODAY()),1,0),""select Col2 limit 200""))"),310.3226999999998)</f>
        <v>310.3227</v>
      </c>
      <c r="O1589" s="20" t="str">
        <f t="shared" si="2"/>
        <v>Sell Below 200 DMA</v>
      </c>
      <c r="P1589" s="21" t="str">
        <f t="shared" si="3"/>
        <v/>
      </c>
      <c r="Q1589" s="21" t="str">
        <f t="shared" si="4"/>
        <v/>
      </c>
      <c r="R1589" s="22">
        <f>IFERROR(__xludf.DUMMYFUNCTION("GOOGLEFINANCE(B1589, ""pe"")
"),3.59)</f>
        <v>3.59</v>
      </c>
    </row>
    <row r="1590">
      <c r="A1590" s="9" t="s">
        <v>1598</v>
      </c>
      <c r="B1590" s="11" t="str">
        <f t="shared" si="1"/>
        <v>NSE:JAYSREETEA</v>
      </c>
      <c r="C1590" s="12">
        <f>IFERROR(__xludf.DUMMYFUNCTION("GOOGLEFINANCE(B1590,""marketcap"")/10000000"),314.2447364)</f>
        <v>314.2447364</v>
      </c>
      <c r="D1590" s="13">
        <f>IFERROR(__xludf.DUMMYFUNCTION("GOOGLEFINANCE(B1590,""price"")"),108.79)</f>
        <v>108.79</v>
      </c>
      <c r="E1590" s="14">
        <f>IFERROR(__xludf.DUMMYFUNCTION("GOOGLEFINANCE(B1590,""Volume"")"),33123.0)</f>
        <v>33123</v>
      </c>
      <c r="F1590" s="14">
        <f t="array" ref="F1590">F1589</f>
        <v>14</v>
      </c>
      <c r="G1590" s="15" t="str">
        <f>IFERROR(__xludf.DUMMYFUNCTION("IF(E1590&gt;AVERAGE(INDEX(GOOGLEFINANCE(B1590,""volume"",WORKDAY(TODAY(),-$F$1),TODAY()),,2)),""Breakout"","""")"),"")</f>
        <v/>
      </c>
      <c r="H1590" s="16">
        <f>IFERROR(__xludf.DUMMYFUNCTION("GOOGLEFINANCE(B1590,""price"")"),108.79)</f>
        <v>108.79</v>
      </c>
      <c r="I1590" s="17">
        <f>IFERROR(__xludf.DUMMYFUNCTION("AVERAGE(QUERY(SORT(GOOGLEFINANCE(B1590,""price"",TODAY()-365,TODAY()),1,0),""select Col2 limit 10""))"),113.00699999999999)</f>
        <v>113.007</v>
      </c>
      <c r="J1590" s="17">
        <f>IFERROR(__xludf.DUMMYFUNCTION("AVERAGE(QUERY(SORT(GOOGLEFINANCE(B1590,""price"",TODAY()-365,TODAY()),1,0),""select Col2 limit 30""))"),111.231)</f>
        <v>111.231</v>
      </c>
      <c r="K1590" s="18">
        <f>IFERROR(__xludf.DUMMYFUNCTION("AVERAGE(QUERY(SORT(GOOGLEFINANCE(B1590,""price"",TODAY()-365,TODAY()),1,0),""select Col2 limit 60""))"),107.59483333333331)</f>
        <v>107.5948333</v>
      </c>
      <c r="L1590" s="17">
        <f>IFERROR(__xludf.DUMMYFUNCTION("AVERAGE(QUERY(SORT(GOOGLEFINANCE(B1590,""price"",TODAY()-365,TODAY()),1,0),""select Col2 limit 90""))"),103.06577777777775)</f>
        <v>103.0657778</v>
      </c>
      <c r="M1590" s="17">
        <f>IFERROR(__xludf.DUMMYFUNCTION("AVERAGE(QUERY(SORT(GOOGLEFINANCE(B1590,""price"",TODAY()-365,TODAY()),1,0),""select Col2 limit 120""))"),102.11716666666665)</f>
        <v>102.1171667</v>
      </c>
      <c r="N1590" s="19">
        <f>IFERROR(__xludf.DUMMYFUNCTION("AVERAGE(QUERY(SORT(GOOGLEFINANCE(B1590,""price"",TODAY()-365,TODAY()),1,0),""select Col2 limit 200""))"),113.85944999999994)</f>
        <v>113.85945</v>
      </c>
      <c r="O1590" s="20" t="str">
        <f t="shared" si="2"/>
        <v>Avoid</v>
      </c>
      <c r="P1590" s="21" t="str">
        <f t="shared" si="3"/>
        <v/>
      </c>
      <c r="Q1590" s="21" t="str">
        <f t="shared" si="4"/>
        <v/>
      </c>
      <c r="R1590" s="22">
        <f>IFERROR(__xludf.DUMMYFUNCTION("GOOGLEFINANCE(B1590, ""pe"")
"),4.02)</f>
        <v>4.02</v>
      </c>
    </row>
    <row r="1591">
      <c r="A1591" s="9" t="s">
        <v>1599</v>
      </c>
      <c r="B1591" s="11" t="str">
        <f t="shared" si="1"/>
        <v>NSE:RKEC</v>
      </c>
      <c r="C1591" s="12">
        <f>IFERROR(__xludf.DUMMYFUNCTION("GOOGLEFINANCE(B1591,""marketcap"")/10000000"),158.2179996)</f>
        <v>158.2179996</v>
      </c>
      <c r="D1591" s="13">
        <f>IFERROR(__xludf.DUMMYFUNCTION("GOOGLEFINANCE(B1591,""price"")"),66.07)</f>
        <v>66.07</v>
      </c>
      <c r="E1591" s="14">
        <f>IFERROR(__xludf.DUMMYFUNCTION("GOOGLEFINANCE(B1591,""Volume"")"),16875.0)</f>
        <v>16875</v>
      </c>
      <c r="F1591" s="14">
        <f t="array" ref="F1591">F1590</f>
        <v>14</v>
      </c>
      <c r="G1591" s="15" t="str">
        <f>IFERROR(__xludf.DUMMYFUNCTION("IF(E1591&gt;AVERAGE(INDEX(GOOGLEFINANCE(B1591,""volume"",WORKDAY(TODAY(),-$F$1),TODAY()),,2)),""Breakout"","""")"),"")</f>
        <v/>
      </c>
      <c r="H1591" s="16">
        <f>IFERROR(__xludf.DUMMYFUNCTION("GOOGLEFINANCE(B1591,""price"")"),66.07)</f>
        <v>66.07</v>
      </c>
      <c r="I1591" s="17">
        <f>IFERROR(__xludf.DUMMYFUNCTION("AVERAGE(QUERY(SORT(GOOGLEFINANCE(B1591,""price"",TODAY()-365,TODAY()),1,0),""select Col2 limit 10""))"),72.24000000000001)</f>
        <v>72.24</v>
      </c>
      <c r="J1591" s="17">
        <f>IFERROR(__xludf.DUMMYFUNCTION("AVERAGE(QUERY(SORT(GOOGLEFINANCE(B1591,""price"",TODAY()-365,TODAY()),1,0),""select Col2 limit 30""))"),76.54766666666667)</f>
        <v>76.54766667</v>
      </c>
      <c r="K1591" s="18">
        <f>IFERROR(__xludf.DUMMYFUNCTION("AVERAGE(QUERY(SORT(GOOGLEFINANCE(B1591,""price"",TODAY()-365,TODAY()),1,0),""select Col2 limit 60""))"),76.8565)</f>
        <v>76.8565</v>
      </c>
      <c r="L1591" s="17">
        <f>IFERROR(__xludf.DUMMYFUNCTION("AVERAGE(QUERY(SORT(GOOGLEFINANCE(B1591,""price"",TODAY()-365,TODAY()),1,0),""select Col2 limit 90""))"),74.83955555555556)</f>
        <v>74.83955556</v>
      </c>
      <c r="M1591" s="17">
        <f>IFERROR(__xludf.DUMMYFUNCTION("AVERAGE(QUERY(SORT(GOOGLEFINANCE(B1591,""price"",TODAY()-365,TODAY()),1,0),""select Col2 limit 120""))"),74.58441666666668)</f>
        <v>74.58441667</v>
      </c>
      <c r="N1591" s="19">
        <f>IFERROR(__xludf.DUMMYFUNCTION("AVERAGE(QUERY(SORT(GOOGLEFINANCE(B1591,""price"",TODAY()-365,TODAY()),1,0),""select Col2 limit 200""))"),87.45680000000002)</f>
        <v>87.4568</v>
      </c>
      <c r="O1591" s="20" t="str">
        <f t="shared" si="2"/>
        <v>Avoid</v>
      </c>
      <c r="P1591" s="21" t="str">
        <f t="shared" si="3"/>
        <v/>
      </c>
      <c r="Q1591" s="21" t="str">
        <f t="shared" si="4"/>
        <v/>
      </c>
      <c r="R1591" s="22">
        <f>IFERROR(__xludf.DUMMYFUNCTION("GOOGLEFINANCE(B1591, ""pe"")
"),7.9)</f>
        <v>7.9</v>
      </c>
    </row>
    <row r="1592">
      <c r="A1592" s="9" t="s">
        <v>1600</v>
      </c>
      <c r="B1592" s="11" t="str">
        <f t="shared" si="1"/>
        <v>NSE:ARIES</v>
      </c>
      <c r="C1592" s="12">
        <f>IFERROR(__xludf.DUMMYFUNCTION("GOOGLEFINANCE(B1592,""marketcap"")/10000000"),477.3239167)</f>
        <v>477.3239167</v>
      </c>
      <c r="D1592" s="13">
        <f>IFERROR(__xludf.DUMMYFUNCTION("GOOGLEFINANCE(B1592,""price"")"),374.6)</f>
        <v>374.6</v>
      </c>
      <c r="E1592" s="14">
        <f>IFERROR(__xludf.DUMMYFUNCTION("GOOGLEFINANCE(B1592,""Volume"")"),48819.0)</f>
        <v>48819</v>
      </c>
      <c r="F1592" s="14">
        <f t="array" ref="F1592">F1591</f>
        <v>14</v>
      </c>
      <c r="G1592" s="15" t="str">
        <f>IFERROR(__xludf.DUMMYFUNCTION("IF(E1592&gt;AVERAGE(INDEX(GOOGLEFINANCE(B1592,""volume"",WORKDAY(TODAY(),-$F$1),TODAY()),,2)),""Breakout"","""")"),"")</f>
        <v/>
      </c>
      <c r="H1592" s="16">
        <f>IFERROR(__xludf.DUMMYFUNCTION("GOOGLEFINANCE(B1592,""price"")"),374.6)</f>
        <v>374.6</v>
      </c>
      <c r="I1592" s="17">
        <f>IFERROR(__xludf.DUMMYFUNCTION("AVERAGE(QUERY(SORT(GOOGLEFINANCE(B1592,""price"",TODAY()-365,TODAY()),1,0),""select Col2 limit 10""))"),365.2)</f>
        <v>365.2</v>
      </c>
      <c r="J1592" s="17">
        <f>IFERROR(__xludf.DUMMYFUNCTION("AVERAGE(QUERY(SORT(GOOGLEFINANCE(B1592,""price"",TODAY()-365,TODAY()),1,0),""select Col2 limit 30""))"),342.575)</f>
        <v>342.575</v>
      </c>
      <c r="K1592" s="18">
        <f>IFERROR(__xludf.DUMMYFUNCTION("AVERAGE(QUERY(SORT(GOOGLEFINANCE(B1592,""price"",TODAY()-365,TODAY()),1,0),""select Col2 limit 60""))"),325.4191666666667)</f>
        <v>325.4191667</v>
      </c>
      <c r="L1592" s="17">
        <f>IFERROR(__xludf.DUMMYFUNCTION("AVERAGE(QUERY(SORT(GOOGLEFINANCE(B1592,""price"",TODAY()-365,TODAY()),1,0),""select Col2 limit 90""))"),304.5985555555555)</f>
        <v>304.5985556</v>
      </c>
      <c r="M1592" s="17">
        <f>IFERROR(__xludf.DUMMYFUNCTION("AVERAGE(QUERY(SORT(GOOGLEFINANCE(B1592,""price"",TODAY()-365,TODAY()),1,0),""select Col2 limit 120""))"),292.1450833333334)</f>
        <v>292.1450833</v>
      </c>
      <c r="N1592" s="19">
        <f>IFERROR(__xludf.DUMMYFUNCTION("AVERAGE(QUERY(SORT(GOOGLEFINANCE(B1592,""price"",TODAY()-365,TODAY()),1,0),""select Col2 limit 200""))"),292.44030000000004)</f>
        <v>292.4403</v>
      </c>
      <c r="O1592" s="20" t="str">
        <f t="shared" si="2"/>
        <v>Avoid</v>
      </c>
      <c r="P1592" s="21" t="str">
        <f t="shared" si="3"/>
        <v/>
      </c>
      <c r="Q1592" s="21" t="str">
        <f t="shared" si="4"/>
        <v/>
      </c>
      <c r="R1592" s="22">
        <f>IFERROR(__xludf.DUMMYFUNCTION("GOOGLEFINANCE(B1592, ""pe"")
"),14.33)</f>
        <v>14.33</v>
      </c>
    </row>
    <row r="1593">
      <c r="A1593" s="9" t="s">
        <v>1601</v>
      </c>
      <c r="B1593" s="11" t="str">
        <f t="shared" si="1"/>
        <v>NSE:IL&amp;FSENGG</v>
      </c>
      <c r="C1593" s="12">
        <f>IFERROR(__xludf.DUMMYFUNCTION("GOOGLEFINANCE(B1593,""marketcap"")/10000000"),437.3994432)</f>
        <v>437.3994432</v>
      </c>
      <c r="D1593" s="13">
        <f>IFERROR(__xludf.DUMMYFUNCTION("GOOGLEFINANCE(B1593,""price"")"),34.65)</f>
        <v>34.65</v>
      </c>
      <c r="E1593" s="14">
        <f>IFERROR(__xludf.DUMMYFUNCTION("GOOGLEFINANCE(B1593,""Volume"")"),1014.0)</f>
        <v>1014</v>
      </c>
      <c r="F1593" s="14">
        <f t="array" ref="F1593">F1592</f>
        <v>14</v>
      </c>
      <c r="G1593" s="15" t="str">
        <f>IFERROR(__xludf.DUMMYFUNCTION("IF(E1593&gt;AVERAGE(INDEX(GOOGLEFINANCE(B1593,""volume"",WORKDAY(TODAY(),-$F$1),TODAY()),,2)),""Breakout"","""")"),"")</f>
        <v/>
      </c>
      <c r="H1593" s="16">
        <f>IFERROR(__xludf.DUMMYFUNCTION("GOOGLEFINANCE(B1593,""price"")"),34.65)</f>
        <v>34.65</v>
      </c>
      <c r="I1593" s="17">
        <f>IFERROR(__xludf.DUMMYFUNCTION("AVERAGE(QUERY(SORT(GOOGLEFINANCE(B1593,""price"",TODAY()-365,TODAY()),1,0),""select Col2 limit 10""))"),35.464999999999996)</f>
        <v>35.465</v>
      </c>
      <c r="J1593" s="17">
        <f>IFERROR(__xludf.DUMMYFUNCTION("AVERAGE(QUERY(SORT(GOOGLEFINANCE(B1593,""price"",TODAY()-365,TODAY()),1,0),""select Col2 limit 30""))"),34.961000000000006)</f>
        <v>34.961</v>
      </c>
      <c r="K1593" s="18">
        <f>IFERROR(__xludf.DUMMYFUNCTION("AVERAGE(QUERY(SORT(GOOGLEFINANCE(B1593,""price"",TODAY()-365,TODAY()),1,0),""select Col2 limit 60""))"),36.95966666666667)</f>
        <v>36.95966667</v>
      </c>
      <c r="L1593" s="17">
        <f>IFERROR(__xludf.DUMMYFUNCTION("AVERAGE(QUERY(SORT(GOOGLEFINANCE(B1593,""price"",TODAY()-365,TODAY()),1,0),""select Col2 limit 90""))"),37.53211111111111)</f>
        <v>37.53211111</v>
      </c>
      <c r="M1593" s="17">
        <f>IFERROR(__xludf.DUMMYFUNCTION("AVERAGE(QUERY(SORT(GOOGLEFINANCE(B1593,""price"",TODAY()-365,TODAY()),1,0),""select Col2 limit 120""))"),37.270750000000014)</f>
        <v>37.27075</v>
      </c>
      <c r="N1593" s="19">
        <f>IFERROR(__xludf.DUMMYFUNCTION("AVERAGE(QUERY(SORT(GOOGLEFINANCE(B1593,""price"",TODAY()-365,TODAY()),1,0),""select Col2 limit 200""))"),39.541549999999994)</f>
        <v>39.54155</v>
      </c>
      <c r="O1593" s="20" t="str">
        <f t="shared" si="2"/>
        <v>Avoid</v>
      </c>
      <c r="P1593" s="21" t="str">
        <f t="shared" si="3"/>
        <v>30 DMA</v>
      </c>
      <c r="Q1593" s="21" t="str">
        <f t="shared" si="4"/>
        <v/>
      </c>
      <c r="R1593" s="22" t="str">
        <f>IFERROR(__xludf.DUMMYFUNCTION("GOOGLEFINANCE(B1593, ""pe"")
"),"#N/A")</f>
        <v>#N/A</v>
      </c>
    </row>
    <row r="1594">
      <c r="A1594" s="9" t="s">
        <v>1602</v>
      </c>
      <c r="B1594" s="11" t="str">
        <f t="shared" si="1"/>
        <v>NSE:PASUPTAC</v>
      </c>
      <c r="C1594" s="12">
        <f>IFERROR(__xludf.DUMMYFUNCTION("GOOGLEFINANCE(B1594,""marketcap"")/10000000"),438.7132275)</f>
        <v>438.7132275</v>
      </c>
      <c r="D1594" s="13">
        <f>IFERROR(__xludf.DUMMYFUNCTION("GOOGLEFINANCE(B1594,""price"")"),49.2)</f>
        <v>49.2</v>
      </c>
      <c r="E1594" s="14">
        <f>IFERROR(__xludf.DUMMYFUNCTION("GOOGLEFINANCE(B1594,""Volume"")"),34230.0)</f>
        <v>34230</v>
      </c>
      <c r="F1594" s="14">
        <f t="array" ref="F1594">F1593</f>
        <v>14</v>
      </c>
      <c r="G1594" s="15" t="str">
        <f>IFERROR(__xludf.DUMMYFUNCTION("IF(E1594&gt;AVERAGE(INDEX(GOOGLEFINANCE(B1594,""volume"",WORKDAY(TODAY(),-$F$1),TODAY()),,2)),""Breakout"","""")"),"")</f>
        <v/>
      </c>
      <c r="H1594" s="16">
        <f>IFERROR(__xludf.DUMMYFUNCTION("GOOGLEFINANCE(B1594,""price"")"),49.2)</f>
        <v>49.2</v>
      </c>
      <c r="I1594" s="17">
        <f>IFERROR(__xludf.DUMMYFUNCTION("AVERAGE(QUERY(SORT(GOOGLEFINANCE(B1594,""price"",TODAY()-365,TODAY()),1,0),""select Col2 limit 10""))"),50.763999999999996)</f>
        <v>50.764</v>
      </c>
      <c r="J1594" s="17">
        <f>IFERROR(__xludf.DUMMYFUNCTION("AVERAGE(QUERY(SORT(GOOGLEFINANCE(B1594,""price"",TODAY()-365,TODAY()),1,0),""select Col2 limit 30""))"),51.499333333333325)</f>
        <v>51.49933333</v>
      </c>
      <c r="K1594" s="18">
        <f>IFERROR(__xludf.DUMMYFUNCTION("AVERAGE(QUERY(SORT(GOOGLEFINANCE(B1594,""price"",TODAY()-365,TODAY()),1,0),""select Col2 limit 60""))"),49.027833333333334)</f>
        <v>49.02783333</v>
      </c>
      <c r="L1594" s="17">
        <f>IFERROR(__xludf.DUMMYFUNCTION("AVERAGE(QUERY(SORT(GOOGLEFINANCE(B1594,""price"",TODAY()-365,TODAY()),1,0),""select Col2 limit 90""))"),49.48633333333334)</f>
        <v>49.48633333</v>
      </c>
      <c r="M1594" s="17">
        <f>IFERROR(__xludf.DUMMYFUNCTION("AVERAGE(QUERY(SORT(GOOGLEFINANCE(B1594,""price"",TODAY()-365,TODAY()),1,0),""select Col2 limit 120""))"),48.03566666666667)</f>
        <v>48.03566667</v>
      </c>
      <c r="N1594" s="19">
        <f>IFERROR(__xludf.DUMMYFUNCTION("AVERAGE(QUERY(SORT(GOOGLEFINANCE(B1594,""price"",TODAY()-365,TODAY()),1,0),""select Col2 limit 200""))"),46.88955)</f>
        <v>46.88955</v>
      </c>
      <c r="O1594" s="20" t="str">
        <f t="shared" si="2"/>
        <v>Avoid</v>
      </c>
      <c r="P1594" s="21" t="str">
        <f t="shared" si="3"/>
        <v>90 DMA</v>
      </c>
      <c r="Q1594" s="21" t="str">
        <f t="shared" si="4"/>
        <v/>
      </c>
      <c r="R1594" s="22">
        <f>IFERROR(__xludf.DUMMYFUNCTION("GOOGLEFINANCE(B1594, ""pe"")
"),12.4)</f>
        <v>12.4</v>
      </c>
    </row>
    <row r="1595">
      <c r="A1595" s="9" t="s">
        <v>1603</v>
      </c>
      <c r="B1595" s="11" t="str">
        <f t="shared" si="1"/>
        <v>NSE:A2ZINFRA</v>
      </c>
      <c r="C1595" s="12">
        <f>IFERROR(__xludf.DUMMYFUNCTION("GOOGLEFINANCE(B1595,""marketcap"")/10000000"),394.257634)</f>
        <v>394.257634</v>
      </c>
      <c r="D1595" s="13">
        <f>IFERROR(__xludf.DUMMYFUNCTION("GOOGLEFINANCE(B1595,""price"")"),22.23)</f>
        <v>22.23</v>
      </c>
      <c r="E1595" s="14">
        <f>IFERROR(__xludf.DUMMYFUNCTION("GOOGLEFINANCE(B1595,""Volume"")"),244921.0)</f>
        <v>244921</v>
      </c>
      <c r="F1595" s="14">
        <f t="array" ref="F1595">F1594</f>
        <v>14</v>
      </c>
      <c r="G1595" s="15" t="str">
        <f>IFERROR(__xludf.DUMMYFUNCTION("IF(E1595&gt;AVERAGE(INDEX(GOOGLEFINANCE(B1595,""volume"",WORKDAY(TODAY(),-$F$1),TODAY()),,2)),""Breakout"","""")"),"")</f>
        <v/>
      </c>
      <c r="H1595" s="16">
        <f>IFERROR(__xludf.DUMMYFUNCTION("GOOGLEFINANCE(B1595,""price"")"),22.23)</f>
        <v>22.23</v>
      </c>
      <c r="I1595" s="17">
        <f>IFERROR(__xludf.DUMMYFUNCTION("AVERAGE(QUERY(SORT(GOOGLEFINANCE(B1595,""price"",TODAY()-365,TODAY()),1,0),""select Col2 limit 10""))"),21.173)</f>
        <v>21.173</v>
      </c>
      <c r="J1595" s="17">
        <f>IFERROR(__xludf.DUMMYFUNCTION("AVERAGE(QUERY(SORT(GOOGLEFINANCE(B1595,""price"",TODAY()-365,TODAY()),1,0),""select Col2 limit 30""))"),20.18266666666667)</f>
        <v>20.18266667</v>
      </c>
      <c r="K1595" s="18">
        <f>IFERROR(__xludf.DUMMYFUNCTION("AVERAGE(QUERY(SORT(GOOGLEFINANCE(B1595,""price"",TODAY()-365,TODAY()),1,0),""select Col2 limit 60""))"),18.20316666666667)</f>
        <v>18.20316667</v>
      </c>
      <c r="L1595" s="17">
        <f>IFERROR(__xludf.DUMMYFUNCTION("AVERAGE(QUERY(SORT(GOOGLEFINANCE(B1595,""price"",TODAY()-365,TODAY()),1,0),""select Col2 limit 90""))"),17.028111111111116)</f>
        <v>17.02811111</v>
      </c>
      <c r="M1595" s="17">
        <f>IFERROR(__xludf.DUMMYFUNCTION("AVERAGE(QUERY(SORT(GOOGLEFINANCE(B1595,""price"",TODAY()-365,TODAY()),1,0),""select Col2 limit 120""))"),17.27608333333334)</f>
        <v>17.27608333</v>
      </c>
      <c r="N1595" s="19">
        <f>IFERROR(__xludf.DUMMYFUNCTION("AVERAGE(QUERY(SORT(GOOGLEFINANCE(B1595,""price"",TODAY()-365,TODAY()),1,0),""select Col2 limit 200""))"),18.294600000000003)</f>
        <v>18.2946</v>
      </c>
      <c r="O1595" s="20" t="str">
        <f t="shared" si="2"/>
        <v>Avoid</v>
      </c>
      <c r="P1595" s="21" t="str">
        <f t="shared" si="3"/>
        <v/>
      </c>
      <c r="Q1595" s="21" t="str">
        <f t="shared" si="4"/>
        <v/>
      </c>
      <c r="R1595" s="22">
        <f>IFERROR(__xludf.DUMMYFUNCTION("GOOGLEFINANCE(B1595, ""pe"")
"),43.59)</f>
        <v>43.59</v>
      </c>
    </row>
    <row r="1596">
      <c r="A1596" s="9" t="s">
        <v>1604</v>
      </c>
      <c r="B1596" s="11" t="str">
        <f t="shared" si="1"/>
        <v>NSE:SEJALLTD</v>
      </c>
      <c r="C1596" s="12">
        <f>IFERROR(__xludf.DUMMYFUNCTION("GOOGLEFINANCE(B1596,""marketcap"")/10000000"),480.76)</f>
        <v>480.76</v>
      </c>
      <c r="D1596" s="13">
        <f>IFERROR(__xludf.DUMMYFUNCTION("GOOGLEFINANCE(B1596,""price"")"),476.0)</f>
        <v>476</v>
      </c>
      <c r="E1596" s="14">
        <f>IFERROR(__xludf.DUMMYFUNCTION("GOOGLEFINANCE(B1596,""Volume"")"),835.0)</f>
        <v>835</v>
      </c>
      <c r="F1596" s="14">
        <f t="array" ref="F1596">F1595</f>
        <v>14</v>
      </c>
      <c r="G1596" s="15" t="str">
        <f>IFERROR(__xludf.DUMMYFUNCTION("IF(E1596&gt;AVERAGE(INDEX(GOOGLEFINANCE(B1596,""volume"",WORKDAY(TODAY(),-$F$1),TODAY()),,2)),""Breakout"","""")"),"")</f>
        <v/>
      </c>
      <c r="H1596" s="16">
        <f>IFERROR(__xludf.DUMMYFUNCTION("GOOGLEFINANCE(B1596,""price"")"),476.0)</f>
        <v>476</v>
      </c>
      <c r="I1596" s="17">
        <f>IFERROR(__xludf.DUMMYFUNCTION("AVERAGE(QUERY(SORT(GOOGLEFINANCE(B1596,""price"",TODAY()-365,TODAY()),1,0),""select Col2 limit 10""))"),482.475)</f>
        <v>482.475</v>
      </c>
      <c r="J1596" s="17">
        <f>IFERROR(__xludf.DUMMYFUNCTION("AVERAGE(QUERY(SORT(GOOGLEFINANCE(B1596,""price"",TODAY()-365,TODAY()),1,0),""select Col2 limit 30""))"),483.4700000000001)</f>
        <v>483.47</v>
      </c>
      <c r="K1596" s="18">
        <f>IFERROR(__xludf.DUMMYFUNCTION("AVERAGE(QUERY(SORT(GOOGLEFINANCE(B1596,""price"",TODAY()-365,TODAY()),1,0),""select Col2 limit 60""))"),467.9458333333334)</f>
        <v>467.9458333</v>
      </c>
      <c r="L1596" s="17">
        <f>IFERROR(__xludf.DUMMYFUNCTION("AVERAGE(QUERY(SORT(GOOGLEFINANCE(B1596,""price"",TODAY()-365,TODAY()),1,0),""select Col2 limit 90""))"),439.9211111111113)</f>
        <v>439.9211111</v>
      </c>
      <c r="M1596" s="17">
        <f>IFERROR(__xludf.DUMMYFUNCTION("AVERAGE(QUERY(SORT(GOOGLEFINANCE(B1596,""price"",TODAY()-365,TODAY()),1,0),""select Col2 limit 120""))"),427.66333333333347)</f>
        <v>427.6633333</v>
      </c>
      <c r="N1596" s="19">
        <f>IFERROR(__xludf.DUMMYFUNCTION("AVERAGE(QUERY(SORT(GOOGLEFINANCE(B1596,""price"",TODAY()-365,TODAY()),1,0),""select Col2 limit 200""))"),480.6470000000003)</f>
        <v>480.647</v>
      </c>
      <c r="O1596" s="20" t="str">
        <f t="shared" si="2"/>
        <v>Avoid</v>
      </c>
      <c r="P1596" s="21" t="str">
        <f t="shared" si="3"/>
        <v>200 DMA</v>
      </c>
      <c r="Q1596" s="21" t="str">
        <f t="shared" si="4"/>
        <v/>
      </c>
      <c r="R1596" s="22">
        <f>IFERROR(__xludf.DUMMYFUNCTION("GOOGLEFINANCE(B1596, ""pe"")
"),43.87)</f>
        <v>43.87</v>
      </c>
    </row>
    <row r="1597">
      <c r="A1597" s="9" t="s">
        <v>1605</v>
      </c>
      <c r="B1597" s="11" t="str">
        <f t="shared" si="1"/>
        <v>NSE:ATLANTAA</v>
      </c>
      <c r="C1597" s="12">
        <f>IFERROR(__xludf.DUMMYFUNCTION("GOOGLEFINANCE(B1597,""marketcap"")/10000000"),274.0845)</f>
        <v>274.0845</v>
      </c>
      <c r="D1597" s="13">
        <f>IFERROR(__xludf.DUMMYFUNCTION("GOOGLEFINANCE(B1597,""price"")"),33.64)</f>
        <v>33.64</v>
      </c>
      <c r="E1597" s="14">
        <f>IFERROR(__xludf.DUMMYFUNCTION("GOOGLEFINANCE(B1597,""Volume"")"),11772.0)</f>
        <v>11772</v>
      </c>
      <c r="F1597" s="14">
        <f t="array" ref="F1597">F1596</f>
        <v>14</v>
      </c>
      <c r="G1597" s="15" t="str">
        <f>IFERROR(__xludf.DUMMYFUNCTION("IF(E1597&gt;AVERAGE(INDEX(GOOGLEFINANCE(B1597,""volume"",WORKDAY(TODAY(),-$F$1),TODAY()),,2)),""Breakout"","""")"),"")</f>
        <v/>
      </c>
      <c r="H1597" s="16">
        <f>IFERROR(__xludf.DUMMYFUNCTION("GOOGLEFINANCE(B1597,""price"")"),33.64)</f>
        <v>33.64</v>
      </c>
      <c r="I1597" s="17">
        <f>IFERROR(__xludf.DUMMYFUNCTION("AVERAGE(QUERY(SORT(GOOGLEFINANCE(B1597,""price"",TODAY()-365,TODAY()),1,0),""select Col2 limit 10""))"),34.61)</f>
        <v>34.61</v>
      </c>
      <c r="J1597" s="17">
        <f>IFERROR(__xludf.DUMMYFUNCTION("AVERAGE(QUERY(SORT(GOOGLEFINANCE(B1597,""price"",TODAY()-365,TODAY()),1,0),""select Col2 limit 30""))"),35.521)</f>
        <v>35.521</v>
      </c>
      <c r="K1597" s="18">
        <f>IFERROR(__xludf.DUMMYFUNCTION("AVERAGE(QUERY(SORT(GOOGLEFINANCE(B1597,""price"",TODAY()-365,TODAY()),1,0),""select Col2 limit 60""))"),36.07483333333333)</f>
        <v>36.07483333</v>
      </c>
      <c r="L1597" s="17">
        <f>IFERROR(__xludf.DUMMYFUNCTION("AVERAGE(QUERY(SORT(GOOGLEFINANCE(B1597,""price"",TODAY()-365,TODAY()),1,0),""select Col2 limit 90""))"),34.738666666666674)</f>
        <v>34.73866667</v>
      </c>
      <c r="M1597" s="17">
        <f>IFERROR(__xludf.DUMMYFUNCTION("AVERAGE(QUERY(SORT(GOOGLEFINANCE(B1597,""price"",TODAY()-365,TODAY()),1,0),""select Col2 limit 120""))"),34.93466666666667)</f>
        <v>34.93466667</v>
      </c>
      <c r="N1597" s="19">
        <f>IFERROR(__xludf.DUMMYFUNCTION("AVERAGE(QUERY(SORT(GOOGLEFINANCE(B1597,""price"",TODAY()-365,TODAY()),1,0),""select Col2 limit 200""))"),41.2679)</f>
        <v>41.2679</v>
      </c>
      <c r="O1597" s="20" t="str">
        <f t="shared" si="2"/>
        <v>Avoid</v>
      </c>
      <c r="P1597" s="21" t="str">
        <f t="shared" si="3"/>
        <v/>
      </c>
      <c r="Q1597" s="21" t="str">
        <f t="shared" si="4"/>
        <v/>
      </c>
      <c r="R1597" s="22" t="str">
        <f>IFERROR(__xludf.DUMMYFUNCTION("GOOGLEFINANCE(B1597, ""pe"")
"),"#N/A")</f>
        <v>#N/A</v>
      </c>
    </row>
    <row r="1598">
      <c r="A1598" s="9" t="s">
        <v>1606</v>
      </c>
      <c r="B1598" s="11" t="str">
        <f t="shared" si="1"/>
        <v>NSE:MURUDCERA</v>
      </c>
      <c r="C1598" s="12">
        <f>IFERROR(__xludf.DUMMYFUNCTION("GOOGLEFINANCE(B1598,""marketcap"")/10000000"),261.6765778)</f>
        <v>261.6765778</v>
      </c>
      <c r="D1598" s="13">
        <f>IFERROR(__xludf.DUMMYFUNCTION("GOOGLEFINANCE(B1598,""price"")"),43.22)</f>
        <v>43.22</v>
      </c>
      <c r="E1598" s="14">
        <f>IFERROR(__xludf.DUMMYFUNCTION("GOOGLEFINANCE(B1598,""Volume"")"),6852.0)</f>
        <v>6852</v>
      </c>
      <c r="F1598" s="14">
        <f t="array" ref="F1598">F1597</f>
        <v>14</v>
      </c>
      <c r="G1598" s="15" t="str">
        <f>IFERROR(__xludf.DUMMYFUNCTION("IF(E1598&gt;AVERAGE(INDEX(GOOGLEFINANCE(B1598,""volume"",WORKDAY(TODAY(),-$F$1),TODAY()),,2)),""Breakout"","""")"),"")</f>
        <v/>
      </c>
      <c r="H1598" s="16">
        <f>IFERROR(__xludf.DUMMYFUNCTION("GOOGLEFINANCE(B1598,""price"")"),43.22)</f>
        <v>43.22</v>
      </c>
      <c r="I1598" s="17">
        <f>IFERROR(__xludf.DUMMYFUNCTION("AVERAGE(QUERY(SORT(GOOGLEFINANCE(B1598,""price"",TODAY()-365,TODAY()),1,0),""select Col2 limit 10""))"),45.591)</f>
        <v>45.591</v>
      </c>
      <c r="J1598" s="17">
        <f>IFERROR(__xludf.DUMMYFUNCTION("AVERAGE(QUERY(SORT(GOOGLEFINANCE(B1598,""price"",TODAY()-365,TODAY()),1,0),""select Col2 limit 30""))"),44.207000000000015)</f>
        <v>44.207</v>
      </c>
      <c r="K1598" s="18">
        <f>IFERROR(__xludf.DUMMYFUNCTION("AVERAGE(QUERY(SORT(GOOGLEFINANCE(B1598,""price"",TODAY()-365,TODAY()),1,0),""select Col2 limit 60""))"),41.80633333333334)</f>
        <v>41.80633333</v>
      </c>
      <c r="L1598" s="17">
        <f>IFERROR(__xludf.DUMMYFUNCTION("AVERAGE(QUERY(SORT(GOOGLEFINANCE(B1598,""price"",TODAY()-365,TODAY()),1,0),""select Col2 limit 90""))"),39.15133333333334)</f>
        <v>39.15133333</v>
      </c>
      <c r="M1598" s="17">
        <f>IFERROR(__xludf.DUMMYFUNCTION("AVERAGE(QUERY(SORT(GOOGLEFINANCE(B1598,""price"",TODAY()-365,TODAY()),1,0),""select Col2 limit 120""))"),38.72633333333332)</f>
        <v>38.72633333</v>
      </c>
      <c r="N1598" s="19">
        <f>IFERROR(__xludf.DUMMYFUNCTION("AVERAGE(QUERY(SORT(GOOGLEFINANCE(B1598,""price"",TODAY()-365,TODAY()),1,0),""select Col2 limit 200""))"),43.480549999999994)</f>
        <v>43.48055</v>
      </c>
      <c r="O1598" s="20" t="str">
        <f t="shared" si="2"/>
        <v>Avoid</v>
      </c>
      <c r="P1598" s="21" t="str">
        <f t="shared" si="3"/>
        <v>200 DMA</v>
      </c>
      <c r="Q1598" s="21" t="str">
        <f t="shared" si="4"/>
        <v/>
      </c>
      <c r="R1598" s="22">
        <f>IFERROR(__xludf.DUMMYFUNCTION("GOOGLEFINANCE(B1598, ""pe"")
"),27.18)</f>
        <v>27.18</v>
      </c>
    </row>
    <row r="1599">
      <c r="A1599" s="9" t="s">
        <v>1607</v>
      </c>
      <c r="B1599" s="11" t="str">
        <f t="shared" si="1"/>
        <v>NSE:VIRINCHI</v>
      </c>
      <c r="C1599" s="12">
        <f>IFERROR(__xludf.DUMMYFUNCTION("GOOGLEFINANCE(B1599,""marketcap"")/10000000"),283.3054479)</f>
        <v>283.3054479</v>
      </c>
      <c r="D1599" s="13">
        <f>IFERROR(__xludf.DUMMYFUNCTION("GOOGLEFINANCE(B1599,""price"")"),27.6)</f>
        <v>27.6</v>
      </c>
      <c r="E1599" s="14">
        <f>IFERROR(__xludf.DUMMYFUNCTION("GOOGLEFINANCE(B1599,""Volume"")"),27775.0)</f>
        <v>27775</v>
      </c>
      <c r="F1599" s="14">
        <f t="array" ref="F1599">F1598</f>
        <v>14</v>
      </c>
      <c r="G1599" s="15" t="str">
        <f>IFERROR(__xludf.DUMMYFUNCTION("IF(E1599&gt;AVERAGE(INDEX(GOOGLEFINANCE(B1599,""volume"",WORKDAY(TODAY(),-$F$1),TODAY()),,2)),""Breakout"","""")"),"")</f>
        <v/>
      </c>
      <c r="H1599" s="16">
        <f>IFERROR(__xludf.DUMMYFUNCTION("GOOGLEFINANCE(B1599,""price"")"),27.6)</f>
        <v>27.6</v>
      </c>
      <c r="I1599" s="17">
        <f>IFERROR(__xludf.DUMMYFUNCTION("AVERAGE(QUERY(SORT(GOOGLEFINANCE(B1599,""price"",TODAY()-365,TODAY()),1,0),""select Col2 limit 10""))"),29.012)</f>
        <v>29.012</v>
      </c>
      <c r="J1599" s="17">
        <f>IFERROR(__xludf.DUMMYFUNCTION("AVERAGE(QUERY(SORT(GOOGLEFINANCE(B1599,""price"",TODAY()-365,TODAY()),1,0),""select Col2 limit 30""))"),24.636333333333333)</f>
        <v>24.63633333</v>
      </c>
      <c r="K1599" s="18">
        <f>IFERROR(__xludf.DUMMYFUNCTION("AVERAGE(QUERY(SORT(GOOGLEFINANCE(B1599,""price"",TODAY()-365,TODAY()),1,0),""select Col2 limit 60""))"),23.672666666666668)</f>
        <v>23.67266667</v>
      </c>
      <c r="L1599" s="17">
        <f>IFERROR(__xludf.DUMMYFUNCTION("AVERAGE(QUERY(SORT(GOOGLEFINANCE(B1599,""price"",TODAY()-365,TODAY()),1,0),""select Col2 limit 90""))"),23.119333333333337)</f>
        <v>23.11933333</v>
      </c>
      <c r="M1599" s="17">
        <f>IFERROR(__xludf.DUMMYFUNCTION("AVERAGE(QUERY(SORT(GOOGLEFINANCE(B1599,""price"",TODAY()-365,TODAY()),1,0),""select Col2 limit 120""))"),23.934416666666667)</f>
        <v>23.93441667</v>
      </c>
      <c r="N1599" s="19">
        <f>IFERROR(__xludf.DUMMYFUNCTION("AVERAGE(QUERY(SORT(GOOGLEFINANCE(B1599,""price"",TODAY()-365,TODAY()),1,0),""select Col2 limit 200""))"),26.30925)</f>
        <v>26.30925</v>
      </c>
      <c r="O1599" s="20" t="str">
        <f t="shared" si="2"/>
        <v>Avoid</v>
      </c>
      <c r="P1599" s="21" t="str">
        <f t="shared" si="3"/>
        <v/>
      </c>
      <c r="Q1599" s="21" t="str">
        <f t="shared" si="4"/>
        <v/>
      </c>
      <c r="R1599" s="22">
        <f>IFERROR(__xludf.DUMMYFUNCTION("GOOGLEFINANCE(B1599, ""pe"")
"),394.29)</f>
        <v>394.29</v>
      </c>
    </row>
    <row r="1600">
      <c r="A1600" s="9" t="s">
        <v>1608</v>
      </c>
      <c r="B1600" s="11" t="str">
        <f t="shared" si="1"/>
        <v>NSE:RAMAPHO</v>
      </c>
      <c r="C1600" s="12">
        <f>IFERROR(__xludf.DUMMYFUNCTION("GOOGLEFINANCE(B1600,""marketcap"")/10000000"),560.6631135)</f>
        <v>560.6631135</v>
      </c>
      <c r="D1600" s="13">
        <f>IFERROR(__xludf.DUMMYFUNCTION("GOOGLEFINANCE(B1600,""price"")"),158.4)</f>
        <v>158.4</v>
      </c>
      <c r="E1600" s="14">
        <f>IFERROR(__xludf.DUMMYFUNCTION("GOOGLEFINANCE(B1600,""Volume"")"),36864.0)</f>
        <v>36864</v>
      </c>
      <c r="F1600" s="14">
        <f t="array" ref="F1600">F1599</f>
        <v>14</v>
      </c>
      <c r="G1600" s="15" t="str">
        <f>IFERROR(__xludf.DUMMYFUNCTION("IF(E1600&gt;AVERAGE(INDEX(GOOGLEFINANCE(B1600,""volume"",WORKDAY(TODAY(),-$F$1),TODAY()),,2)),""Breakout"","""")"),"#N/A")</f>
        <v>#N/A</v>
      </c>
      <c r="H1600" s="16">
        <f>IFERROR(__xludf.DUMMYFUNCTION("GOOGLEFINANCE(B1600,""price"")"),158.4)</f>
        <v>158.4</v>
      </c>
      <c r="I1600" s="17">
        <f>IFERROR(__xludf.DUMMYFUNCTION("AVERAGE(QUERY(SORT(GOOGLEFINANCE(B1600,""price"",TODAY()-365,TODAY()),1,0),""select Col2 limit 10""))"),153.41199999999998)</f>
        <v>153.412</v>
      </c>
      <c r="J1600" s="17">
        <f>IFERROR(__xludf.DUMMYFUNCTION("AVERAGE(QUERY(SORT(GOOGLEFINANCE(B1600,""price"",TODAY()-365,TODAY()),1,0),""select Col2 limit 30""))"),134.58800000000002)</f>
        <v>134.588</v>
      </c>
      <c r="K1600" s="18">
        <f>IFERROR(__xludf.DUMMYFUNCTION("AVERAGE(QUERY(SORT(GOOGLEFINANCE(B1600,""price"",TODAY()-365,TODAY()),1,0),""select Col2 limit 60""))"),124.82250000000003)</f>
        <v>124.8225</v>
      </c>
      <c r="L1600" s="17">
        <f>IFERROR(__xludf.DUMMYFUNCTION("AVERAGE(QUERY(SORT(GOOGLEFINANCE(B1600,""price"",TODAY()-365,TODAY()),1,0),""select Col2 limit 90""))"),116.83622222222229)</f>
        <v>116.8362222</v>
      </c>
      <c r="M1600" s="17">
        <f>IFERROR(__xludf.DUMMYFUNCTION("AVERAGE(QUERY(SORT(GOOGLEFINANCE(B1600,""price"",TODAY()-365,TODAY()),1,0),""select Col2 limit 120""))"),112.94658333333338)</f>
        <v>112.9465833</v>
      </c>
      <c r="N1600" s="19">
        <f>IFERROR(__xludf.DUMMYFUNCTION("AVERAGE(QUERY(SORT(GOOGLEFINANCE(B1600,""price"",TODAY()-365,TODAY()),1,0),""select Col2 limit 200""))"),108.46285000000007)</f>
        <v>108.46285</v>
      </c>
      <c r="O1600" s="20" t="str">
        <f t="shared" si="2"/>
        <v>Avoid</v>
      </c>
      <c r="P1600" s="21" t="str">
        <f t="shared" si="3"/>
        <v/>
      </c>
      <c r="Q1600" s="21" t="str">
        <f t="shared" si="4"/>
        <v/>
      </c>
      <c r="R1600" s="22">
        <f>IFERROR(__xludf.DUMMYFUNCTION("GOOGLEFINANCE(B1600, ""pe"")
"),20.01)</f>
        <v>20.01</v>
      </c>
    </row>
    <row r="1601">
      <c r="A1601" s="9" t="s">
        <v>1609</v>
      </c>
      <c r="B1601" s="11" t="str">
        <f t="shared" si="1"/>
        <v>NSE:AVONMORE</v>
      </c>
      <c r="C1601" s="12">
        <f>IFERROR(__xludf.DUMMYFUNCTION("GOOGLEFINANCE(B1601,""marketcap"")/10000000"),500.5956513)</f>
        <v>500.5956513</v>
      </c>
      <c r="D1601" s="13">
        <f>IFERROR(__xludf.DUMMYFUNCTION("GOOGLEFINANCE(B1601,""price"")"),17.74)</f>
        <v>17.74</v>
      </c>
      <c r="E1601" s="14">
        <f>IFERROR(__xludf.DUMMYFUNCTION("GOOGLEFINANCE(B1601,""Volume"")"),108347.0)</f>
        <v>108347</v>
      </c>
      <c r="F1601" s="14">
        <f t="array" ref="F1601">F1600</f>
        <v>14</v>
      </c>
      <c r="G1601" s="15" t="str">
        <f>IFERROR(__xludf.DUMMYFUNCTION("IF(E1601&gt;AVERAGE(INDEX(GOOGLEFINANCE(B1601,""volume"",WORKDAY(TODAY(),-$F$1),TODAY()),,2)),""Breakout"","""")"),"")</f>
        <v/>
      </c>
      <c r="H1601" s="16">
        <f>IFERROR(__xludf.DUMMYFUNCTION("GOOGLEFINANCE(B1601,""price"")"),17.74)</f>
        <v>17.74</v>
      </c>
      <c r="I1601" s="17">
        <f>IFERROR(__xludf.DUMMYFUNCTION("AVERAGE(QUERY(SORT(GOOGLEFINANCE(B1601,""price"",TODAY()-365,TODAY()),1,0),""select Col2 limit 10""))"),18.892000000000003)</f>
        <v>18.892</v>
      </c>
      <c r="J1601" s="17">
        <f>IFERROR(__xludf.DUMMYFUNCTION("AVERAGE(QUERY(SORT(GOOGLEFINANCE(B1601,""price"",TODAY()-365,TODAY()),1,0),""select Col2 limit 30""))"),18.957)</f>
        <v>18.957</v>
      </c>
      <c r="K1601" s="18">
        <f>IFERROR(__xludf.DUMMYFUNCTION("AVERAGE(QUERY(SORT(GOOGLEFINANCE(B1601,""price"",TODAY()-365,TODAY()),1,0),""select Col2 limit 60""))"),20.25866666666667)</f>
        <v>20.25866667</v>
      </c>
      <c r="L1601" s="17">
        <f>IFERROR(__xludf.DUMMYFUNCTION("AVERAGE(QUERY(SORT(GOOGLEFINANCE(B1601,""price"",TODAY()-365,TODAY()),1,0),""select Col2 limit 90""))"),19.723)</f>
        <v>19.723</v>
      </c>
      <c r="M1601" s="17">
        <f>IFERROR(__xludf.DUMMYFUNCTION("AVERAGE(QUERY(SORT(GOOGLEFINANCE(B1601,""price"",TODAY()-365,TODAY()),1,0),""select Col2 limit 120""))"),20.49325)</f>
        <v>20.49325</v>
      </c>
      <c r="N1601" s="19">
        <f>IFERROR(__xludf.DUMMYFUNCTION("AVERAGE(QUERY(SORT(GOOGLEFINANCE(B1601,""price"",TODAY()-365,TODAY()),1,0),""select Col2 limit 200""))"),18.855200000000004)</f>
        <v>18.8552</v>
      </c>
      <c r="O1601" s="20" t="str">
        <f t="shared" si="2"/>
        <v>Avoid</v>
      </c>
      <c r="P1601" s="21" t="str">
        <f t="shared" si="3"/>
        <v/>
      </c>
      <c r="Q1601" s="21" t="str">
        <f t="shared" si="4"/>
        <v/>
      </c>
      <c r="R1601" s="22">
        <f>IFERROR(__xludf.DUMMYFUNCTION("GOOGLEFINANCE(B1601, ""pe"")
"),14.91)</f>
        <v>14.91</v>
      </c>
    </row>
    <row r="1602">
      <c r="A1602" s="9" t="s">
        <v>1610</v>
      </c>
      <c r="B1602" s="11" t="str">
        <f t="shared" si="1"/>
        <v>NSE:BGRENERGY</v>
      </c>
      <c r="C1602" s="12">
        <f>IFERROR(__xludf.DUMMYFUNCTION("GOOGLEFINANCE(B1602,""marketcap"")/10000000"),703.6473869)</f>
        <v>703.6473869</v>
      </c>
      <c r="D1602" s="13">
        <f>IFERROR(__xludf.DUMMYFUNCTION("GOOGLEFINANCE(B1602,""price"")"),98.93)</f>
        <v>98.93</v>
      </c>
      <c r="E1602" s="14">
        <f>IFERROR(__xludf.DUMMYFUNCTION("GOOGLEFINANCE(B1602,""Volume"")"),19047.0)</f>
        <v>19047</v>
      </c>
      <c r="F1602" s="14">
        <f t="array" ref="F1602">F1601</f>
        <v>14</v>
      </c>
      <c r="G1602" s="15" t="str">
        <f>IFERROR(__xludf.DUMMYFUNCTION("IF(E1602&gt;AVERAGE(INDEX(GOOGLEFINANCE(B1602,""volume"",WORKDAY(TODAY(),-$F$1),TODAY()),,2)),""Breakout"","""")"),"")</f>
        <v/>
      </c>
      <c r="H1602" s="16">
        <f>IFERROR(__xludf.DUMMYFUNCTION("GOOGLEFINANCE(B1602,""price"")"),98.93)</f>
        <v>98.93</v>
      </c>
      <c r="I1602" s="17" t="str">
        <f>IFERROR(__xludf.DUMMYFUNCTION("AVERAGE(QUERY(SORT(GOOGLEFINANCE(B1602,""price"",TODAY()-365,TODAY()),1,0),""select Col2 limit 10""))"),"#N/A")</f>
        <v>#N/A</v>
      </c>
      <c r="J1602" s="17" t="str">
        <f>IFERROR(__xludf.DUMMYFUNCTION("AVERAGE(QUERY(SORT(GOOGLEFINANCE(B1602,""price"",TODAY()-365,TODAY()),1,0),""select Col2 limit 30""))"),"#N/A")</f>
        <v>#N/A</v>
      </c>
      <c r="K1602" s="18" t="str">
        <f>IFERROR(__xludf.DUMMYFUNCTION("AVERAGE(QUERY(SORT(GOOGLEFINANCE(B1602,""price"",TODAY()-365,TODAY()),1,0),""select Col2 limit 60""))"),"#N/A")</f>
        <v>#N/A</v>
      </c>
      <c r="L1602" s="17" t="str">
        <f>IFERROR(__xludf.DUMMYFUNCTION("AVERAGE(QUERY(SORT(GOOGLEFINANCE(B1602,""price"",TODAY()-365,TODAY()),1,0),""select Col2 limit 90""))"),"#N/A")</f>
        <v>#N/A</v>
      </c>
      <c r="M1602" s="17" t="str">
        <f>IFERROR(__xludf.DUMMYFUNCTION("AVERAGE(QUERY(SORT(GOOGLEFINANCE(B1602,""price"",TODAY()-365,TODAY()),1,0),""select Col2 limit 120""))"),"#N/A")</f>
        <v>#N/A</v>
      </c>
      <c r="N1602" s="19" t="str">
        <f>IFERROR(__xludf.DUMMYFUNCTION("AVERAGE(QUERY(SORT(GOOGLEFINANCE(B1602,""price"",TODAY()-365,TODAY()),1,0),""select Col2 limit 200""))"),"#N/A")</f>
        <v>#N/A</v>
      </c>
      <c r="O1602" s="20" t="str">
        <f t="shared" si="2"/>
        <v>#N/A</v>
      </c>
      <c r="P1602" s="21" t="str">
        <f t="shared" si="3"/>
        <v>#N/A</v>
      </c>
      <c r="Q1602" s="21" t="str">
        <f t="shared" si="4"/>
        <v>#N/A</v>
      </c>
      <c r="R1602" s="22" t="str">
        <f>IFERROR(__xludf.DUMMYFUNCTION("GOOGLEFINANCE(B1602, ""pe"")
"),"#N/A")</f>
        <v>#N/A</v>
      </c>
    </row>
    <row r="1603">
      <c r="A1603" s="9" t="s">
        <v>1611</v>
      </c>
      <c r="B1603" s="11" t="str">
        <f t="shared" si="1"/>
        <v>NSE:INVENTURE</v>
      </c>
      <c r="C1603" s="12">
        <f>IFERROR(__xludf.DUMMYFUNCTION("GOOGLEFINANCE(B1603,""marketcap"")/10000000"),165.9130054)</f>
        <v>165.9130054</v>
      </c>
      <c r="D1603" s="13">
        <f>IFERROR(__xludf.DUMMYFUNCTION("GOOGLEFINANCE(B1603,""price"")"),1.6)</f>
        <v>1.6</v>
      </c>
      <c r="E1603" s="14">
        <f>IFERROR(__xludf.DUMMYFUNCTION("GOOGLEFINANCE(B1603,""Volume"")"),302748.0)</f>
        <v>302748</v>
      </c>
      <c r="F1603" s="14">
        <f t="array" ref="F1603">F1602</f>
        <v>14</v>
      </c>
      <c r="G1603" s="15" t="str">
        <f>IFERROR(__xludf.DUMMYFUNCTION("IF(E1603&gt;AVERAGE(INDEX(GOOGLEFINANCE(B1603,""volume"",WORKDAY(TODAY(),-$F$1),TODAY()),,2)),""Breakout"","""")"),"")</f>
        <v/>
      </c>
      <c r="H1603" s="16">
        <f>IFERROR(__xludf.DUMMYFUNCTION("GOOGLEFINANCE(B1603,""price"")"),1.6)</f>
        <v>1.6</v>
      </c>
      <c r="I1603" s="17">
        <f>IFERROR(__xludf.DUMMYFUNCTION("AVERAGE(QUERY(SORT(GOOGLEFINANCE(B1603,""price"",TODAY()-365,TODAY()),1,0),""select Col2 limit 10""))"),1.652)</f>
        <v>1.652</v>
      </c>
      <c r="J1603" s="17">
        <f>IFERROR(__xludf.DUMMYFUNCTION("AVERAGE(QUERY(SORT(GOOGLEFINANCE(B1603,""price"",TODAY()-365,TODAY()),1,0),""select Col2 limit 30""))"),1.6473333333333333)</f>
        <v>1.647333333</v>
      </c>
      <c r="K1603" s="18">
        <f>IFERROR(__xludf.DUMMYFUNCTION("AVERAGE(QUERY(SORT(GOOGLEFINANCE(B1603,""price"",TODAY()-365,TODAY()),1,0),""select Col2 limit 60""))"),1.6125)</f>
        <v>1.6125</v>
      </c>
      <c r="L1603" s="17">
        <f>IFERROR(__xludf.DUMMYFUNCTION("AVERAGE(QUERY(SORT(GOOGLEFINANCE(B1603,""price"",TODAY()-365,TODAY()),1,0),""select Col2 limit 90""))"),1.5712222222222225)</f>
        <v>1.571222222</v>
      </c>
      <c r="M1603" s="17">
        <f>IFERROR(__xludf.DUMMYFUNCTION("AVERAGE(QUERY(SORT(GOOGLEFINANCE(B1603,""price"",TODAY()-365,TODAY()),1,0),""select Col2 limit 120""))"),1.602833333333333)</f>
        <v>1.602833333</v>
      </c>
      <c r="N1603" s="19">
        <f>IFERROR(__xludf.DUMMYFUNCTION("AVERAGE(QUERY(SORT(GOOGLEFINANCE(B1603,""price"",TODAY()-365,TODAY()),1,0),""select Col2 limit 200""))"),1.8231000000000006)</f>
        <v>1.8231</v>
      </c>
      <c r="O1603" s="20" t="str">
        <f t="shared" si="2"/>
        <v>Avoid</v>
      </c>
      <c r="P1603" s="21" t="str">
        <f t="shared" si="3"/>
        <v>60 DMA</v>
      </c>
      <c r="Q1603" s="21" t="str">
        <f t="shared" si="4"/>
        <v/>
      </c>
      <c r="R1603" s="22">
        <f>IFERROR(__xludf.DUMMYFUNCTION("GOOGLEFINANCE(B1603, ""pe"")
"),80.0)</f>
        <v>80</v>
      </c>
    </row>
    <row r="1604">
      <c r="A1604" s="9" t="s">
        <v>1612</v>
      </c>
      <c r="B1604" s="11" t="str">
        <f t="shared" si="1"/>
        <v>NSE:RUCHINFRA</v>
      </c>
      <c r="C1604" s="12">
        <f>IFERROR(__xludf.DUMMYFUNCTION("GOOGLEFINANCE(B1604,""marketcap"")/10000000"),177.01875)</f>
        <v>177.01875</v>
      </c>
      <c r="D1604" s="13">
        <f>IFERROR(__xludf.DUMMYFUNCTION("GOOGLEFINANCE(B1604,""price"")"),7.51)</f>
        <v>7.51</v>
      </c>
      <c r="E1604" s="14">
        <f>IFERROR(__xludf.DUMMYFUNCTION("GOOGLEFINANCE(B1604,""Volume"")"),41536.0)</f>
        <v>41536</v>
      </c>
      <c r="F1604" s="14">
        <f t="array" ref="F1604">F1603</f>
        <v>14</v>
      </c>
      <c r="G1604" s="15" t="str">
        <f>IFERROR(__xludf.DUMMYFUNCTION("IF(E1604&gt;AVERAGE(INDEX(GOOGLEFINANCE(B1604,""volume"",WORKDAY(TODAY(),-$F$1),TODAY()),,2)),""Breakout"","""")"),"")</f>
        <v/>
      </c>
      <c r="H1604" s="16">
        <f>IFERROR(__xludf.DUMMYFUNCTION("GOOGLEFINANCE(B1604,""price"")"),7.51)</f>
        <v>7.51</v>
      </c>
      <c r="I1604" s="17">
        <f>IFERROR(__xludf.DUMMYFUNCTION("AVERAGE(QUERY(SORT(GOOGLEFINANCE(B1604,""price"",TODAY()-365,TODAY()),1,0),""select Col2 limit 10""))"),7.638)</f>
        <v>7.638</v>
      </c>
      <c r="J1604" s="17">
        <f>IFERROR(__xludf.DUMMYFUNCTION("AVERAGE(QUERY(SORT(GOOGLEFINANCE(B1604,""price"",TODAY()-365,TODAY()),1,0),""select Col2 limit 30""))"),7.678333333333331)</f>
        <v>7.678333333</v>
      </c>
      <c r="K1604" s="18">
        <f>IFERROR(__xludf.DUMMYFUNCTION("AVERAGE(QUERY(SORT(GOOGLEFINANCE(B1604,""price"",TODAY()-365,TODAY()),1,0),""select Col2 limit 60""))"),8.032499999999995)</f>
        <v>8.0325</v>
      </c>
      <c r="L1604" s="17">
        <f>IFERROR(__xludf.DUMMYFUNCTION("AVERAGE(QUERY(SORT(GOOGLEFINANCE(B1604,""price"",TODAY()-365,TODAY()),1,0),""select Col2 limit 90""))"),7.95411111111111)</f>
        <v>7.954111111</v>
      </c>
      <c r="M1604" s="17">
        <f>IFERROR(__xludf.DUMMYFUNCTION("AVERAGE(QUERY(SORT(GOOGLEFINANCE(B1604,""price"",TODAY()-365,TODAY()),1,0),""select Col2 limit 120""))"),8.301583333333335)</f>
        <v>8.301583333</v>
      </c>
      <c r="N1604" s="19">
        <f>IFERROR(__xludf.DUMMYFUNCTION("AVERAGE(QUERY(SORT(GOOGLEFINANCE(B1604,""price"",TODAY()-365,TODAY()),1,0),""select Col2 limit 200""))"),9.859300000000003)</f>
        <v>9.8593</v>
      </c>
      <c r="O1604" s="20" t="str">
        <f t="shared" si="2"/>
        <v>Avoid</v>
      </c>
      <c r="P1604" s="21" t="str">
        <f t="shared" si="3"/>
        <v/>
      </c>
      <c r="Q1604" s="21" t="str">
        <f t="shared" si="4"/>
        <v/>
      </c>
      <c r="R1604" s="22">
        <f>IFERROR(__xludf.DUMMYFUNCTION("GOOGLEFINANCE(B1604, ""pe"")
"),107.14)</f>
        <v>107.14</v>
      </c>
    </row>
    <row r="1605">
      <c r="A1605" s="9" t="s">
        <v>1613</v>
      </c>
      <c r="B1605" s="11" t="str">
        <f t="shared" si="1"/>
        <v>NSE:SUMIT</v>
      </c>
      <c r="C1605" s="12">
        <f>IFERROR(__xludf.DUMMYFUNCTION("GOOGLEFINANCE(B1605,""marketcap"")/10000000"),265.7401951)</f>
        <v>265.7401951</v>
      </c>
      <c r="D1605" s="13">
        <f>IFERROR(__xludf.DUMMYFUNCTION("GOOGLEFINANCE(B1605,""price"")"),86.86)</f>
        <v>86.86</v>
      </c>
      <c r="E1605" s="14">
        <f>IFERROR(__xludf.DUMMYFUNCTION("GOOGLEFINANCE(B1605,""Volume"")"),22422.0)</f>
        <v>22422</v>
      </c>
      <c r="F1605" s="14">
        <f t="array" ref="F1605">F1604</f>
        <v>14</v>
      </c>
      <c r="G1605" s="15" t="str">
        <f>IFERROR(__xludf.DUMMYFUNCTION("IF(E1605&gt;AVERAGE(INDEX(GOOGLEFINANCE(B1605,""volume"",WORKDAY(TODAY(),-$F$1),TODAY()),,2)),""Breakout"","""")"),"")</f>
        <v/>
      </c>
      <c r="H1605" s="16">
        <f>IFERROR(__xludf.DUMMYFUNCTION("GOOGLEFINANCE(B1605,""price"")"),86.86)</f>
        <v>86.86</v>
      </c>
      <c r="I1605" s="17">
        <f>IFERROR(__xludf.DUMMYFUNCTION("AVERAGE(QUERY(SORT(GOOGLEFINANCE(B1605,""price"",TODAY()-365,TODAY()),1,0),""select Col2 limit 10""))"),94.35300000000001)</f>
        <v>94.353</v>
      </c>
      <c r="J1605" s="17">
        <f>IFERROR(__xludf.DUMMYFUNCTION("AVERAGE(QUERY(SORT(GOOGLEFINANCE(B1605,""price"",TODAY()-365,TODAY()),1,0),""select Col2 limit 30""))"),95.85799999999998)</f>
        <v>95.858</v>
      </c>
      <c r="K1605" s="18">
        <f>IFERROR(__xludf.DUMMYFUNCTION("AVERAGE(QUERY(SORT(GOOGLEFINANCE(B1605,""price"",TODAY()-365,TODAY()),1,0),""select Col2 limit 60""))"),97.70466666666667)</f>
        <v>97.70466667</v>
      </c>
      <c r="L1605" s="17">
        <f>IFERROR(__xludf.DUMMYFUNCTION("AVERAGE(QUERY(SORT(GOOGLEFINANCE(B1605,""price"",TODAY()-365,TODAY()),1,0),""select Col2 limit 90""))"),97.92799999999998)</f>
        <v>97.928</v>
      </c>
      <c r="M1605" s="17">
        <f>IFERROR(__xludf.DUMMYFUNCTION("AVERAGE(QUERY(SORT(GOOGLEFINANCE(B1605,""price"",TODAY()-365,TODAY()),1,0),""select Col2 limit 120""))"),99.99533333333335)</f>
        <v>99.99533333</v>
      </c>
      <c r="N1605" s="19">
        <f>IFERROR(__xludf.DUMMYFUNCTION("AVERAGE(QUERY(SORT(GOOGLEFINANCE(B1605,""price"",TODAY()-365,TODAY()),1,0),""select Col2 limit 200""))"),115.40340000000003)</f>
        <v>115.4034</v>
      </c>
      <c r="O1605" s="20" t="str">
        <f t="shared" si="2"/>
        <v>Avoid</v>
      </c>
      <c r="P1605" s="21" t="str">
        <f t="shared" si="3"/>
        <v/>
      </c>
      <c r="Q1605" s="21" t="str">
        <f t="shared" si="4"/>
        <v/>
      </c>
      <c r="R1605" s="22">
        <f>IFERROR(__xludf.DUMMYFUNCTION("GOOGLEFINANCE(B1605, ""pe"")
"),31.94)</f>
        <v>31.94</v>
      </c>
    </row>
    <row r="1606">
      <c r="A1606" s="9" t="s">
        <v>1614</v>
      </c>
      <c r="B1606" s="11" t="str">
        <f t="shared" si="1"/>
        <v>NSE:MEGASTAR</v>
      </c>
      <c r="C1606" s="12">
        <f>IFERROR(__xludf.DUMMYFUNCTION("GOOGLEFINANCE(B1606,""marketcap"")/10000000"),302.2191512)</f>
        <v>302.2191512</v>
      </c>
      <c r="D1606" s="13">
        <f>IFERROR(__xludf.DUMMYFUNCTION("GOOGLEFINANCE(B1606,""price"")"),267.6)</f>
        <v>267.6</v>
      </c>
      <c r="E1606" s="14">
        <f>IFERROR(__xludf.DUMMYFUNCTION("GOOGLEFINANCE(B1606,""Volume"")"),2123.0)</f>
        <v>2123</v>
      </c>
      <c r="F1606" s="14">
        <f t="array" ref="F1606">F1605</f>
        <v>14</v>
      </c>
      <c r="G1606" s="15" t="str">
        <f>IFERROR(__xludf.DUMMYFUNCTION("IF(E1606&gt;AVERAGE(INDEX(GOOGLEFINANCE(B1606,""volume"",WORKDAY(TODAY(),-$F$1),TODAY()),,2)),""Breakout"","""")"),"")</f>
        <v/>
      </c>
      <c r="H1606" s="16">
        <f>IFERROR(__xludf.DUMMYFUNCTION("GOOGLEFINANCE(B1606,""price"")"),267.6)</f>
        <v>267.6</v>
      </c>
      <c r="I1606" s="17">
        <f>IFERROR(__xludf.DUMMYFUNCTION("AVERAGE(QUERY(SORT(GOOGLEFINANCE(B1606,""price"",TODAY()-365,TODAY()),1,0),""select Col2 limit 10""))"),274.305)</f>
        <v>274.305</v>
      </c>
      <c r="J1606" s="17">
        <f>IFERROR(__xludf.DUMMYFUNCTION("AVERAGE(QUERY(SORT(GOOGLEFINANCE(B1606,""price"",TODAY()-365,TODAY()),1,0),""select Col2 limit 30""))"),270.8033333333334)</f>
        <v>270.8033333</v>
      </c>
      <c r="K1606" s="18">
        <f>IFERROR(__xludf.DUMMYFUNCTION("AVERAGE(QUERY(SORT(GOOGLEFINANCE(B1606,""price"",TODAY()-365,TODAY()),1,0),""select Col2 limit 60""))"),254.87350000000004)</f>
        <v>254.8735</v>
      </c>
      <c r="L1606" s="17">
        <f>IFERROR(__xludf.DUMMYFUNCTION("AVERAGE(QUERY(SORT(GOOGLEFINANCE(B1606,""price"",TODAY()-365,TODAY()),1,0),""select Col2 limit 90""))"),238.49999999999997)</f>
        <v>238.5</v>
      </c>
      <c r="M1606" s="17">
        <f>IFERROR(__xludf.DUMMYFUNCTION("AVERAGE(QUERY(SORT(GOOGLEFINANCE(B1606,""price"",TODAY()-365,TODAY()),1,0),""select Col2 limit 120""))"),236.57816666666662)</f>
        <v>236.5781667</v>
      </c>
      <c r="N1606" s="19">
        <f>IFERROR(__xludf.DUMMYFUNCTION("AVERAGE(QUERY(SORT(GOOGLEFINANCE(B1606,""price"",TODAY()-365,TODAY()),1,0),""select Col2 limit 200""))"),239.52965000000006)</f>
        <v>239.52965</v>
      </c>
      <c r="O1606" s="20" t="str">
        <f t="shared" si="2"/>
        <v>Avoid</v>
      </c>
      <c r="P1606" s="21" t="str">
        <f t="shared" si="3"/>
        <v/>
      </c>
      <c r="Q1606" s="21" t="str">
        <f t="shared" si="4"/>
        <v/>
      </c>
      <c r="R1606" s="22">
        <f>IFERROR(__xludf.DUMMYFUNCTION("GOOGLEFINANCE(B1606, ""pe"")
"),79.64)</f>
        <v>79.64</v>
      </c>
    </row>
    <row r="1607">
      <c r="A1607" s="9" t="s">
        <v>1615</v>
      </c>
      <c r="B1607" s="11" t="str">
        <f t="shared" si="1"/>
        <v>NSE:COMSYN</v>
      </c>
      <c r="C1607" s="12">
        <f>IFERROR(__xludf.DUMMYFUNCTION("GOOGLEFINANCE(B1607,""marketcap"")/10000000"),527.9681664)</f>
        <v>527.9681664</v>
      </c>
      <c r="D1607" s="13">
        <f>IFERROR(__xludf.DUMMYFUNCTION("GOOGLEFINANCE(B1607,""price"")"),132.09)</f>
        <v>132.09</v>
      </c>
      <c r="E1607" s="14">
        <f>IFERROR(__xludf.DUMMYFUNCTION("GOOGLEFINANCE(B1607,""Volume"")"),98376.0)</f>
        <v>98376</v>
      </c>
      <c r="F1607" s="14">
        <f t="array" ref="F1607">F1606</f>
        <v>14</v>
      </c>
      <c r="G1607" s="15" t="str">
        <f>IFERROR(__xludf.DUMMYFUNCTION("IF(E1607&gt;AVERAGE(INDEX(GOOGLEFINANCE(B1607,""volume"",WORKDAY(TODAY(),-$F$1),TODAY()),,2)),""Breakout"","""")"),"")</f>
        <v/>
      </c>
      <c r="H1607" s="16">
        <f>IFERROR(__xludf.DUMMYFUNCTION("GOOGLEFINANCE(B1607,""price"")"),132.09)</f>
        <v>132.09</v>
      </c>
      <c r="I1607" s="17">
        <f>IFERROR(__xludf.DUMMYFUNCTION("AVERAGE(QUERY(SORT(GOOGLEFINANCE(B1607,""price"",TODAY()-365,TODAY()),1,0),""select Col2 limit 10""))"),129.397)</f>
        <v>129.397</v>
      </c>
      <c r="J1607" s="17">
        <f>IFERROR(__xludf.DUMMYFUNCTION("AVERAGE(QUERY(SORT(GOOGLEFINANCE(B1607,""price"",TODAY()-365,TODAY()),1,0),""select Col2 limit 30""))"),131.07500000000002)</f>
        <v>131.075</v>
      </c>
      <c r="K1607" s="18">
        <f>IFERROR(__xludf.DUMMYFUNCTION("AVERAGE(QUERY(SORT(GOOGLEFINANCE(B1607,""price"",TODAY()-365,TODAY()),1,0),""select Col2 limit 60""))"),121.40883333333332)</f>
        <v>121.4088333</v>
      </c>
      <c r="L1607" s="17">
        <f>IFERROR(__xludf.DUMMYFUNCTION("AVERAGE(QUERY(SORT(GOOGLEFINANCE(B1607,""price"",TODAY()-365,TODAY()),1,0),""select Col2 limit 90""))"),107.88811111111112)</f>
        <v>107.8881111</v>
      </c>
      <c r="M1607" s="17">
        <f>IFERROR(__xludf.DUMMYFUNCTION("AVERAGE(QUERY(SORT(GOOGLEFINANCE(B1607,""price"",TODAY()-365,TODAY()),1,0),""select Col2 limit 120""))"),99.78658333333333)</f>
        <v>99.78658333</v>
      </c>
      <c r="N1607" s="19">
        <f>IFERROR(__xludf.DUMMYFUNCTION("AVERAGE(QUERY(SORT(GOOGLEFINANCE(B1607,""price"",TODAY()-365,TODAY()),1,0),""select Col2 limit 200""))"),88.57445000000001)</f>
        <v>88.57445</v>
      </c>
      <c r="O1607" s="20" t="str">
        <f t="shared" si="2"/>
        <v>Avoid</v>
      </c>
      <c r="P1607" s="21" t="str">
        <f t="shared" si="3"/>
        <v/>
      </c>
      <c r="Q1607" s="21" t="str">
        <f t="shared" si="4"/>
        <v/>
      </c>
      <c r="R1607" s="22">
        <f>IFERROR(__xludf.DUMMYFUNCTION("GOOGLEFINANCE(B1607, ""pe"")
"),30.8)</f>
        <v>30.8</v>
      </c>
    </row>
    <row r="1608">
      <c r="A1608" s="9" t="s">
        <v>1616</v>
      </c>
      <c r="B1608" s="11" t="str">
        <f t="shared" si="1"/>
        <v>NSE:NILASPACES</v>
      </c>
      <c r="C1608" s="12">
        <f>IFERROR(__xludf.DUMMYFUNCTION("GOOGLEFINANCE(B1608,""marketcap"")/10000000"),546.3241771)</f>
        <v>546.3241771</v>
      </c>
      <c r="D1608" s="13">
        <f>IFERROR(__xludf.DUMMYFUNCTION("GOOGLEFINANCE(B1608,""price"")"),13.83)</f>
        <v>13.83</v>
      </c>
      <c r="E1608" s="14">
        <f>IFERROR(__xludf.DUMMYFUNCTION("GOOGLEFINANCE(B1608,""Volume"")"),445947.0)</f>
        <v>445947</v>
      </c>
      <c r="F1608" s="14">
        <f t="array" ref="F1608">F1607</f>
        <v>14</v>
      </c>
      <c r="G1608" s="15" t="str">
        <f>IFERROR(__xludf.DUMMYFUNCTION("IF(E1608&gt;AVERAGE(INDEX(GOOGLEFINANCE(B1608,""volume"",WORKDAY(TODAY(),-$F$1),TODAY()),,2)),""Breakout"","""")"),"")</f>
        <v/>
      </c>
      <c r="H1608" s="16">
        <f>IFERROR(__xludf.DUMMYFUNCTION("GOOGLEFINANCE(B1608,""price"")"),13.83)</f>
        <v>13.83</v>
      </c>
      <c r="I1608" s="17">
        <f>IFERROR(__xludf.DUMMYFUNCTION("AVERAGE(QUERY(SORT(GOOGLEFINANCE(B1608,""price"",TODAY()-365,TODAY()),1,0),""select Col2 limit 10""))"),15.018)</f>
        <v>15.018</v>
      </c>
      <c r="J1608" s="17">
        <f>IFERROR(__xludf.DUMMYFUNCTION("AVERAGE(QUERY(SORT(GOOGLEFINANCE(B1608,""price"",TODAY()-365,TODAY()),1,0),""select Col2 limit 30""))"),13.127)</f>
        <v>13.127</v>
      </c>
      <c r="K1608" s="18">
        <f>IFERROR(__xludf.DUMMYFUNCTION("AVERAGE(QUERY(SORT(GOOGLEFINANCE(B1608,""price"",TODAY()-365,TODAY()),1,0),""select Col2 limit 60""))"),12.476666666666668)</f>
        <v>12.47666667</v>
      </c>
      <c r="L1608" s="17">
        <f>IFERROR(__xludf.DUMMYFUNCTION("AVERAGE(QUERY(SORT(GOOGLEFINANCE(B1608,""price"",TODAY()-365,TODAY()),1,0),""select Col2 limit 90""))"),12.218444444444446)</f>
        <v>12.21844444</v>
      </c>
      <c r="M1608" s="17">
        <f>IFERROR(__xludf.DUMMYFUNCTION("AVERAGE(QUERY(SORT(GOOGLEFINANCE(B1608,""price"",TODAY()-365,TODAY()),1,0),""select Col2 limit 120""))"),12.131916666666664)</f>
        <v>12.13191667</v>
      </c>
      <c r="N1608" s="19">
        <f>IFERROR(__xludf.DUMMYFUNCTION("AVERAGE(QUERY(SORT(GOOGLEFINANCE(B1608,""price"",TODAY()-365,TODAY()),1,0),""select Col2 limit 200""))"),13.188450000000005)</f>
        <v>13.18845</v>
      </c>
      <c r="O1608" s="20" t="str">
        <f t="shared" si="2"/>
        <v>Avoid</v>
      </c>
      <c r="P1608" s="21" t="str">
        <f t="shared" si="3"/>
        <v/>
      </c>
      <c r="Q1608" s="21" t="str">
        <f t="shared" si="4"/>
        <v/>
      </c>
      <c r="R1608" s="22">
        <f>IFERROR(__xludf.DUMMYFUNCTION("GOOGLEFINANCE(B1608, ""pe"")
"),37.07)</f>
        <v>37.07</v>
      </c>
    </row>
    <row r="1609">
      <c r="A1609" s="9" t="s">
        <v>1617</v>
      </c>
      <c r="B1609" s="11" t="str">
        <f t="shared" si="1"/>
        <v>NSE:NDLVENTURE</v>
      </c>
      <c r="C1609" s="12">
        <f>IFERROR(__xludf.DUMMYFUNCTION("GOOGLEFINANCE(B1609,""marketcap"")/10000000"),226.61)</f>
        <v>226.61</v>
      </c>
      <c r="D1609" s="13">
        <f>IFERROR(__xludf.DUMMYFUNCTION("GOOGLEFINANCE(B1609,""price"")"),68.41)</f>
        <v>68.41</v>
      </c>
      <c r="E1609" s="14">
        <f>IFERROR(__xludf.DUMMYFUNCTION("GOOGLEFINANCE(B1609,""Volume"")"),3205.0)</f>
        <v>3205</v>
      </c>
      <c r="F1609" s="14">
        <f t="array" ref="F1609">F1608</f>
        <v>14</v>
      </c>
      <c r="G1609" s="15" t="str">
        <f>IFERROR(__xludf.DUMMYFUNCTION("IF(E1609&gt;AVERAGE(INDEX(GOOGLEFINANCE(B1609,""volume"",WORKDAY(TODAY(),-$F$1),TODAY()),,2)),""Breakout"","""")"),"")</f>
        <v/>
      </c>
      <c r="H1609" s="16">
        <f>IFERROR(__xludf.DUMMYFUNCTION("GOOGLEFINANCE(B1609,""price"")"),68.41)</f>
        <v>68.41</v>
      </c>
      <c r="I1609" s="17">
        <f>IFERROR(__xludf.DUMMYFUNCTION("AVERAGE(QUERY(SORT(GOOGLEFINANCE(B1609,""price"",TODAY()-365,TODAY()),1,0),""select Col2 limit 10""))"),70.91600000000001)</f>
        <v>70.916</v>
      </c>
      <c r="J1609" s="17">
        <f>IFERROR(__xludf.DUMMYFUNCTION("AVERAGE(QUERY(SORT(GOOGLEFINANCE(B1609,""price"",TODAY()-365,TODAY()),1,0),""select Col2 limit 30""))"),68.559)</f>
        <v>68.559</v>
      </c>
      <c r="K1609" s="18">
        <f>IFERROR(__xludf.DUMMYFUNCTION("AVERAGE(QUERY(SORT(GOOGLEFINANCE(B1609,""price"",TODAY()-365,TODAY()),1,0),""select Col2 limit 60""))"),65.43533333333332)</f>
        <v>65.43533333</v>
      </c>
      <c r="L1609" s="17">
        <f>IFERROR(__xludf.DUMMYFUNCTION("AVERAGE(QUERY(SORT(GOOGLEFINANCE(B1609,""price"",TODAY()-365,TODAY()),1,0),""select Col2 limit 90""))"),65.09788888888889)</f>
        <v>65.09788889</v>
      </c>
      <c r="M1609" s="17">
        <f>IFERROR(__xludf.DUMMYFUNCTION("AVERAGE(QUERY(SORT(GOOGLEFINANCE(B1609,""price"",TODAY()-365,TODAY()),1,0),""select Col2 limit 120""))"),72.02366666666667)</f>
        <v>72.02366667</v>
      </c>
      <c r="N1609" s="19">
        <f>IFERROR(__xludf.DUMMYFUNCTION("AVERAGE(QUERY(SORT(GOOGLEFINANCE(B1609,""price"",TODAY()-365,TODAY()),1,0),""select Col2 limit 200""))"),87.03235)</f>
        <v>87.03235</v>
      </c>
      <c r="O1609" s="20" t="str">
        <f t="shared" si="2"/>
        <v>Avoid</v>
      </c>
      <c r="P1609" s="21" t="str">
        <f t="shared" si="3"/>
        <v>30 DMA</v>
      </c>
      <c r="Q1609" s="21" t="str">
        <f t="shared" si="4"/>
        <v/>
      </c>
      <c r="R1609" s="22" t="str">
        <f>IFERROR(__xludf.DUMMYFUNCTION("GOOGLEFINANCE(B1609, ""pe"")
"),"#N/A")</f>
        <v>#N/A</v>
      </c>
    </row>
    <row r="1610">
      <c r="A1610" s="9" t="s">
        <v>1618</v>
      </c>
      <c r="B1610" s="11" t="str">
        <f t="shared" si="1"/>
        <v>NSE:MAGNUM</v>
      </c>
      <c r="C1610" s="12">
        <f>IFERROR(__xludf.DUMMYFUNCTION("GOOGLEFINANCE(B1610,""marketcap"")/10000000"),160.9146495)</f>
        <v>160.9146495</v>
      </c>
      <c r="D1610" s="13">
        <f>IFERROR(__xludf.DUMMYFUNCTION("GOOGLEFINANCE(B1610,""price"")"),24.23)</f>
        <v>24.23</v>
      </c>
      <c r="E1610" s="14">
        <f>IFERROR(__xludf.DUMMYFUNCTION("GOOGLEFINANCE(B1610,""Volume"")"),26597.0)</f>
        <v>26597</v>
      </c>
      <c r="F1610" s="14">
        <f t="array" ref="F1610">F1609</f>
        <v>14</v>
      </c>
      <c r="G1610" s="15" t="str">
        <f>IFERROR(__xludf.DUMMYFUNCTION("IF(E1610&gt;AVERAGE(INDEX(GOOGLEFINANCE(B1610,""volume"",WORKDAY(TODAY(),-$F$1),TODAY()),,2)),""Breakout"","""")"),"")</f>
        <v/>
      </c>
      <c r="H1610" s="16">
        <f>IFERROR(__xludf.DUMMYFUNCTION("GOOGLEFINANCE(B1610,""price"")"),24.23)</f>
        <v>24.23</v>
      </c>
      <c r="I1610" s="17">
        <f>IFERROR(__xludf.DUMMYFUNCTION("AVERAGE(QUERY(SORT(GOOGLEFINANCE(B1610,""price"",TODAY()-365,TODAY()),1,0),""select Col2 limit 10""))"),24.726999999999997)</f>
        <v>24.727</v>
      </c>
      <c r="J1610" s="17">
        <f>IFERROR(__xludf.DUMMYFUNCTION("AVERAGE(QUERY(SORT(GOOGLEFINANCE(B1610,""price"",TODAY()-365,TODAY()),1,0),""select Col2 limit 30""))"),25.479333333333336)</f>
        <v>25.47933333</v>
      </c>
      <c r="K1610" s="18">
        <f>IFERROR(__xludf.DUMMYFUNCTION("AVERAGE(QUERY(SORT(GOOGLEFINANCE(B1610,""price"",TODAY()-365,TODAY()),1,0),""select Col2 limit 60""))"),26.279833333333325)</f>
        <v>26.27983333</v>
      </c>
      <c r="L1610" s="17">
        <f>IFERROR(__xludf.DUMMYFUNCTION("AVERAGE(QUERY(SORT(GOOGLEFINANCE(B1610,""price"",TODAY()-365,TODAY()),1,0),""select Col2 limit 90""))"),26.35822222222221)</f>
        <v>26.35822222</v>
      </c>
      <c r="M1610" s="17">
        <f>IFERROR(__xludf.DUMMYFUNCTION("AVERAGE(QUERY(SORT(GOOGLEFINANCE(B1610,""price"",TODAY()-365,TODAY()),1,0),""select Col2 limit 120""))"),27.657249999999994)</f>
        <v>27.65725</v>
      </c>
      <c r="N1610" s="19">
        <f>IFERROR(__xludf.DUMMYFUNCTION("AVERAGE(QUERY(SORT(GOOGLEFINANCE(B1610,""price"",TODAY()-365,TODAY()),1,0),""select Col2 limit 200""))"),33.702149999999996)</f>
        <v>33.70215</v>
      </c>
      <c r="O1610" s="20" t="str">
        <f t="shared" si="2"/>
        <v>Avoid</v>
      </c>
      <c r="P1610" s="21" t="str">
        <f t="shared" si="3"/>
        <v/>
      </c>
      <c r="Q1610" s="21" t="str">
        <f t="shared" si="4"/>
        <v/>
      </c>
      <c r="R1610" s="22">
        <f>IFERROR(__xludf.DUMMYFUNCTION("GOOGLEFINANCE(B1610, ""pe"")
"),16.71)</f>
        <v>16.71</v>
      </c>
    </row>
    <row r="1611">
      <c r="A1611" s="9" t="s">
        <v>1619</v>
      </c>
      <c r="B1611" s="11" t="str">
        <f t="shared" si="1"/>
        <v>NSE:UMANGDAIRY</v>
      </c>
      <c r="C1611" s="12" t="str">
        <f>IFERROR(__xludf.DUMMYFUNCTION("GOOGLEFINANCE(B1611,""marketcap"")/10000000"),"#N/A")</f>
        <v>#N/A</v>
      </c>
      <c r="D1611" s="13" t="str">
        <f>IFERROR(__xludf.DUMMYFUNCTION("GOOGLEFINANCE(B1611,""price"")"),"#N/A")</f>
        <v>#N/A</v>
      </c>
      <c r="E1611" s="14" t="str">
        <f>IFERROR(__xludf.DUMMYFUNCTION("GOOGLEFINANCE(B1611,""Volume"")"),"#N/A")</f>
        <v>#N/A</v>
      </c>
      <c r="F1611" s="14">
        <f t="array" ref="F1611">F1610</f>
        <v>14</v>
      </c>
      <c r="G1611" s="15" t="str">
        <f>IFERROR(__xludf.DUMMYFUNCTION("IF(E1611&gt;AVERAGE(INDEX(GOOGLEFINANCE(B1611,""volume"",WORKDAY(TODAY(),-$F$1),TODAY()),,2)),""Breakout"","""")"),"#N/A")</f>
        <v>#N/A</v>
      </c>
      <c r="H1611" s="16" t="str">
        <f>IFERROR(__xludf.DUMMYFUNCTION("GOOGLEFINANCE(B1611,""price"")"),"#N/A")</f>
        <v>#N/A</v>
      </c>
      <c r="I1611" s="17" t="str">
        <f>IFERROR(__xludf.DUMMYFUNCTION("AVERAGE(QUERY(SORT(GOOGLEFINANCE(B1611,""price"",TODAY()-365,TODAY()),1,0),""select Col2 limit 10""))"),"#N/A")</f>
        <v>#N/A</v>
      </c>
      <c r="J1611" s="17" t="str">
        <f>IFERROR(__xludf.DUMMYFUNCTION("AVERAGE(QUERY(SORT(GOOGLEFINANCE(B1611,""price"",TODAY()-365,TODAY()),1,0),""select Col2 limit 30""))"),"#N/A")</f>
        <v>#N/A</v>
      </c>
      <c r="K1611" s="18" t="str">
        <f>IFERROR(__xludf.DUMMYFUNCTION("AVERAGE(QUERY(SORT(GOOGLEFINANCE(B1611,""price"",TODAY()-365,TODAY()),1,0),""select Col2 limit 60""))"),"#N/A")</f>
        <v>#N/A</v>
      </c>
      <c r="L1611" s="17" t="str">
        <f>IFERROR(__xludf.DUMMYFUNCTION("AVERAGE(QUERY(SORT(GOOGLEFINANCE(B1611,""price"",TODAY()-365,TODAY()),1,0),""select Col2 limit 90""))"),"#N/A")</f>
        <v>#N/A</v>
      </c>
      <c r="M1611" s="17" t="str">
        <f>IFERROR(__xludf.DUMMYFUNCTION("AVERAGE(QUERY(SORT(GOOGLEFINANCE(B1611,""price"",TODAY()-365,TODAY()),1,0),""select Col2 limit 120""))"),"#N/A")</f>
        <v>#N/A</v>
      </c>
      <c r="N1611" s="19" t="str">
        <f>IFERROR(__xludf.DUMMYFUNCTION("AVERAGE(QUERY(SORT(GOOGLEFINANCE(B1611,""price"",TODAY()-365,TODAY()),1,0),""select Col2 limit 200""))"),"#N/A")</f>
        <v>#N/A</v>
      </c>
      <c r="O1611" s="20" t="str">
        <f t="shared" si="2"/>
        <v>#N/A</v>
      </c>
      <c r="P1611" s="21" t="str">
        <f t="shared" si="3"/>
        <v>#N/A</v>
      </c>
      <c r="Q1611" s="21" t="str">
        <f t="shared" si="4"/>
        <v>#N/A</v>
      </c>
      <c r="R1611" s="22" t="str">
        <f>IFERROR(__xludf.DUMMYFUNCTION("GOOGLEFINANCE(B1611, ""pe"")
"),"#N/A")</f>
        <v>#N/A</v>
      </c>
    </row>
    <row r="1612">
      <c r="A1612" s="9" t="s">
        <v>1620</v>
      </c>
      <c r="B1612" s="11" t="str">
        <f t="shared" si="1"/>
        <v>NSE:INDTERRAIN</v>
      </c>
      <c r="C1612" s="12">
        <f>IFERROR(__xludf.DUMMYFUNCTION("GOOGLEFINANCE(B1612,""marketcap"")/10000000"),204.4606179)</f>
        <v>204.4606179</v>
      </c>
      <c r="D1612" s="13">
        <f>IFERROR(__xludf.DUMMYFUNCTION("GOOGLEFINANCE(B1612,""price"")"),40.57)</f>
        <v>40.57</v>
      </c>
      <c r="E1612" s="14">
        <f>IFERROR(__xludf.DUMMYFUNCTION("GOOGLEFINANCE(B1612,""Volume"")"),34608.0)</f>
        <v>34608</v>
      </c>
      <c r="F1612" s="14">
        <f t="array" ref="F1612">F1611</f>
        <v>14</v>
      </c>
      <c r="G1612" s="15" t="str">
        <f>IFERROR(__xludf.DUMMYFUNCTION("IF(E1612&gt;AVERAGE(INDEX(GOOGLEFINANCE(B1612,""volume"",WORKDAY(TODAY(),-$F$1),TODAY()),,2)),""Breakout"","""")"),"")</f>
        <v/>
      </c>
      <c r="H1612" s="16">
        <f>IFERROR(__xludf.DUMMYFUNCTION("GOOGLEFINANCE(B1612,""price"")"),40.57)</f>
        <v>40.57</v>
      </c>
      <c r="I1612" s="17">
        <f>IFERROR(__xludf.DUMMYFUNCTION("AVERAGE(QUERY(SORT(GOOGLEFINANCE(B1612,""price"",TODAY()-365,TODAY()),1,0),""select Col2 limit 10""))"),40.059999999999995)</f>
        <v>40.06</v>
      </c>
      <c r="J1612" s="17">
        <f>IFERROR(__xludf.DUMMYFUNCTION("AVERAGE(QUERY(SORT(GOOGLEFINANCE(B1612,""price"",TODAY()-365,TODAY()),1,0),""select Col2 limit 30""))"),38.43833333333332)</f>
        <v>38.43833333</v>
      </c>
      <c r="K1612" s="18">
        <f>IFERROR(__xludf.DUMMYFUNCTION("AVERAGE(QUERY(SORT(GOOGLEFINANCE(B1612,""price"",TODAY()-365,TODAY()),1,0),""select Col2 limit 60""))"),38.11649999999999)</f>
        <v>38.1165</v>
      </c>
      <c r="L1612" s="17">
        <f>IFERROR(__xludf.DUMMYFUNCTION("AVERAGE(QUERY(SORT(GOOGLEFINANCE(B1612,""price"",TODAY()-365,TODAY()),1,0),""select Col2 limit 90""))"),36.67799999999999)</f>
        <v>36.678</v>
      </c>
      <c r="M1612" s="17">
        <f>IFERROR(__xludf.DUMMYFUNCTION("AVERAGE(QUERY(SORT(GOOGLEFINANCE(B1612,""price"",TODAY()-365,TODAY()),1,0),""select Col2 limit 120""))"),37.12058333333333)</f>
        <v>37.12058333</v>
      </c>
      <c r="N1612" s="19">
        <f>IFERROR(__xludf.DUMMYFUNCTION("AVERAGE(QUERY(SORT(GOOGLEFINANCE(B1612,""price"",TODAY()-365,TODAY()),1,0),""select Col2 limit 200""))"),42.25919999999997)</f>
        <v>42.2592</v>
      </c>
      <c r="O1612" s="20" t="str">
        <f t="shared" si="2"/>
        <v>Buy Above 200 DMA</v>
      </c>
      <c r="P1612" s="21" t="str">
        <f t="shared" si="3"/>
        <v/>
      </c>
      <c r="Q1612" s="21" t="str">
        <f t="shared" si="4"/>
        <v/>
      </c>
      <c r="R1612" s="22" t="str">
        <f>IFERROR(__xludf.DUMMYFUNCTION("GOOGLEFINANCE(B1612, ""pe"")
"),"#N/A")</f>
        <v>#N/A</v>
      </c>
    </row>
    <row r="1613">
      <c r="A1613" s="9" t="s">
        <v>1621</v>
      </c>
      <c r="B1613" s="11" t="str">
        <f t="shared" si="1"/>
        <v>NSE:MEDICO</v>
      </c>
      <c r="C1613" s="12">
        <f>IFERROR(__xludf.DUMMYFUNCTION("GOOGLEFINANCE(B1613,""marketcap"")/10000000"),329.6124184)</f>
        <v>329.6124184</v>
      </c>
      <c r="D1613" s="13">
        <f>IFERROR(__xludf.DUMMYFUNCTION("GOOGLEFINANCE(B1613,""price"")"),39.6)</f>
        <v>39.6</v>
      </c>
      <c r="E1613" s="14">
        <f>IFERROR(__xludf.DUMMYFUNCTION("GOOGLEFINANCE(B1613,""Volume"")"),50744.0)</f>
        <v>50744</v>
      </c>
      <c r="F1613" s="14">
        <f t="array" ref="F1613">F1612</f>
        <v>14</v>
      </c>
      <c r="G1613" s="15" t="str">
        <f>IFERROR(__xludf.DUMMYFUNCTION("IF(E1613&gt;AVERAGE(INDEX(GOOGLEFINANCE(B1613,""volume"",WORKDAY(TODAY(),-$F$1),TODAY()),,2)),""Breakout"","""")"),"")</f>
        <v/>
      </c>
      <c r="H1613" s="16">
        <f>IFERROR(__xludf.DUMMYFUNCTION("GOOGLEFINANCE(B1613,""price"")"),39.6)</f>
        <v>39.6</v>
      </c>
      <c r="I1613" s="17">
        <f>IFERROR(__xludf.DUMMYFUNCTION("AVERAGE(QUERY(SORT(GOOGLEFINANCE(B1613,""price"",TODAY()-365,TODAY()),1,0),""select Col2 limit 10""))"),39.85)</f>
        <v>39.85</v>
      </c>
      <c r="J1613" s="17">
        <f>IFERROR(__xludf.DUMMYFUNCTION("AVERAGE(QUERY(SORT(GOOGLEFINANCE(B1613,""price"",TODAY()-365,TODAY()),1,0),""select Col2 limit 30""))"),43.149666666666675)</f>
        <v>43.14966667</v>
      </c>
      <c r="K1613" s="18">
        <f>IFERROR(__xludf.DUMMYFUNCTION("AVERAGE(QUERY(SORT(GOOGLEFINANCE(B1613,""price"",TODAY()-365,TODAY()),1,0),""select Col2 limit 60""))"),47.958999999999996)</f>
        <v>47.959</v>
      </c>
      <c r="L1613" s="17">
        <f>IFERROR(__xludf.DUMMYFUNCTION("AVERAGE(QUERY(SORT(GOOGLEFINANCE(B1613,""price"",TODAY()-365,TODAY()),1,0),""select Col2 limit 90""))"),50.09577777777778)</f>
        <v>50.09577778</v>
      </c>
      <c r="M1613" s="17">
        <f>IFERROR(__xludf.DUMMYFUNCTION("AVERAGE(QUERY(SORT(GOOGLEFINANCE(B1613,""price"",TODAY()-365,TODAY()),1,0),""select Col2 limit 120""))"),53.82883333333335)</f>
        <v>53.82883333</v>
      </c>
      <c r="N1613" s="19">
        <f>IFERROR(__xludf.DUMMYFUNCTION("AVERAGE(QUERY(SORT(GOOGLEFINANCE(B1613,""price"",TODAY()-365,TODAY()),1,0),""select Col2 limit 200""))"),54.13115000000002)</f>
        <v>54.13115</v>
      </c>
      <c r="O1613" s="20" t="str">
        <f t="shared" si="2"/>
        <v>Avoid</v>
      </c>
      <c r="P1613" s="21" t="str">
        <f t="shared" si="3"/>
        <v>10 DMA</v>
      </c>
      <c r="Q1613" s="21" t="str">
        <f t="shared" si="4"/>
        <v>10 DMA cross best</v>
      </c>
      <c r="R1613" s="22">
        <f>IFERROR(__xludf.DUMMYFUNCTION("GOOGLEFINANCE(B1613, ""pe"")
"),32.46)</f>
        <v>32.46</v>
      </c>
    </row>
    <row r="1614">
      <c r="A1614" s="9" t="s">
        <v>1622</v>
      </c>
      <c r="B1614" s="11" t="str">
        <f t="shared" si="1"/>
        <v>NSE:SMARTLINK</v>
      </c>
      <c r="C1614" s="12">
        <f>IFERROR(__xludf.DUMMYFUNCTION("GOOGLEFINANCE(B1614,""marketcap"")/10000000"),150.6225)</f>
        <v>150.6225</v>
      </c>
      <c r="D1614" s="13">
        <f>IFERROR(__xludf.DUMMYFUNCTION("GOOGLEFINANCE(B1614,""price"")"),150.89)</f>
        <v>150.89</v>
      </c>
      <c r="E1614" s="14">
        <f>IFERROR(__xludf.DUMMYFUNCTION("GOOGLEFINANCE(B1614,""Volume"")"),5281.0)</f>
        <v>5281</v>
      </c>
      <c r="F1614" s="14">
        <f t="array" ref="F1614">F1613</f>
        <v>14</v>
      </c>
      <c r="G1614" s="15" t="str">
        <f>IFERROR(__xludf.DUMMYFUNCTION("IF(E1614&gt;AVERAGE(INDEX(GOOGLEFINANCE(B1614,""volume"",WORKDAY(TODAY(),-$F$1),TODAY()),,2)),""Breakout"","""")"),"#N/A")</f>
        <v>#N/A</v>
      </c>
      <c r="H1614" s="16">
        <f>IFERROR(__xludf.DUMMYFUNCTION("GOOGLEFINANCE(B1614,""price"")"),150.89)</f>
        <v>150.89</v>
      </c>
      <c r="I1614" s="17">
        <f>IFERROR(__xludf.DUMMYFUNCTION("AVERAGE(QUERY(SORT(GOOGLEFINANCE(B1614,""price"",TODAY()-365,TODAY()),1,0),""select Col2 limit 10""))"),152.039)</f>
        <v>152.039</v>
      </c>
      <c r="J1614" s="17">
        <f>IFERROR(__xludf.DUMMYFUNCTION("AVERAGE(QUERY(SORT(GOOGLEFINANCE(B1614,""price"",TODAY()-365,TODAY()),1,0),""select Col2 limit 30""))"),154.81)</f>
        <v>154.81</v>
      </c>
      <c r="K1614" s="18">
        <f>IFERROR(__xludf.DUMMYFUNCTION("AVERAGE(QUERY(SORT(GOOGLEFINANCE(B1614,""price"",TODAY()-365,TODAY()),1,0),""select Col2 limit 60""))"),157.0346666666667)</f>
        <v>157.0346667</v>
      </c>
      <c r="L1614" s="17">
        <f>IFERROR(__xludf.DUMMYFUNCTION("AVERAGE(QUERY(SORT(GOOGLEFINANCE(B1614,""price"",TODAY()-365,TODAY()),1,0),""select Col2 limit 90""))"),150.39166666666662)</f>
        <v>150.3916667</v>
      </c>
      <c r="M1614" s="17">
        <f>IFERROR(__xludf.DUMMYFUNCTION("AVERAGE(QUERY(SORT(GOOGLEFINANCE(B1614,""price"",TODAY()-365,TODAY()),1,0),""select Col2 limit 120""))"),152.0648333333333)</f>
        <v>152.0648333</v>
      </c>
      <c r="N1614" s="19">
        <f>IFERROR(__xludf.DUMMYFUNCTION("AVERAGE(QUERY(SORT(GOOGLEFINANCE(B1614,""price"",TODAY()-365,TODAY()),1,0),""select Col2 limit 200""))"),176.04705)</f>
        <v>176.04705</v>
      </c>
      <c r="O1614" s="20" t="str">
        <f t="shared" si="2"/>
        <v>Avoid</v>
      </c>
      <c r="P1614" s="21" t="str">
        <f t="shared" si="3"/>
        <v>10 DMA</v>
      </c>
      <c r="Q1614" s="21" t="str">
        <f t="shared" si="4"/>
        <v/>
      </c>
      <c r="R1614" s="22">
        <f>IFERROR(__xludf.DUMMYFUNCTION("GOOGLEFINANCE(B1614, ""pe"")
"),22.79)</f>
        <v>22.79</v>
      </c>
    </row>
    <row r="1615">
      <c r="A1615" s="9" t="s">
        <v>1623</v>
      </c>
      <c r="B1615" s="11" t="str">
        <f t="shared" si="1"/>
        <v>NSE:ALPHAGEO</v>
      </c>
      <c r="C1615" s="12">
        <f>IFERROR(__xludf.DUMMYFUNCTION("GOOGLEFINANCE(B1615,""marketcap"")/10000000"),174.5537624)</f>
        <v>174.5537624</v>
      </c>
      <c r="D1615" s="13">
        <f>IFERROR(__xludf.DUMMYFUNCTION("GOOGLEFINANCE(B1615,""price"")"),274.0)</f>
        <v>274</v>
      </c>
      <c r="E1615" s="14">
        <f>IFERROR(__xludf.DUMMYFUNCTION("GOOGLEFINANCE(B1615,""Volume"")"),2336.0)</f>
        <v>2336</v>
      </c>
      <c r="F1615" s="14">
        <f t="array" ref="F1615">F1614</f>
        <v>14</v>
      </c>
      <c r="G1615" s="15" t="str">
        <f>IFERROR(__xludf.DUMMYFUNCTION("IF(E1615&gt;AVERAGE(INDEX(GOOGLEFINANCE(B1615,""volume"",WORKDAY(TODAY(),-$F$1),TODAY()),,2)),""Breakout"","""")"),"")</f>
        <v/>
      </c>
      <c r="H1615" s="16">
        <f>IFERROR(__xludf.DUMMYFUNCTION("GOOGLEFINANCE(B1615,""price"")"),274.0)</f>
        <v>274</v>
      </c>
      <c r="I1615" s="17">
        <f>IFERROR(__xludf.DUMMYFUNCTION("AVERAGE(QUERY(SORT(GOOGLEFINANCE(B1615,""price"",TODAY()-365,TODAY()),1,0),""select Col2 limit 10""))"),284.14)</f>
        <v>284.14</v>
      </c>
      <c r="J1615" s="17">
        <f>IFERROR(__xludf.DUMMYFUNCTION("AVERAGE(QUERY(SORT(GOOGLEFINANCE(B1615,""price"",TODAY()-365,TODAY()),1,0),""select Col2 limit 30""))"),281.5233333333333)</f>
        <v>281.5233333</v>
      </c>
      <c r="K1615" s="18">
        <f>IFERROR(__xludf.DUMMYFUNCTION("AVERAGE(QUERY(SORT(GOOGLEFINANCE(B1615,""price"",TODAY()-365,TODAY()),1,0),""select Col2 limit 60""))"),269.34049999999996)</f>
        <v>269.3405</v>
      </c>
      <c r="L1615" s="17">
        <f>IFERROR(__xludf.DUMMYFUNCTION("AVERAGE(QUERY(SORT(GOOGLEFINANCE(B1615,""price"",TODAY()-365,TODAY()),1,0),""select Col2 limit 90""))"),260.7604444444445)</f>
        <v>260.7604444</v>
      </c>
      <c r="M1615" s="17">
        <f>IFERROR(__xludf.DUMMYFUNCTION("AVERAGE(QUERY(SORT(GOOGLEFINANCE(B1615,""price"",TODAY()-365,TODAY()),1,0),""select Col2 limit 120""))"),269.11049999999994)</f>
        <v>269.1105</v>
      </c>
      <c r="N1615" s="19">
        <f>IFERROR(__xludf.DUMMYFUNCTION("AVERAGE(QUERY(SORT(GOOGLEFINANCE(B1615,""price"",TODAY()-365,TODAY()),1,0),""select Col2 limit 200""))"),323.7380499999999)</f>
        <v>323.73805</v>
      </c>
      <c r="O1615" s="20" t="str">
        <f t="shared" si="2"/>
        <v>Avoid</v>
      </c>
      <c r="P1615" s="21" t="str">
        <f t="shared" si="3"/>
        <v/>
      </c>
      <c r="Q1615" s="21" t="str">
        <f t="shared" si="4"/>
        <v/>
      </c>
      <c r="R1615" s="22" t="str">
        <f>IFERROR(__xludf.DUMMYFUNCTION("GOOGLEFINANCE(B1615, ""pe"")
"),"#N/A")</f>
        <v>#N/A</v>
      </c>
    </row>
    <row r="1616">
      <c r="A1616" s="9" t="s">
        <v>1624</v>
      </c>
      <c r="B1616" s="11" t="str">
        <f t="shared" si="1"/>
        <v>NSE:LANCORHOL</v>
      </c>
      <c r="C1616" s="12">
        <f>IFERROR(__xludf.DUMMYFUNCTION("GOOGLEFINANCE(B1616,""marketcap"")/10000000"),156.7944595)</f>
        <v>156.7944595</v>
      </c>
      <c r="D1616" s="13">
        <f>IFERROR(__xludf.DUMMYFUNCTION("GOOGLEFINANCE(B1616,""price"")"),21.48)</f>
        <v>21.48</v>
      </c>
      <c r="E1616" s="14">
        <f>IFERROR(__xludf.DUMMYFUNCTION("GOOGLEFINANCE(B1616,""Volume"")"),33974.0)</f>
        <v>33974</v>
      </c>
      <c r="F1616" s="14">
        <f t="array" ref="F1616">F1615</f>
        <v>14</v>
      </c>
      <c r="G1616" s="15" t="str">
        <f>IFERROR(__xludf.DUMMYFUNCTION("IF(E1616&gt;AVERAGE(INDEX(GOOGLEFINANCE(B1616,""volume"",WORKDAY(TODAY(),-$F$1),TODAY()),,2)),""Breakout"","""")"),"")</f>
        <v/>
      </c>
      <c r="H1616" s="16">
        <f>IFERROR(__xludf.DUMMYFUNCTION("GOOGLEFINANCE(B1616,""price"")"),21.48)</f>
        <v>21.48</v>
      </c>
      <c r="I1616" s="17">
        <f>IFERROR(__xludf.DUMMYFUNCTION("AVERAGE(QUERY(SORT(GOOGLEFINANCE(B1616,""price"",TODAY()-365,TODAY()),1,0),""select Col2 limit 10""))"),22.616)</f>
        <v>22.616</v>
      </c>
      <c r="J1616" s="17">
        <f>IFERROR(__xludf.DUMMYFUNCTION("AVERAGE(QUERY(SORT(GOOGLEFINANCE(B1616,""price"",TODAY()-365,TODAY()),1,0),""select Col2 limit 30""))"),22.561666666666664)</f>
        <v>22.56166667</v>
      </c>
      <c r="K1616" s="18">
        <f>IFERROR(__xludf.DUMMYFUNCTION("AVERAGE(QUERY(SORT(GOOGLEFINANCE(B1616,""price"",TODAY()-365,TODAY()),1,0),""select Col2 limit 60""))"),22.124333333333336)</f>
        <v>22.12433333</v>
      </c>
      <c r="L1616" s="17">
        <f>IFERROR(__xludf.DUMMYFUNCTION("AVERAGE(QUERY(SORT(GOOGLEFINANCE(B1616,""price"",TODAY()-365,TODAY()),1,0),""select Col2 limit 90""))"),22.426222222222233)</f>
        <v>22.42622222</v>
      </c>
      <c r="M1616" s="17">
        <f>IFERROR(__xludf.DUMMYFUNCTION("AVERAGE(QUERY(SORT(GOOGLEFINANCE(B1616,""price"",TODAY()-365,TODAY()),1,0),""select Col2 limit 120""))"),23.436333333333337)</f>
        <v>23.43633333</v>
      </c>
      <c r="N1616" s="19">
        <f>IFERROR(__xludf.DUMMYFUNCTION("AVERAGE(QUERY(SORT(GOOGLEFINANCE(B1616,""price"",TODAY()-365,TODAY()),1,0),""select Col2 limit 200""))"),28.755)</f>
        <v>28.755</v>
      </c>
      <c r="O1616" s="20" t="str">
        <f t="shared" si="2"/>
        <v>Avoid</v>
      </c>
      <c r="P1616" s="21" t="str">
        <f t="shared" si="3"/>
        <v/>
      </c>
      <c r="Q1616" s="21" t="str">
        <f t="shared" si="4"/>
        <v/>
      </c>
      <c r="R1616" s="22">
        <f>IFERROR(__xludf.DUMMYFUNCTION("GOOGLEFINANCE(B1616, ""pe"")
"),33.56)</f>
        <v>33.56</v>
      </c>
    </row>
    <row r="1617">
      <c r="A1617" s="9" t="s">
        <v>1625</v>
      </c>
      <c r="B1617" s="11" t="str">
        <f t="shared" si="1"/>
        <v>NSE:DEVIT</v>
      </c>
      <c r="C1617" s="12">
        <f>IFERROR(__xludf.DUMMYFUNCTION("GOOGLEFINANCE(B1617,""marketcap"")/10000000"),261.8910805)</f>
        <v>261.8910805</v>
      </c>
      <c r="D1617" s="13">
        <f>IFERROR(__xludf.DUMMYFUNCTION("GOOGLEFINANCE(B1617,""price"")"),116.49)</f>
        <v>116.49</v>
      </c>
      <c r="E1617" s="14">
        <f>IFERROR(__xludf.DUMMYFUNCTION("GOOGLEFINANCE(B1617,""Volume"")"),38273.0)</f>
        <v>38273</v>
      </c>
      <c r="F1617" s="14">
        <f t="array" ref="F1617">F1616</f>
        <v>14</v>
      </c>
      <c r="G1617" s="15" t="str">
        <f>IFERROR(__xludf.DUMMYFUNCTION("IF(E1617&gt;AVERAGE(INDEX(GOOGLEFINANCE(B1617,""volume"",WORKDAY(TODAY(),-$F$1),TODAY()),,2)),""Breakout"","""")"),"")</f>
        <v/>
      </c>
      <c r="H1617" s="16">
        <f>IFERROR(__xludf.DUMMYFUNCTION("GOOGLEFINANCE(B1617,""price"")"),116.49)</f>
        <v>116.49</v>
      </c>
      <c r="I1617" s="17">
        <f>IFERROR(__xludf.DUMMYFUNCTION("AVERAGE(QUERY(SORT(GOOGLEFINANCE(B1617,""price"",TODAY()-365,TODAY()),1,0),""select Col2 limit 10""))"),114.32300000000001)</f>
        <v>114.323</v>
      </c>
      <c r="J1617" s="17">
        <f>IFERROR(__xludf.DUMMYFUNCTION("AVERAGE(QUERY(SORT(GOOGLEFINANCE(B1617,""price"",TODAY()-365,TODAY()),1,0),""select Col2 limit 30""))"),113.05966666666667)</f>
        <v>113.0596667</v>
      </c>
      <c r="K1617" s="18">
        <f>IFERROR(__xludf.DUMMYFUNCTION("AVERAGE(QUERY(SORT(GOOGLEFINANCE(B1617,""price"",TODAY()-365,TODAY()),1,0),""select Col2 limit 60""))"),110.067)</f>
        <v>110.067</v>
      </c>
      <c r="L1617" s="17">
        <f>IFERROR(__xludf.DUMMYFUNCTION("AVERAGE(QUERY(SORT(GOOGLEFINANCE(B1617,""price"",TODAY()-365,TODAY()),1,0),""select Col2 limit 90""))"),110.66522222222223)</f>
        <v>110.6652222</v>
      </c>
      <c r="M1617" s="17">
        <f>IFERROR(__xludf.DUMMYFUNCTION("AVERAGE(QUERY(SORT(GOOGLEFINANCE(B1617,""price"",TODAY()-365,TODAY()),1,0),""select Col2 limit 120""))"),115.36849999999998)</f>
        <v>115.3685</v>
      </c>
      <c r="N1617" s="19">
        <f>IFERROR(__xludf.DUMMYFUNCTION("AVERAGE(QUERY(SORT(GOOGLEFINANCE(B1617,""price"",TODAY()-365,TODAY()),1,0),""select Col2 limit 200""))"),132.15979999999996)</f>
        <v>132.1598</v>
      </c>
      <c r="O1617" s="20" t="str">
        <f t="shared" si="2"/>
        <v>Buy Above 200 DMA</v>
      </c>
      <c r="P1617" s="21" t="str">
        <f t="shared" si="3"/>
        <v/>
      </c>
      <c r="Q1617" s="21" t="str">
        <f t="shared" si="4"/>
        <v/>
      </c>
      <c r="R1617" s="22">
        <f>IFERROR(__xludf.DUMMYFUNCTION("GOOGLEFINANCE(B1617, ""pe"")
"),17.61)</f>
        <v>17.61</v>
      </c>
    </row>
    <row r="1618">
      <c r="A1618" s="9" t="s">
        <v>1626</v>
      </c>
      <c r="B1618" s="11" t="str">
        <f t="shared" si="1"/>
        <v>NSE:GUJAPOLLO</v>
      </c>
      <c r="C1618" s="12">
        <f>IFERROR(__xludf.DUMMYFUNCTION("GOOGLEFINANCE(B1618,""marketcap"")/10000000"),566.043298)</f>
        <v>566.043298</v>
      </c>
      <c r="D1618" s="13">
        <f>IFERROR(__xludf.DUMMYFUNCTION("GOOGLEFINANCE(B1618,""price"")"),479.15)</f>
        <v>479.15</v>
      </c>
      <c r="E1618" s="14">
        <f>IFERROR(__xludf.DUMMYFUNCTION("GOOGLEFINANCE(B1618,""Volume"")"),128270.0)</f>
        <v>128270</v>
      </c>
      <c r="F1618" s="14">
        <f t="array" ref="F1618">F1617</f>
        <v>14</v>
      </c>
      <c r="G1618" s="15" t="str">
        <f>IFERROR(__xludf.DUMMYFUNCTION("IF(E1618&gt;AVERAGE(INDEX(GOOGLEFINANCE(B1618,""volume"",WORKDAY(TODAY(),-$F$1),TODAY()),,2)),""Breakout"","""")"),"Breakout")</f>
        <v>Breakout</v>
      </c>
      <c r="H1618" s="16">
        <f>IFERROR(__xludf.DUMMYFUNCTION("GOOGLEFINANCE(B1618,""price"")"),479.15)</f>
        <v>479.15</v>
      </c>
      <c r="I1618" s="17">
        <f>IFERROR(__xludf.DUMMYFUNCTION("AVERAGE(QUERY(SORT(GOOGLEFINANCE(B1618,""price"",TODAY()-365,TODAY()),1,0),""select Col2 limit 10""))"),439.88500000000005)</f>
        <v>439.885</v>
      </c>
      <c r="J1618" s="17">
        <f>IFERROR(__xludf.DUMMYFUNCTION("AVERAGE(QUERY(SORT(GOOGLEFINANCE(B1618,""price"",TODAY()-365,TODAY()),1,0),""select Col2 limit 30""))"),396.72333333333336)</f>
        <v>396.7233333</v>
      </c>
      <c r="K1618" s="18">
        <f>IFERROR(__xludf.DUMMYFUNCTION("AVERAGE(QUERY(SORT(GOOGLEFINANCE(B1618,""price"",TODAY()-365,TODAY()),1,0),""select Col2 limit 60""))"),372.2241666666667)</f>
        <v>372.2241667</v>
      </c>
      <c r="L1618" s="17">
        <f>IFERROR(__xludf.DUMMYFUNCTION("AVERAGE(QUERY(SORT(GOOGLEFINANCE(B1618,""price"",TODAY()-365,TODAY()),1,0),""select Col2 limit 90""))"),360.55444444444436)</f>
        <v>360.5544444</v>
      </c>
      <c r="M1618" s="17">
        <f>IFERROR(__xludf.DUMMYFUNCTION("AVERAGE(QUERY(SORT(GOOGLEFINANCE(B1618,""price"",TODAY()-365,TODAY()),1,0),""select Col2 limit 120""))"),346.9329166666667)</f>
        <v>346.9329167</v>
      </c>
      <c r="N1618" s="19">
        <f>IFERROR(__xludf.DUMMYFUNCTION("AVERAGE(QUERY(SORT(GOOGLEFINANCE(B1618,""price"",TODAY()-365,TODAY()),1,0),""select Col2 limit 200""))"),341.88475000000005)</f>
        <v>341.88475</v>
      </c>
      <c r="O1618" s="20" t="str">
        <f t="shared" si="2"/>
        <v>Avoid</v>
      </c>
      <c r="P1618" s="21" t="str">
        <f t="shared" si="3"/>
        <v/>
      </c>
      <c r="Q1618" s="21" t="str">
        <f t="shared" si="4"/>
        <v/>
      </c>
      <c r="R1618" s="22">
        <f>IFERROR(__xludf.DUMMYFUNCTION("GOOGLEFINANCE(B1618, ""pe"")
"),241.92)</f>
        <v>241.92</v>
      </c>
    </row>
    <row r="1619">
      <c r="A1619" s="9" t="s">
        <v>1627</v>
      </c>
      <c r="B1619" s="11" t="str">
        <f t="shared" si="1"/>
        <v>NSE:LORDSCHLO</v>
      </c>
      <c r="C1619" s="12">
        <f>IFERROR(__xludf.DUMMYFUNCTION("GOOGLEFINANCE(B1619,""marketcap"")/10000000"),512.1326049)</f>
        <v>512.1326049</v>
      </c>
      <c r="D1619" s="13">
        <f>IFERROR(__xludf.DUMMYFUNCTION("GOOGLEFINANCE(B1619,""price"")"),203.6)</f>
        <v>203.6</v>
      </c>
      <c r="E1619" s="14">
        <f>IFERROR(__xludf.DUMMYFUNCTION("GOOGLEFINANCE(B1619,""Volume"")"),102168.0)</f>
        <v>102168</v>
      </c>
      <c r="F1619" s="14">
        <f t="array" ref="F1619">F1618</f>
        <v>14</v>
      </c>
      <c r="G1619" s="15" t="str">
        <f>IFERROR(__xludf.DUMMYFUNCTION("IF(E1619&gt;AVERAGE(INDEX(GOOGLEFINANCE(B1619,""volume"",WORKDAY(TODAY(),-$F$1),TODAY()),,2)),""Breakout"","""")"),"")</f>
        <v/>
      </c>
      <c r="H1619" s="16">
        <f>IFERROR(__xludf.DUMMYFUNCTION("GOOGLEFINANCE(B1619,""price"")"),203.6)</f>
        <v>203.6</v>
      </c>
      <c r="I1619" s="17">
        <f>IFERROR(__xludf.DUMMYFUNCTION("AVERAGE(QUERY(SORT(GOOGLEFINANCE(B1619,""price"",TODAY()-365,TODAY()),1,0),""select Col2 limit 10""))"),195.17000000000002)</f>
        <v>195.17</v>
      </c>
      <c r="J1619" s="17">
        <f>IFERROR(__xludf.DUMMYFUNCTION("AVERAGE(QUERY(SORT(GOOGLEFINANCE(B1619,""price"",TODAY()-365,TODAY()),1,0),""select Col2 limit 30""))"),172.0916666666667)</f>
        <v>172.0916667</v>
      </c>
      <c r="K1619" s="18">
        <f>IFERROR(__xludf.DUMMYFUNCTION("AVERAGE(QUERY(SORT(GOOGLEFINANCE(B1619,""price"",TODAY()-365,TODAY()),1,0),""select Col2 limit 60""))"),160.53900000000002)</f>
        <v>160.539</v>
      </c>
      <c r="L1619" s="17">
        <f>IFERROR(__xludf.DUMMYFUNCTION("AVERAGE(QUERY(SORT(GOOGLEFINANCE(B1619,""price"",TODAY()-365,TODAY()),1,0),""select Col2 limit 90""))"),154.1414444444444)</f>
        <v>154.1414444</v>
      </c>
      <c r="M1619" s="17">
        <f>IFERROR(__xludf.DUMMYFUNCTION("AVERAGE(QUERY(SORT(GOOGLEFINANCE(B1619,""price"",TODAY()-365,TODAY()),1,0),""select Col2 limit 120""))"),154.06949999999995)</f>
        <v>154.0695</v>
      </c>
      <c r="N1619" s="19">
        <f>IFERROR(__xludf.DUMMYFUNCTION("AVERAGE(QUERY(SORT(GOOGLEFINANCE(B1619,""price"",TODAY()-365,TODAY()),1,0),""select Col2 limit 200""))"),154.6651)</f>
        <v>154.6651</v>
      </c>
      <c r="O1619" s="20" t="str">
        <f t="shared" si="2"/>
        <v>Avoid</v>
      </c>
      <c r="P1619" s="21" t="str">
        <f t="shared" si="3"/>
        <v/>
      </c>
      <c r="Q1619" s="21" t="str">
        <f t="shared" si="4"/>
        <v/>
      </c>
      <c r="R1619" s="22">
        <f>IFERROR(__xludf.DUMMYFUNCTION("GOOGLEFINANCE(B1619, ""pe"")
"),36.16)</f>
        <v>36.16</v>
      </c>
    </row>
    <row r="1620">
      <c r="A1620" s="9" t="s">
        <v>1628</v>
      </c>
      <c r="B1620" s="11" t="str">
        <f t="shared" si="1"/>
        <v>NSE:GLOBALVECT</v>
      </c>
      <c r="C1620" s="12">
        <f>IFERROR(__xludf.DUMMYFUNCTION("GOOGLEFINANCE(B1620,""marketcap"")/10000000"),302.4)</f>
        <v>302.4</v>
      </c>
      <c r="D1620" s="13">
        <f>IFERROR(__xludf.DUMMYFUNCTION("GOOGLEFINANCE(B1620,""price"")"),216.0)</f>
        <v>216</v>
      </c>
      <c r="E1620" s="14">
        <f>IFERROR(__xludf.DUMMYFUNCTION("GOOGLEFINANCE(B1620,""Volume"")"),13874.0)</f>
        <v>13874</v>
      </c>
      <c r="F1620" s="14">
        <f t="array" ref="F1620">F1619</f>
        <v>14</v>
      </c>
      <c r="G1620" s="15" t="str">
        <f>IFERROR(__xludf.DUMMYFUNCTION("IF(E1620&gt;AVERAGE(INDEX(GOOGLEFINANCE(B1620,""volume"",WORKDAY(TODAY(),-$F$1),TODAY()),,2)),""Breakout"","""")"),"")</f>
        <v/>
      </c>
      <c r="H1620" s="16">
        <f>IFERROR(__xludf.DUMMYFUNCTION("GOOGLEFINANCE(B1620,""price"")"),216.0)</f>
        <v>216</v>
      </c>
      <c r="I1620" s="17" t="str">
        <f>IFERROR(__xludf.DUMMYFUNCTION("AVERAGE(QUERY(SORT(GOOGLEFINANCE(B1620,""price"",TODAY()-365,TODAY()),1,0),""select Col2 limit 10""))"),"#N/A")</f>
        <v>#N/A</v>
      </c>
      <c r="J1620" s="17" t="str">
        <f>IFERROR(__xludf.DUMMYFUNCTION("AVERAGE(QUERY(SORT(GOOGLEFINANCE(B1620,""price"",TODAY()-365,TODAY()),1,0),""select Col2 limit 30""))"),"#N/A")</f>
        <v>#N/A</v>
      </c>
      <c r="K1620" s="18" t="str">
        <f>IFERROR(__xludf.DUMMYFUNCTION("AVERAGE(QUERY(SORT(GOOGLEFINANCE(B1620,""price"",TODAY()-365,TODAY()),1,0),""select Col2 limit 60""))"),"#N/A")</f>
        <v>#N/A</v>
      </c>
      <c r="L1620" s="17" t="str">
        <f>IFERROR(__xludf.DUMMYFUNCTION("AVERAGE(QUERY(SORT(GOOGLEFINANCE(B1620,""price"",TODAY()-365,TODAY()),1,0),""select Col2 limit 90""))"),"#N/A")</f>
        <v>#N/A</v>
      </c>
      <c r="M1620" s="17" t="str">
        <f>IFERROR(__xludf.DUMMYFUNCTION("AVERAGE(QUERY(SORT(GOOGLEFINANCE(B1620,""price"",TODAY()-365,TODAY()),1,0),""select Col2 limit 120""))"),"#N/A")</f>
        <v>#N/A</v>
      </c>
      <c r="N1620" s="19" t="str">
        <f>IFERROR(__xludf.DUMMYFUNCTION("AVERAGE(QUERY(SORT(GOOGLEFINANCE(B1620,""price"",TODAY()-365,TODAY()),1,0),""select Col2 limit 200""))"),"#N/A")</f>
        <v>#N/A</v>
      </c>
      <c r="O1620" s="20" t="str">
        <f t="shared" si="2"/>
        <v>#N/A</v>
      </c>
      <c r="P1620" s="21" t="str">
        <f t="shared" si="3"/>
        <v>#N/A</v>
      </c>
      <c r="Q1620" s="21" t="str">
        <f t="shared" si="4"/>
        <v>#N/A</v>
      </c>
      <c r="R1620" s="22" t="str">
        <f>IFERROR(__xludf.DUMMYFUNCTION("GOOGLEFINANCE(B1620, ""pe"")
"),"#N/A")</f>
        <v>#N/A</v>
      </c>
    </row>
    <row r="1621">
      <c r="A1621" s="9" t="s">
        <v>1629</v>
      </c>
      <c r="B1621" s="11" t="str">
        <f t="shared" si="1"/>
        <v>NSE:OMAXAUTO</v>
      </c>
      <c r="C1621" s="12">
        <f>IFERROR(__xludf.DUMMYFUNCTION("GOOGLEFINANCE(B1621,""marketcap"")/10000000"),285.4684414)</f>
        <v>285.4684414</v>
      </c>
      <c r="D1621" s="13">
        <f>IFERROR(__xludf.DUMMYFUNCTION("GOOGLEFINANCE(B1621,""price"")"),133.36)</f>
        <v>133.36</v>
      </c>
      <c r="E1621" s="14">
        <f>IFERROR(__xludf.DUMMYFUNCTION("GOOGLEFINANCE(B1621,""Volume"")"),2481961.0)</f>
        <v>2481961</v>
      </c>
      <c r="F1621" s="14">
        <f t="array" ref="F1621">F1620</f>
        <v>14</v>
      </c>
      <c r="G1621" s="15" t="str">
        <f>IFERROR(__xludf.DUMMYFUNCTION("IF(E1621&gt;AVERAGE(INDEX(GOOGLEFINANCE(B1621,""volume"",WORKDAY(TODAY(),-$F$1),TODAY()),,2)),""Breakout"","""")"),"Breakout")</f>
        <v>Breakout</v>
      </c>
      <c r="H1621" s="16">
        <f>IFERROR(__xludf.DUMMYFUNCTION("GOOGLEFINANCE(B1621,""price"")"),133.36)</f>
        <v>133.36</v>
      </c>
      <c r="I1621" s="17">
        <f>IFERROR(__xludf.DUMMYFUNCTION("AVERAGE(QUERY(SORT(GOOGLEFINANCE(B1621,""price"",TODAY()-365,TODAY()),1,0),""select Col2 limit 10""))"),110.48499999999999)</f>
        <v>110.485</v>
      </c>
      <c r="J1621" s="17">
        <f>IFERROR(__xludf.DUMMYFUNCTION("AVERAGE(QUERY(SORT(GOOGLEFINANCE(B1621,""price"",TODAY()-365,TODAY()),1,0),""select Col2 limit 30""))"),96.6413333333333)</f>
        <v>96.64133333</v>
      </c>
      <c r="K1621" s="18">
        <f>IFERROR(__xludf.DUMMYFUNCTION("AVERAGE(QUERY(SORT(GOOGLEFINANCE(B1621,""price"",TODAY()-365,TODAY()),1,0),""select Col2 limit 60""))"),92.07783333333332)</f>
        <v>92.07783333</v>
      </c>
      <c r="L1621" s="17">
        <f>IFERROR(__xludf.DUMMYFUNCTION("AVERAGE(QUERY(SORT(GOOGLEFINANCE(B1621,""price"",TODAY()-365,TODAY()),1,0),""select Col2 limit 90""))"),90.43011111111107)</f>
        <v>90.43011111</v>
      </c>
      <c r="M1621" s="17">
        <f>IFERROR(__xludf.DUMMYFUNCTION("AVERAGE(QUERY(SORT(GOOGLEFINANCE(B1621,""price"",TODAY()-365,TODAY()),1,0),""select Col2 limit 120""))"),90.72524999999996)</f>
        <v>90.72525</v>
      </c>
      <c r="N1621" s="19">
        <f>IFERROR(__xludf.DUMMYFUNCTION("AVERAGE(QUERY(SORT(GOOGLEFINANCE(B1621,""price"",TODAY()-365,TODAY()),1,0),""select Col2 limit 200""))"),100.95035)</f>
        <v>100.95035</v>
      </c>
      <c r="O1621" s="20" t="str">
        <f t="shared" si="2"/>
        <v>Avoid</v>
      </c>
      <c r="P1621" s="21" t="str">
        <f t="shared" si="3"/>
        <v/>
      </c>
      <c r="Q1621" s="21" t="str">
        <f t="shared" si="4"/>
        <v/>
      </c>
      <c r="R1621" s="22">
        <f>IFERROR(__xludf.DUMMYFUNCTION("GOOGLEFINANCE(B1621, ""pe"")
"),13.24)</f>
        <v>13.24</v>
      </c>
    </row>
    <row r="1622">
      <c r="A1622" s="9" t="s">
        <v>1630</v>
      </c>
      <c r="B1622" s="11" t="str">
        <f t="shared" si="1"/>
        <v>NSE:NDGL</v>
      </c>
      <c r="C1622" s="12">
        <f>IFERROR(__xludf.DUMMYFUNCTION("GOOGLEFINANCE(B1622,""marketcap"")/10000000"),413.0)</f>
        <v>413</v>
      </c>
      <c r="D1622" s="13">
        <f>IFERROR(__xludf.DUMMYFUNCTION("GOOGLEFINANCE(B1622,""price"")"),4130.0)</f>
        <v>4130</v>
      </c>
      <c r="E1622" s="14">
        <f>IFERROR(__xludf.DUMMYFUNCTION("GOOGLEFINANCE(B1622,""Volume"")"),113.0)</f>
        <v>113</v>
      </c>
      <c r="F1622" s="14">
        <f t="array" ref="F1622">F1621</f>
        <v>14</v>
      </c>
      <c r="G1622" s="15" t="str">
        <f>IFERROR(__xludf.DUMMYFUNCTION("IF(E1622&gt;AVERAGE(INDEX(GOOGLEFINANCE(B1622,""volume"",WORKDAY(TODAY(),-$F$1),TODAY()),,2)),""Breakout"","""")"),"")</f>
        <v/>
      </c>
      <c r="H1622" s="16">
        <f>IFERROR(__xludf.DUMMYFUNCTION("GOOGLEFINANCE(B1622,""price"")"),4130.0)</f>
        <v>4130</v>
      </c>
      <c r="I1622" s="17">
        <f>IFERROR(__xludf.DUMMYFUNCTION("AVERAGE(QUERY(SORT(GOOGLEFINANCE(B1622,""price"",TODAY()-365,TODAY()),1,0),""select Col2 limit 10""))"),4159.02)</f>
        <v>4159.02</v>
      </c>
      <c r="J1622" s="17">
        <f>IFERROR(__xludf.DUMMYFUNCTION("AVERAGE(QUERY(SORT(GOOGLEFINANCE(B1622,""price"",TODAY()-365,TODAY()),1,0),""select Col2 limit 30""))"),4236.040000000001)</f>
        <v>4236.04</v>
      </c>
      <c r="K1622" s="18">
        <f>IFERROR(__xludf.DUMMYFUNCTION("AVERAGE(QUERY(SORT(GOOGLEFINANCE(B1622,""price"",TODAY()-365,TODAY()),1,0),""select Col2 limit 60""))"),4248.035)</f>
        <v>4248.035</v>
      </c>
      <c r="L1622" s="17">
        <f>IFERROR(__xludf.DUMMYFUNCTION("AVERAGE(QUERY(SORT(GOOGLEFINANCE(B1622,""price"",TODAY()-365,TODAY()),1,0),""select Col2 limit 90""))"),4178.854444444444)</f>
        <v>4178.854444</v>
      </c>
      <c r="M1622" s="17">
        <f>IFERROR(__xludf.DUMMYFUNCTION("AVERAGE(QUERY(SORT(GOOGLEFINANCE(B1622,""price"",TODAY()-365,TODAY()),1,0),""select Col2 limit 120""))"),4004.27125)</f>
        <v>4004.27125</v>
      </c>
      <c r="N1622" s="19">
        <f>IFERROR(__xludf.DUMMYFUNCTION("AVERAGE(QUERY(SORT(GOOGLEFINANCE(B1622,""price"",TODAY()-365,TODAY()),1,0),""select Col2 limit 200""))"),4356.039499999996)</f>
        <v>4356.0395</v>
      </c>
      <c r="O1622" s="20" t="str">
        <f t="shared" si="2"/>
        <v>Avoid</v>
      </c>
      <c r="P1622" s="21" t="str">
        <f t="shared" si="3"/>
        <v>10 DMA</v>
      </c>
      <c r="Q1622" s="21" t="str">
        <f t="shared" si="4"/>
        <v/>
      </c>
      <c r="R1622" s="22">
        <f>IFERROR(__xludf.DUMMYFUNCTION("GOOGLEFINANCE(B1622, ""pe"")
"),11.97)</f>
        <v>11.97</v>
      </c>
    </row>
    <row r="1623">
      <c r="A1623" s="9" t="s">
        <v>1631</v>
      </c>
      <c r="B1623" s="11" t="str">
        <f t="shared" si="1"/>
        <v>NSE:RANEENGINE</v>
      </c>
      <c r="C1623" s="12" t="str">
        <f>IFERROR(__xludf.DUMMYFUNCTION("GOOGLEFINANCE(B1623,""marketcap"")/10000000"),"#N/A")</f>
        <v>#N/A</v>
      </c>
      <c r="D1623" s="13" t="str">
        <f>IFERROR(__xludf.DUMMYFUNCTION("GOOGLEFINANCE(B1623,""price"")"),"#N/A")</f>
        <v>#N/A</v>
      </c>
      <c r="E1623" s="14" t="str">
        <f>IFERROR(__xludf.DUMMYFUNCTION("GOOGLEFINANCE(B1623,""Volume"")"),"#N/A")</f>
        <v>#N/A</v>
      </c>
      <c r="F1623" s="14">
        <f t="array" ref="F1623">F1622</f>
        <v>14</v>
      </c>
      <c r="G1623" s="15" t="str">
        <f>IFERROR(__xludf.DUMMYFUNCTION("IF(E1623&gt;AVERAGE(INDEX(GOOGLEFINANCE(B1623,""volume"",WORKDAY(TODAY(),-$F$1),TODAY()),,2)),""Breakout"","""")"),"#N/A")</f>
        <v>#N/A</v>
      </c>
      <c r="H1623" s="16" t="str">
        <f>IFERROR(__xludf.DUMMYFUNCTION("GOOGLEFINANCE(B1623,""price"")"),"#N/A")</f>
        <v>#N/A</v>
      </c>
      <c r="I1623" s="17" t="str">
        <f>IFERROR(__xludf.DUMMYFUNCTION("AVERAGE(QUERY(SORT(GOOGLEFINANCE(B1623,""price"",TODAY()-365,TODAY()),1,0),""select Col2 limit 10""))"),"#N/A")</f>
        <v>#N/A</v>
      </c>
      <c r="J1623" s="17" t="str">
        <f>IFERROR(__xludf.DUMMYFUNCTION("AVERAGE(QUERY(SORT(GOOGLEFINANCE(B1623,""price"",TODAY()-365,TODAY()),1,0),""select Col2 limit 30""))"),"#N/A")</f>
        <v>#N/A</v>
      </c>
      <c r="K1623" s="18" t="str">
        <f>IFERROR(__xludf.DUMMYFUNCTION("AVERAGE(QUERY(SORT(GOOGLEFINANCE(B1623,""price"",TODAY()-365,TODAY()),1,0),""select Col2 limit 60""))"),"#N/A")</f>
        <v>#N/A</v>
      </c>
      <c r="L1623" s="17" t="str">
        <f>IFERROR(__xludf.DUMMYFUNCTION("AVERAGE(QUERY(SORT(GOOGLEFINANCE(B1623,""price"",TODAY()-365,TODAY()),1,0),""select Col2 limit 90""))"),"#N/A")</f>
        <v>#N/A</v>
      </c>
      <c r="M1623" s="17" t="str">
        <f>IFERROR(__xludf.DUMMYFUNCTION("AVERAGE(QUERY(SORT(GOOGLEFINANCE(B1623,""price"",TODAY()-365,TODAY()),1,0),""select Col2 limit 120""))"),"#N/A")</f>
        <v>#N/A</v>
      </c>
      <c r="N1623" s="19" t="str">
        <f>IFERROR(__xludf.DUMMYFUNCTION("AVERAGE(QUERY(SORT(GOOGLEFINANCE(B1623,""price"",TODAY()-365,TODAY()),1,0),""select Col2 limit 200""))"),"#N/A")</f>
        <v>#N/A</v>
      </c>
      <c r="O1623" s="20" t="str">
        <f t="shared" si="2"/>
        <v>#N/A</v>
      </c>
      <c r="P1623" s="21" t="str">
        <f t="shared" si="3"/>
        <v>#N/A</v>
      </c>
      <c r="Q1623" s="21" t="str">
        <f t="shared" si="4"/>
        <v>#N/A</v>
      </c>
      <c r="R1623" s="22" t="str">
        <f>IFERROR(__xludf.DUMMYFUNCTION("GOOGLEFINANCE(B1623, ""pe"")
"),"#N/A")</f>
        <v>#N/A</v>
      </c>
    </row>
    <row r="1624">
      <c r="A1624" s="9" t="s">
        <v>1632</v>
      </c>
      <c r="B1624" s="11" t="str">
        <f t="shared" si="1"/>
        <v>NSE:BASML</v>
      </c>
      <c r="C1624" s="12">
        <f>IFERROR(__xludf.DUMMYFUNCTION("GOOGLEFINANCE(B1624,""marketcap"")/10000000"),246.8981364)</f>
        <v>246.8981364</v>
      </c>
      <c r="D1624" s="13">
        <f>IFERROR(__xludf.DUMMYFUNCTION("GOOGLEFINANCE(B1624,""price"")"),30.99)</f>
        <v>30.99</v>
      </c>
      <c r="E1624" s="14">
        <f>IFERROR(__xludf.DUMMYFUNCTION("GOOGLEFINANCE(B1624,""Volume"")"),24200.0)</f>
        <v>24200</v>
      </c>
      <c r="F1624" s="14">
        <f t="array" ref="F1624">F1623</f>
        <v>14</v>
      </c>
      <c r="G1624" s="15" t="str">
        <f>IFERROR(__xludf.DUMMYFUNCTION("IF(E1624&gt;AVERAGE(INDEX(GOOGLEFINANCE(B1624,""volume"",WORKDAY(TODAY(),-$F$1),TODAY()),,2)),""Breakout"","""")"),"")</f>
        <v/>
      </c>
      <c r="H1624" s="16">
        <f>IFERROR(__xludf.DUMMYFUNCTION("GOOGLEFINANCE(B1624,""price"")"),30.99)</f>
        <v>30.99</v>
      </c>
      <c r="I1624" s="17">
        <f>IFERROR(__xludf.DUMMYFUNCTION("AVERAGE(QUERY(SORT(GOOGLEFINANCE(B1624,""price"",TODAY()-365,TODAY()),1,0),""select Col2 limit 10""))"),32.338)</f>
        <v>32.338</v>
      </c>
      <c r="J1624" s="17">
        <f>IFERROR(__xludf.DUMMYFUNCTION("AVERAGE(QUERY(SORT(GOOGLEFINANCE(B1624,""price"",TODAY()-365,TODAY()),1,0),""select Col2 limit 30""))"),33.446)</f>
        <v>33.446</v>
      </c>
      <c r="K1624" s="18">
        <f>IFERROR(__xludf.DUMMYFUNCTION("AVERAGE(QUERY(SORT(GOOGLEFINANCE(B1624,""price"",TODAY()-365,TODAY()),1,0),""select Col2 limit 60""))"),32.97633333333333)</f>
        <v>32.97633333</v>
      </c>
      <c r="L1624" s="17">
        <f>IFERROR(__xludf.DUMMYFUNCTION("AVERAGE(QUERY(SORT(GOOGLEFINANCE(B1624,""price"",TODAY()-365,TODAY()),1,0),""select Col2 limit 90""))"),32.36755555555556)</f>
        <v>32.36755556</v>
      </c>
      <c r="M1624" s="17">
        <f>IFERROR(__xludf.DUMMYFUNCTION("AVERAGE(QUERY(SORT(GOOGLEFINANCE(B1624,""price"",TODAY()-365,TODAY()),1,0),""select Col2 limit 120""))"),33.39958333333333)</f>
        <v>33.39958333</v>
      </c>
      <c r="N1624" s="19">
        <f>IFERROR(__xludf.DUMMYFUNCTION("AVERAGE(QUERY(SORT(GOOGLEFINANCE(B1624,""price"",TODAY()-365,TODAY()),1,0),""select Col2 limit 200""))"),40.37219999999999)</f>
        <v>40.3722</v>
      </c>
      <c r="O1624" s="20" t="str">
        <f t="shared" si="2"/>
        <v>Avoid</v>
      </c>
      <c r="P1624" s="21" t="str">
        <f t="shared" si="3"/>
        <v/>
      </c>
      <c r="Q1624" s="21" t="str">
        <f t="shared" si="4"/>
        <v/>
      </c>
      <c r="R1624" s="22" t="str">
        <f>IFERROR(__xludf.DUMMYFUNCTION("GOOGLEFINANCE(B1624, ""pe"")
"),"#N/A")</f>
        <v>#N/A</v>
      </c>
    </row>
    <row r="1625">
      <c r="A1625" s="9" t="s">
        <v>1633</v>
      </c>
      <c r="B1625" s="11" t="str">
        <f t="shared" si="1"/>
        <v>NSE:PILITA</v>
      </c>
      <c r="C1625" s="12">
        <f>IFERROR(__xludf.DUMMYFUNCTION("GOOGLEFINANCE(B1625,""marketcap"")/10000000"),345.4499955)</f>
        <v>345.4499955</v>
      </c>
      <c r="D1625" s="13">
        <f>IFERROR(__xludf.DUMMYFUNCTION("GOOGLEFINANCE(B1625,""price"")"),14.76)</f>
        <v>14.76</v>
      </c>
      <c r="E1625" s="14">
        <f>IFERROR(__xludf.DUMMYFUNCTION("GOOGLEFINANCE(B1625,""Volume"")"),53481.0)</f>
        <v>53481</v>
      </c>
      <c r="F1625" s="14">
        <f t="array" ref="F1625">F1624</f>
        <v>14</v>
      </c>
      <c r="G1625" s="15" t="str">
        <f>IFERROR(__xludf.DUMMYFUNCTION("IF(E1625&gt;AVERAGE(INDEX(GOOGLEFINANCE(B1625,""volume"",WORKDAY(TODAY(),-$F$1),TODAY()),,2)),""Breakout"","""")"),"#N/A")</f>
        <v>#N/A</v>
      </c>
      <c r="H1625" s="16">
        <f>IFERROR(__xludf.DUMMYFUNCTION("GOOGLEFINANCE(B1625,""price"")"),14.76)</f>
        <v>14.76</v>
      </c>
      <c r="I1625" s="17" t="str">
        <f>IFERROR(__xludf.DUMMYFUNCTION("AVERAGE(QUERY(SORT(GOOGLEFINANCE(B1625,""price"",TODAY()-365,TODAY()),1,0),""select Col2 limit 10""))"),"#N/A")</f>
        <v>#N/A</v>
      </c>
      <c r="J1625" s="17" t="str">
        <f>IFERROR(__xludf.DUMMYFUNCTION("AVERAGE(QUERY(SORT(GOOGLEFINANCE(B1625,""price"",TODAY()-365,TODAY()),1,0),""select Col2 limit 30""))"),"#N/A")</f>
        <v>#N/A</v>
      </c>
      <c r="K1625" s="18" t="str">
        <f>IFERROR(__xludf.DUMMYFUNCTION("AVERAGE(QUERY(SORT(GOOGLEFINANCE(B1625,""price"",TODAY()-365,TODAY()),1,0),""select Col2 limit 60""))"),"#N/A")</f>
        <v>#N/A</v>
      </c>
      <c r="L1625" s="17" t="str">
        <f>IFERROR(__xludf.DUMMYFUNCTION("AVERAGE(QUERY(SORT(GOOGLEFINANCE(B1625,""price"",TODAY()-365,TODAY()),1,0),""select Col2 limit 90""))"),"#N/A")</f>
        <v>#N/A</v>
      </c>
      <c r="M1625" s="17" t="str">
        <f>IFERROR(__xludf.DUMMYFUNCTION("AVERAGE(QUERY(SORT(GOOGLEFINANCE(B1625,""price"",TODAY()-365,TODAY()),1,0),""select Col2 limit 120""))"),"#N/A")</f>
        <v>#N/A</v>
      </c>
      <c r="N1625" s="19" t="str">
        <f>IFERROR(__xludf.DUMMYFUNCTION("AVERAGE(QUERY(SORT(GOOGLEFINANCE(B1625,""price"",TODAY()-365,TODAY()),1,0),""select Col2 limit 200""))"),"#N/A")</f>
        <v>#N/A</v>
      </c>
      <c r="O1625" s="20" t="str">
        <f t="shared" si="2"/>
        <v>#N/A</v>
      </c>
      <c r="P1625" s="21" t="str">
        <f t="shared" si="3"/>
        <v>#N/A</v>
      </c>
      <c r="Q1625" s="21" t="str">
        <f t="shared" si="4"/>
        <v>#N/A</v>
      </c>
      <c r="R1625" s="22">
        <f>IFERROR(__xludf.DUMMYFUNCTION("GOOGLEFINANCE(B1625, ""pe"")
"),66.16)</f>
        <v>66.16</v>
      </c>
    </row>
    <row r="1626">
      <c r="A1626" s="9" t="s">
        <v>1634</v>
      </c>
      <c r="B1626" s="11" t="str">
        <f t="shared" si="1"/>
        <v>NSE:TAKE</v>
      </c>
      <c r="C1626" s="12">
        <f>IFERROR(__xludf.DUMMYFUNCTION("GOOGLEFINANCE(B1626,""marketcap"")/10000000"),155.9847105)</f>
        <v>155.9847105</v>
      </c>
      <c r="D1626" s="13">
        <f>IFERROR(__xludf.DUMMYFUNCTION("GOOGLEFINANCE(B1626,""price"")"),10.88)</f>
        <v>10.88</v>
      </c>
      <c r="E1626" s="14">
        <f>IFERROR(__xludf.DUMMYFUNCTION("GOOGLEFINANCE(B1626,""Volume"")"),51936.0)</f>
        <v>51936</v>
      </c>
      <c r="F1626" s="14">
        <f t="array" ref="F1626">F1625</f>
        <v>14</v>
      </c>
      <c r="G1626" s="15" t="str">
        <f>IFERROR(__xludf.DUMMYFUNCTION("IF(E1626&gt;AVERAGE(INDEX(GOOGLEFINANCE(B1626,""volume"",WORKDAY(TODAY(),-$F$1),TODAY()),,2)),""Breakout"","""")"),"Breakout")</f>
        <v>Breakout</v>
      </c>
      <c r="H1626" s="16">
        <f>IFERROR(__xludf.DUMMYFUNCTION("GOOGLEFINANCE(B1626,""price"")"),10.88)</f>
        <v>10.88</v>
      </c>
      <c r="I1626" s="17">
        <f>IFERROR(__xludf.DUMMYFUNCTION("AVERAGE(QUERY(SORT(GOOGLEFINANCE(B1626,""price"",TODAY()-365,TODAY()),1,0),""select Col2 limit 10""))"),10.163)</f>
        <v>10.163</v>
      </c>
      <c r="J1626" s="17">
        <f>IFERROR(__xludf.DUMMYFUNCTION("AVERAGE(QUERY(SORT(GOOGLEFINANCE(B1626,""price"",TODAY()-365,TODAY()),1,0),""select Col2 limit 30""))"),9.684666666666669)</f>
        <v>9.684666667</v>
      </c>
      <c r="K1626" s="18">
        <f>IFERROR(__xludf.DUMMYFUNCTION("AVERAGE(QUERY(SORT(GOOGLEFINANCE(B1626,""price"",TODAY()-365,TODAY()),1,0),""select Col2 limit 60""))"),9.220333333333336)</f>
        <v>9.220333333</v>
      </c>
      <c r="L1626" s="17">
        <f>IFERROR(__xludf.DUMMYFUNCTION("AVERAGE(QUERY(SORT(GOOGLEFINANCE(B1626,""price"",TODAY()-365,TODAY()),1,0),""select Col2 limit 90""))"),8.843000000000002)</f>
        <v>8.843</v>
      </c>
      <c r="M1626" s="17">
        <f>IFERROR(__xludf.DUMMYFUNCTION("AVERAGE(QUERY(SORT(GOOGLEFINANCE(B1626,""price"",TODAY()-365,TODAY()),1,0),""select Col2 limit 120""))"),9.253499999999997)</f>
        <v>9.2535</v>
      </c>
      <c r="N1626" s="19">
        <f>IFERROR(__xludf.DUMMYFUNCTION("AVERAGE(QUERY(SORT(GOOGLEFINANCE(B1626,""price"",TODAY()-365,TODAY()),1,0),""select Col2 limit 200""))"),12.302749999999994)</f>
        <v>12.30275</v>
      </c>
      <c r="O1626" s="20" t="str">
        <f t="shared" si="2"/>
        <v>Buy Above 200 DMA</v>
      </c>
      <c r="P1626" s="21" t="str">
        <f t="shared" si="3"/>
        <v/>
      </c>
      <c r="Q1626" s="21" t="str">
        <f t="shared" si="4"/>
        <v/>
      </c>
      <c r="R1626" s="22">
        <f>IFERROR(__xludf.DUMMYFUNCTION("GOOGLEFINANCE(B1626, ""pe"")
"),3.94)</f>
        <v>3.94</v>
      </c>
    </row>
    <row r="1627">
      <c r="A1627" s="9" t="s">
        <v>1635</v>
      </c>
      <c r="B1627" s="11" t="str">
        <f t="shared" si="1"/>
        <v>NSE:RAMANEWS</v>
      </c>
      <c r="C1627" s="12">
        <f>IFERROR(__xludf.DUMMYFUNCTION("GOOGLEFINANCE(B1627,""marketcap"")/10000000"),478.9368313)</f>
        <v>478.9368313</v>
      </c>
      <c r="D1627" s="13">
        <f>IFERROR(__xludf.DUMMYFUNCTION("GOOGLEFINANCE(B1627,""price"")"),32.45)</f>
        <v>32.45</v>
      </c>
      <c r="E1627" s="14">
        <f>IFERROR(__xludf.DUMMYFUNCTION("GOOGLEFINANCE(B1627,""Volume"")"),6430.0)</f>
        <v>6430</v>
      </c>
      <c r="F1627" s="14">
        <f t="array" ref="F1627">F1626</f>
        <v>14</v>
      </c>
      <c r="G1627" s="15" t="str">
        <f>IFERROR(__xludf.DUMMYFUNCTION("IF(E1627&gt;AVERAGE(INDEX(GOOGLEFINANCE(B1627,""volume"",WORKDAY(TODAY(),-$F$1),TODAY()),,2)),""Breakout"","""")"),"")</f>
        <v/>
      </c>
      <c r="H1627" s="16">
        <f>IFERROR(__xludf.DUMMYFUNCTION("GOOGLEFINANCE(B1627,""price"")"),32.45)</f>
        <v>32.45</v>
      </c>
      <c r="I1627" s="17">
        <f>IFERROR(__xludf.DUMMYFUNCTION("AVERAGE(QUERY(SORT(GOOGLEFINANCE(B1627,""price"",TODAY()-365,TODAY()),1,0),""select Col2 limit 10""))"),34.168)</f>
        <v>34.168</v>
      </c>
      <c r="J1627" s="17">
        <f>IFERROR(__xludf.DUMMYFUNCTION("AVERAGE(QUERY(SORT(GOOGLEFINANCE(B1627,""price"",TODAY()-365,TODAY()),1,0),""select Col2 limit 30""))"),33.294666666666664)</f>
        <v>33.29466667</v>
      </c>
      <c r="K1627" s="18">
        <f>IFERROR(__xludf.DUMMYFUNCTION("AVERAGE(QUERY(SORT(GOOGLEFINANCE(B1627,""price"",TODAY()-365,TODAY()),1,0),""select Col2 limit 60""))"),35.7605)</f>
        <v>35.7605</v>
      </c>
      <c r="L1627" s="17">
        <f>IFERROR(__xludf.DUMMYFUNCTION("AVERAGE(QUERY(SORT(GOOGLEFINANCE(B1627,""price"",TODAY()-365,TODAY()),1,0),""select Col2 limit 90""))"),35.22577777777777)</f>
        <v>35.22577778</v>
      </c>
      <c r="M1627" s="17">
        <f>IFERROR(__xludf.DUMMYFUNCTION("AVERAGE(QUERY(SORT(GOOGLEFINANCE(B1627,""price"",TODAY()-365,TODAY()),1,0),""select Col2 limit 120""))"),32.50658333333333)</f>
        <v>32.50658333</v>
      </c>
      <c r="N1627" s="19">
        <f>IFERROR(__xludf.DUMMYFUNCTION("AVERAGE(QUERY(SORT(GOOGLEFINANCE(B1627,""price"",TODAY()-365,TODAY()),1,0),""select Col2 limit 200""))"),26.76295000000001)</f>
        <v>26.76295</v>
      </c>
      <c r="O1627" s="20" t="str">
        <f t="shared" si="2"/>
        <v>Sell Below 200 DMA</v>
      </c>
      <c r="P1627" s="21" t="str">
        <f t="shared" si="3"/>
        <v>120 DMA</v>
      </c>
      <c r="Q1627" s="21" t="str">
        <f t="shared" si="4"/>
        <v/>
      </c>
      <c r="R1627" s="22" t="str">
        <f>IFERROR(__xludf.DUMMYFUNCTION("GOOGLEFINANCE(B1627, ""pe"")
"),"#N/A")</f>
        <v>#N/A</v>
      </c>
    </row>
    <row r="1628">
      <c r="A1628" s="9" t="s">
        <v>1636</v>
      </c>
      <c r="B1628" s="11" t="str">
        <f t="shared" si="1"/>
        <v>NSE:TIRUPATIFL</v>
      </c>
      <c r="C1628" s="12">
        <f>IFERROR(__xludf.DUMMYFUNCTION("GOOGLEFINANCE(B1628,""marketcap"")/10000000"),460.109218)</f>
        <v>460.109218</v>
      </c>
      <c r="D1628" s="13">
        <f>IFERROR(__xludf.DUMMYFUNCTION("GOOGLEFINANCE(B1628,""price"")"),38.9)</f>
        <v>38.9</v>
      </c>
      <c r="E1628" s="14">
        <f>IFERROR(__xludf.DUMMYFUNCTION("GOOGLEFINANCE(B1628,""Volume"")"),64500.0)</f>
        <v>64500</v>
      </c>
      <c r="F1628" s="14">
        <f t="array" ref="F1628">F1627</f>
        <v>14</v>
      </c>
      <c r="G1628" s="15" t="str">
        <f>IFERROR(__xludf.DUMMYFUNCTION("IF(E1628&gt;AVERAGE(INDEX(GOOGLEFINANCE(B1628,""volume"",WORKDAY(TODAY(),-$F$1),TODAY()),,2)),""Breakout"","""")"),"")</f>
        <v/>
      </c>
      <c r="H1628" s="16">
        <f>IFERROR(__xludf.DUMMYFUNCTION("GOOGLEFINANCE(B1628,""price"")"),38.9)</f>
        <v>38.9</v>
      </c>
      <c r="I1628" s="17">
        <f>IFERROR(__xludf.DUMMYFUNCTION("AVERAGE(QUERY(SORT(GOOGLEFINANCE(B1628,""price"",TODAY()-365,TODAY()),1,0),""select Col2 limit 10""))"),42.440999999999995)</f>
        <v>42.441</v>
      </c>
      <c r="J1628" s="17">
        <f>IFERROR(__xludf.DUMMYFUNCTION("AVERAGE(QUERY(SORT(GOOGLEFINANCE(B1628,""price"",TODAY()-365,TODAY()),1,0),""select Col2 limit 30""))"),43.63533333333333)</f>
        <v>43.63533333</v>
      </c>
      <c r="K1628" s="18">
        <f>IFERROR(__xludf.DUMMYFUNCTION("AVERAGE(QUERY(SORT(GOOGLEFINANCE(B1628,""price"",TODAY()-365,TODAY()),1,0),""select Col2 limit 60""))"),39.99)</f>
        <v>39.99</v>
      </c>
      <c r="L1628" s="17">
        <f>IFERROR(__xludf.DUMMYFUNCTION("AVERAGE(QUERY(SORT(GOOGLEFINANCE(B1628,""price"",TODAY()-365,TODAY()),1,0),""select Col2 limit 90""))"),37.52155555555556)</f>
        <v>37.52155556</v>
      </c>
      <c r="M1628" s="17">
        <f>IFERROR(__xludf.DUMMYFUNCTION("AVERAGE(QUERY(SORT(GOOGLEFINANCE(B1628,""price"",TODAY()-365,TODAY()),1,0),""select Col2 limit 120""))"),38.096916666666665)</f>
        <v>38.09691667</v>
      </c>
      <c r="N1628" s="19">
        <f>IFERROR(__xludf.DUMMYFUNCTION("AVERAGE(QUERY(SORT(GOOGLEFINANCE(B1628,""price"",TODAY()-365,TODAY()),1,0),""select Col2 limit 200""))"),43.333300000000015)</f>
        <v>43.3333</v>
      </c>
      <c r="O1628" s="20" t="str">
        <f t="shared" si="2"/>
        <v>Avoid</v>
      </c>
      <c r="P1628" s="21" t="str">
        <f t="shared" si="3"/>
        <v/>
      </c>
      <c r="Q1628" s="21" t="str">
        <f t="shared" si="4"/>
        <v/>
      </c>
      <c r="R1628" s="22">
        <f>IFERROR(__xludf.DUMMYFUNCTION("GOOGLEFINANCE(B1628, ""pe"")
"),58.57)</f>
        <v>58.57</v>
      </c>
    </row>
    <row r="1629">
      <c r="A1629" s="9" t="s">
        <v>1637</v>
      </c>
      <c r="B1629" s="11" t="str">
        <f t="shared" si="1"/>
        <v>NSE:CORDSCABLE</v>
      </c>
      <c r="C1629" s="12">
        <f>IFERROR(__xludf.DUMMYFUNCTION("GOOGLEFINANCE(B1629,""marketcap"")/10000000"),266.9198752)</f>
        <v>266.9198752</v>
      </c>
      <c r="D1629" s="13">
        <f>IFERROR(__xludf.DUMMYFUNCTION("GOOGLEFINANCE(B1629,""price"")"),206.47)</f>
        <v>206.47</v>
      </c>
      <c r="E1629" s="14">
        <f>IFERROR(__xludf.DUMMYFUNCTION("GOOGLEFINANCE(B1629,""Volume"")"),18653.0)</f>
        <v>18653</v>
      </c>
      <c r="F1629" s="14">
        <f t="array" ref="F1629">F1628</f>
        <v>14</v>
      </c>
      <c r="G1629" s="15" t="str">
        <f>IFERROR(__xludf.DUMMYFUNCTION("IF(E1629&gt;AVERAGE(INDEX(GOOGLEFINANCE(B1629,""volume"",WORKDAY(TODAY(),-$F$1),TODAY()),,2)),""Breakout"","""")"),"")</f>
        <v/>
      </c>
      <c r="H1629" s="16">
        <f>IFERROR(__xludf.DUMMYFUNCTION("GOOGLEFINANCE(B1629,""price"")"),206.47)</f>
        <v>206.47</v>
      </c>
      <c r="I1629" s="17">
        <f>IFERROR(__xludf.DUMMYFUNCTION("AVERAGE(QUERY(SORT(GOOGLEFINANCE(B1629,""price"",TODAY()-365,TODAY()),1,0),""select Col2 limit 10""))"),199.887)</f>
        <v>199.887</v>
      </c>
      <c r="J1629" s="17">
        <f>IFERROR(__xludf.DUMMYFUNCTION("AVERAGE(QUERY(SORT(GOOGLEFINANCE(B1629,""price"",TODAY()-365,TODAY()),1,0),""select Col2 limit 30""))"),198.46200000000002)</f>
        <v>198.462</v>
      </c>
      <c r="K1629" s="18">
        <f>IFERROR(__xludf.DUMMYFUNCTION("AVERAGE(QUERY(SORT(GOOGLEFINANCE(B1629,""price"",TODAY()-365,TODAY()),1,0),""select Col2 limit 60""))"),196.26233333333332)</f>
        <v>196.2623333</v>
      </c>
      <c r="L1629" s="17">
        <f>IFERROR(__xludf.DUMMYFUNCTION("AVERAGE(QUERY(SORT(GOOGLEFINANCE(B1629,""price"",TODAY()-365,TODAY()),1,0),""select Col2 limit 90""))"),186.74355555555553)</f>
        <v>186.7435556</v>
      </c>
      <c r="M1629" s="17">
        <f>IFERROR(__xludf.DUMMYFUNCTION("AVERAGE(QUERY(SORT(GOOGLEFINANCE(B1629,""price"",TODAY()-365,TODAY()),1,0),""select Col2 limit 120""))"),183.51641666666657)</f>
        <v>183.5164167</v>
      </c>
      <c r="N1629" s="19">
        <f>IFERROR(__xludf.DUMMYFUNCTION("AVERAGE(QUERY(SORT(GOOGLEFINANCE(B1629,""price"",TODAY()-365,TODAY()),1,0),""select Col2 limit 200""))"),190.11594999999997)</f>
        <v>190.11595</v>
      </c>
      <c r="O1629" s="20" t="str">
        <f t="shared" si="2"/>
        <v>Avoid</v>
      </c>
      <c r="P1629" s="21" t="str">
        <f t="shared" si="3"/>
        <v/>
      </c>
      <c r="Q1629" s="21" t="str">
        <f t="shared" si="4"/>
        <v/>
      </c>
      <c r="R1629" s="22">
        <f>IFERROR(__xludf.DUMMYFUNCTION("GOOGLEFINANCE(B1629, ""pe"")
"),18.35)</f>
        <v>18.35</v>
      </c>
    </row>
    <row r="1630">
      <c r="A1630" s="9" t="s">
        <v>1638</v>
      </c>
      <c r="B1630" s="11" t="str">
        <f t="shared" si="1"/>
        <v>NSE:VISHWARAJ</v>
      </c>
      <c r="C1630" s="12">
        <f>IFERROR(__xludf.DUMMYFUNCTION("GOOGLEFINANCE(B1630,""marketcap"")/10000000"),202.1503666)</f>
        <v>202.1503666</v>
      </c>
      <c r="D1630" s="13">
        <f>IFERROR(__xludf.DUMMYFUNCTION("GOOGLEFINANCE(B1630,""price"")"),9.39)</f>
        <v>9.39</v>
      </c>
      <c r="E1630" s="14">
        <f>IFERROR(__xludf.DUMMYFUNCTION("GOOGLEFINANCE(B1630,""Volume"")"),87449.0)</f>
        <v>87449</v>
      </c>
      <c r="F1630" s="14">
        <f t="array" ref="F1630">F1629</f>
        <v>14</v>
      </c>
      <c r="G1630" s="15" t="str">
        <f>IFERROR(__xludf.DUMMYFUNCTION("IF(E1630&gt;AVERAGE(INDEX(GOOGLEFINANCE(B1630,""volume"",WORKDAY(TODAY(),-$F$1),TODAY()),,2)),""Breakout"","""")"),"")</f>
        <v/>
      </c>
      <c r="H1630" s="16">
        <f>IFERROR(__xludf.DUMMYFUNCTION("GOOGLEFINANCE(B1630,""price"")"),9.39)</f>
        <v>9.39</v>
      </c>
      <c r="I1630" s="17">
        <f>IFERROR(__xludf.DUMMYFUNCTION("AVERAGE(QUERY(SORT(GOOGLEFINANCE(B1630,""price"",TODAY()-365,TODAY()),1,0),""select Col2 limit 10""))"),9.659)</f>
        <v>9.659</v>
      </c>
      <c r="J1630" s="17">
        <f>IFERROR(__xludf.DUMMYFUNCTION("AVERAGE(QUERY(SORT(GOOGLEFINANCE(B1630,""price"",TODAY()-365,TODAY()),1,0),""select Col2 limit 30""))"),9.746666666666668)</f>
        <v>9.746666667</v>
      </c>
      <c r="K1630" s="18">
        <f>IFERROR(__xludf.DUMMYFUNCTION("AVERAGE(QUERY(SORT(GOOGLEFINANCE(B1630,""price"",TODAY()-365,TODAY()),1,0),""select Col2 limit 60""))"),9.754000000000001)</f>
        <v>9.754</v>
      </c>
      <c r="L1630" s="17">
        <f>IFERROR(__xludf.DUMMYFUNCTION("AVERAGE(QUERY(SORT(GOOGLEFINANCE(B1630,""price"",TODAY()-365,TODAY()),1,0),""select Col2 limit 90""))"),9.489333333333335)</f>
        <v>9.489333333</v>
      </c>
      <c r="M1630" s="17">
        <f>IFERROR(__xludf.DUMMYFUNCTION("AVERAGE(QUERY(SORT(GOOGLEFINANCE(B1630,""price"",TODAY()-365,TODAY()),1,0),""select Col2 limit 120""))"),9.96316666666667)</f>
        <v>9.963166667</v>
      </c>
      <c r="N1630" s="19">
        <f>IFERROR(__xludf.DUMMYFUNCTION("AVERAGE(QUERY(SORT(GOOGLEFINANCE(B1630,""price"",TODAY()-365,TODAY()),1,0),""select Col2 limit 200""))"),12.290450000000007)</f>
        <v>12.29045</v>
      </c>
      <c r="O1630" s="20" t="str">
        <f t="shared" si="2"/>
        <v>Avoid</v>
      </c>
      <c r="P1630" s="21" t="str">
        <f t="shared" si="3"/>
        <v/>
      </c>
      <c r="Q1630" s="21" t="str">
        <f t="shared" si="4"/>
        <v/>
      </c>
      <c r="R1630" s="22" t="str">
        <f>IFERROR(__xludf.DUMMYFUNCTION("GOOGLEFINANCE(B1630, ""pe"")
"),"#N/A")</f>
        <v>#N/A</v>
      </c>
    </row>
    <row r="1631">
      <c r="A1631" s="9" t="s">
        <v>1639</v>
      </c>
      <c r="B1631" s="11" t="str">
        <f t="shared" si="1"/>
        <v>NSE:NECCLTD</v>
      </c>
      <c r="C1631" s="12">
        <f>IFERROR(__xludf.DUMMYFUNCTION("GOOGLEFINANCE(B1631,""marketcap"")/10000000"),220.1000022)</f>
        <v>220.1000022</v>
      </c>
      <c r="D1631" s="13">
        <f>IFERROR(__xludf.DUMMYFUNCTION("GOOGLEFINANCE(B1631,""price"")"),22.3)</f>
        <v>22.3</v>
      </c>
      <c r="E1631" s="14">
        <f>IFERROR(__xludf.DUMMYFUNCTION("GOOGLEFINANCE(B1631,""Volume"")"),32532.0)</f>
        <v>32532</v>
      </c>
      <c r="F1631" s="14">
        <f t="array" ref="F1631">F1630</f>
        <v>14</v>
      </c>
      <c r="G1631" s="15" t="str">
        <f>IFERROR(__xludf.DUMMYFUNCTION("IF(E1631&gt;AVERAGE(INDEX(GOOGLEFINANCE(B1631,""volume"",WORKDAY(TODAY(),-$F$1),TODAY()),,2)),""Breakout"","""")"),"")</f>
        <v/>
      </c>
      <c r="H1631" s="16">
        <f>IFERROR(__xludf.DUMMYFUNCTION("GOOGLEFINANCE(B1631,""price"")"),22.3)</f>
        <v>22.3</v>
      </c>
      <c r="I1631" s="17">
        <f>IFERROR(__xludf.DUMMYFUNCTION("AVERAGE(QUERY(SORT(GOOGLEFINANCE(B1631,""price"",TODAY()-365,TODAY()),1,0),""select Col2 limit 10""))"),22.981)</f>
        <v>22.981</v>
      </c>
      <c r="J1631" s="17">
        <f>IFERROR(__xludf.DUMMYFUNCTION("AVERAGE(QUERY(SORT(GOOGLEFINANCE(B1631,""price"",TODAY()-365,TODAY()),1,0),""select Col2 limit 30""))"),23.676)</f>
        <v>23.676</v>
      </c>
      <c r="K1631" s="18">
        <f>IFERROR(__xludf.DUMMYFUNCTION("AVERAGE(QUERY(SORT(GOOGLEFINANCE(B1631,""price"",TODAY()-365,TODAY()),1,0),""select Col2 limit 60""))"),23.80883333333333)</f>
        <v>23.80883333</v>
      </c>
      <c r="L1631" s="17">
        <f>IFERROR(__xludf.DUMMYFUNCTION("AVERAGE(QUERY(SORT(GOOGLEFINANCE(B1631,""price"",TODAY()-365,TODAY()),1,0),""select Col2 limit 90""))"),23.55133333333333)</f>
        <v>23.55133333</v>
      </c>
      <c r="M1631" s="17">
        <f>IFERROR(__xludf.DUMMYFUNCTION("AVERAGE(QUERY(SORT(GOOGLEFINANCE(B1631,""price"",TODAY()-365,TODAY()),1,0),""select Col2 limit 120""))"),23.98858333333332)</f>
        <v>23.98858333</v>
      </c>
      <c r="N1631" s="19">
        <f>IFERROR(__xludf.DUMMYFUNCTION("AVERAGE(QUERY(SORT(GOOGLEFINANCE(B1631,""price"",TODAY()-365,TODAY()),1,0),""select Col2 limit 200""))"),27.490799999999993)</f>
        <v>27.4908</v>
      </c>
      <c r="O1631" s="20" t="str">
        <f t="shared" si="2"/>
        <v>Avoid</v>
      </c>
      <c r="P1631" s="21" t="str">
        <f t="shared" si="3"/>
        <v/>
      </c>
      <c r="Q1631" s="21" t="str">
        <f t="shared" si="4"/>
        <v/>
      </c>
      <c r="R1631" s="22">
        <f>IFERROR(__xludf.DUMMYFUNCTION("GOOGLEFINANCE(B1631, ""pe"")
"),21.37)</f>
        <v>21.37</v>
      </c>
    </row>
    <row r="1632">
      <c r="A1632" s="9" t="s">
        <v>1640</v>
      </c>
      <c r="B1632" s="11" t="str">
        <f t="shared" si="1"/>
        <v>NSE:REPL</v>
      </c>
      <c r="C1632" s="12">
        <f>IFERROR(__xludf.DUMMYFUNCTION("GOOGLEFINANCE(B1632,""marketcap"")/10000000"),318.9920767)</f>
        <v>318.9920767</v>
      </c>
      <c r="D1632" s="13">
        <f>IFERROR(__xludf.DUMMYFUNCTION("GOOGLEFINANCE(B1632,""price"")"),176.02)</f>
        <v>176.02</v>
      </c>
      <c r="E1632" s="14">
        <f>IFERROR(__xludf.DUMMYFUNCTION("GOOGLEFINANCE(B1632,""Volume"")"),3391.0)</f>
        <v>3391</v>
      </c>
      <c r="F1632" s="14">
        <f t="array" ref="F1632">F1631</f>
        <v>14</v>
      </c>
      <c r="G1632" s="15" t="str">
        <f>IFERROR(__xludf.DUMMYFUNCTION("IF(E1632&gt;AVERAGE(INDEX(GOOGLEFINANCE(B1632,""volume"",WORKDAY(TODAY(),-$F$1),TODAY()),,2)),""Breakout"","""")"),"")</f>
        <v/>
      </c>
      <c r="H1632" s="16">
        <f>IFERROR(__xludf.DUMMYFUNCTION("GOOGLEFINANCE(B1632,""price"")"),176.02)</f>
        <v>176.02</v>
      </c>
      <c r="I1632" s="17">
        <f>IFERROR(__xludf.DUMMYFUNCTION("AVERAGE(QUERY(SORT(GOOGLEFINANCE(B1632,""price"",TODAY()-365,TODAY()),1,0),""select Col2 limit 10""))"),173.49)</f>
        <v>173.49</v>
      </c>
      <c r="J1632" s="17">
        <f>IFERROR(__xludf.DUMMYFUNCTION("AVERAGE(QUERY(SORT(GOOGLEFINANCE(B1632,""price"",TODAY()-365,TODAY()),1,0),""select Col2 limit 30""))"),176.333)</f>
        <v>176.333</v>
      </c>
      <c r="K1632" s="18">
        <f>IFERROR(__xludf.DUMMYFUNCTION("AVERAGE(QUERY(SORT(GOOGLEFINANCE(B1632,""price"",TODAY()-365,TODAY()),1,0),""select Col2 limit 60""))"),182.57933333333332)</f>
        <v>182.5793333</v>
      </c>
      <c r="L1632" s="17">
        <f>IFERROR(__xludf.DUMMYFUNCTION("AVERAGE(QUERY(SORT(GOOGLEFINANCE(B1632,""price"",TODAY()-365,TODAY()),1,0),""select Col2 limit 90""))"),180.08666666666667)</f>
        <v>180.0866667</v>
      </c>
      <c r="M1632" s="17">
        <f>IFERROR(__xludf.DUMMYFUNCTION("AVERAGE(QUERY(SORT(GOOGLEFINANCE(B1632,""price"",TODAY()-365,TODAY()),1,0),""select Col2 limit 120""))"),194.44825000000003)</f>
        <v>194.44825</v>
      </c>
      <c r="N1632" s="19">
        <f>IFERROR(__xludf.DUMMYFUNCTION("AVERAGE(QUERY(SORT(GOOGLEFINANCE(B1632,""price"",TODAY()-365,TODAY()),1,0),""select Col2 limit 200""))"),213.96395000000015)</f>
        <v>213.96395</v>
      </c>
      <c r="O1632" s="20" t="str">
        <f t="shared" si="2"/>
        <v>Avoid</v>
      </c>
      <c r="P1632" s="21" t="str">
        <f t="shared" si="3"/>
        <v>30 DMA</v>
      </c>
      <c r="Q1632" s="21" t="str">
        <f t="shared" si="4"/>
        <v>30 DMA cross best</v>
      </c>
      <c r="R1632" s="22">
        <f>IFERROR(__xludf.DUMMYFUNCTION("GOOGLEFINANCE(B1632, ""pe"")
"),22.89)</f>
        <v>22.89</v>
      </c>
    </row>
    <row r="1633">
      <c r="A1633" s="9" t="s">
        <v>1641</v>
      </c>
      <c r="B1633" s="11" t="str">
        <f t="shared" si="1"/>
        <v>NSE:CROWN</v>
      </c>
      <c r="C1633" s="12">
        <f>IFERROR(__xludf.DUMMYFUNCTION("GOOGLEFINANCE(B1633,""marketcap"")/10000000"),182.2033035)</f>
        <v>182.2033035</v>
      </c>
      <c r="D1633" s="13">
        <f>IFERROR(__xludf.DUMMYFUNCTION("GOOGLEFINANCE(B1633,""price"")"),158.3)</f>
        <v>158.3</v>
      </c>
      <c r="E1633" s="14">
        <f>IFERROR(__xludf.DUMMYFUNCTION("GOOGLEFINANCE(B1633,""Volume"")"),43534.0)</f>
        <v>43534</v>
      </c>
      <c r="F1633" s="14">
        <f t="array" ref="F1633">F1632</f>
        <v>14</v>
      </c>
      <c r="G1633" s="15" t="str">
        <f>IFERROR(__xludf.DUMMYFUNCTION("IF(E1633&gt;AVERAGE(INDEX(GOOGLEFINANCE(B1633,""volume"",WORKDAY(TODAY(),-$F$1),TODAY()),,2)),""Breakout"","""")"),"Breakout")</f>
        <v>Breakout</v>
      </c>
      <c r="H1633" s="16">
        <f>IFERROR(__xludf.DUMMYFUNCTION("GOOGLEFINANCE(B1633,""price"")"),158.3)</f>
        <v>158.3</v>
      </c>
      <c r="I1633" s="17">
        <f>IFERROR(__xludf.DUMMYFUNCTION("AVERAGE(QUERY(SORT(GOOGLEFINANCE(B1633,""price"",TODAY()-365,TODAY()),1,0),""select Col2 limit 10""))"),166.654)</f>
        <v>166.654</v>
      </c>
      <c r="J1633" s="17">
        <f>IFERROR(__xludf.DUMMYFUNCTION("AVERAGE(QUERY(SORT(GOOGLEFINANCE(B1633,""price"",TODAY()-365,TODAY()),1,0),""select Col2 limit 30""))"),178.497)</f>
        <v>178.497</v>
      </c>
      <c r="K1633" s="18">
        <f>IFERROR(__xludf.DUMMYFUNCTION("AVERAGE(QUERY(SORT(GOOGLEFINANCE(B1633,""price"",TODAY()-365,TODAY()),1,0),""select Col2 limit 60""))"),174.83583333333328)</f>
        <v>174.8358333</v>
      </c>
      <c r="L1633" s="17">
        <f>IFERROR(__xludf.DUMMYFUNCTION("AVERAGE(QUERY(SORT(GOOGLEFINANCE(B1633,""price"",TODAY()-365,TODAY()),1,0),""select Col2 limit 90""))"),173.845)</f>
        <v>173.845</v>
      </c>
      <c r="M1633" s="17">
        <f>IFERROR(__xludf.DUMMYFUNCTION("AVERAGE(QUERY(SORT(GOOGLEFINANCE(B1633,""price"",TODAY()-365,TODAY()),1,0),""select Col2 limit 120""))"),175.0784166666666)</f>
        <v>175.0784167</v>
      </c>
      <c r="N1633" s="19">
        <f>IFERROR(__xludf.DUMMYFUNCTION("AVERAGE(QUERY(SORT(GOOGLEFINANCE(B1633,""price"",TODAY()-365,TODAY()),1,0),""select Col2 limit 200""))"),196.77719999999997)</f>
        <v>196.7772</v>
      </c>
      <c r="O1633" s="20" t="str">
        <f t="shared" si="2"/>
        <v>Avoid</v>
      </c>
      <c r="P1633" s="21" t="str">
        <f t="shared" si="3"/>
        <v/>
      </c>
      <c r="Q1633" s="21" t="str">
        <f t="shared" si="4"/>
        <v/>
      </c>
      <c r="R1633" s="22">
        <f>IFERROR(__xludf.DUMMYFUNCTION("GOOGLEFINANCE(B1633, ""pe"")
"),9.36)</f>
        <v>9.36</v>
      </c>
    </row>
    <row r="1634">
      <c r="A1634" s="9" t="s">
        <v>1642</v>
      </c>
      <c r="B1634" s="11" t="str">
        <f t="shared" si="1"/>
        <v>NSE:PPAP</v>
      </c>
      <c r="C1634" s="12">
        <f>IFERROR(__xludf.DUMMYFUNCTION("GOOGLEFINANCE(B1634,""marketcap"")/10000000"),362.051289)</f>
        <v>362.051289</v>
      </c>
      <c r="D1634" s="13">
        <f>IFERROR(__xludf.DUMMYFUNCTION("GOOGLEFINANCE(B1634,""price"")"),255.1)</f>
        <v>255.1</v>
      </c>
      <c r="E1634" s="14">
        <f>IFERROR(__xludf.DUMMYFUNCTION("GOOGLEFINANCE(B1634,""Volume"")"),44568.0)</f>
        <v>44568</v>
      </c>
      <c r="F1634" s="14">
        <f t="array" ref="F1634">F1633</f>
        <v>14</v>
      </c>
      <c r="G1634" s="15" t="str">
        <f>IFERROR(__xludf.DUMMYFUNCTION("IF(E1634&gt;AVERAGE(INDEX(GOOGLEFINANCE(B1634,""volume"",WORKDAY(TODAY(),-$F$1),TODAY()),,2)),""Breakout"","""")"),"Breakout")</f>
        <v>Breakout</v>
      </c>
      <c r="H1634" s="16">
        <f>IFERROR(__xludf.DUMMYFUNCTION("GOOGLEFINANCE(B1634,""price"")"),255.1)</f>
        <v>255.1</v>
      </c>
      <c r="I1634" s="17">
        <f>IFERROR(__xludf.DUMMYFUNCTION("AVERAGE(QUERY(SORT(GOOGLEFINANCE(B1634,""price"",TODAY()-365,TODAY()),1,0),""select Col2 limit 10""))"),234.962)</f>
        <v>234.962</v>
      </c>
      <c r="J1634" s="17">
        <f>IFERROR(__xludf.DUMMYFUNCTION("AVERAGE(QUERY(SORT(GOOGLEFINANCE(B1634,""price"",TODAY()-365,TODAY()),1,0),""select Col2 limit 30""))"),235.37099999999998)</f>
        <v>235.371</v>
      </c>
      <c r="K1634" s="18">
        <f>IFERROR(__xludf.DUMMYFUNCTION("AVERAGE(QUERY(SORT(GOOGLEFINANCE(B1634,""price"",TODAY()-365,TODAY()),1,0),""select Col2 limit 60""))"),223.2755)</f>
        <v>223.2755</v>
      </c>
      <c r="L1634" s="17">
        <f>IFERROR(__xludf.DUMMYFUNCTION("AVERAGE(QUERY(SORT(GOOGLEFINANCE(B1634,""price"",TODAY()-365,TODAY()),1,0),""select Col2 limit 90""))"),205.77233333333345)</f>
        <v>205.7723333</v>
      </c>
      <c r="M1634" s="17">
        <f>IFERROR(__xludf.DUMMYFUNCTION("AVERAGE(QUERY(SORT(GOOGLEFINANCE(B1634,""price"",TODAY()-365,TODAY()),1,0),""select Col2 limit 120""))"),200.38266666666684)</f>
        <v>200.3826667</v>
      </c>
      <c r="N1634" s="19">
        <f>IFERROR(__xludf.DUMMYFUNCTION("AVERAGE(QUERY(SORT(GOOGLEFINANCE(B1634,""price"",TODAY()-365,TODAY()),1,0),""select Col2 limit 200""))"),202.83625000000006)</f>
        <v>202.83625</v>
      </c>
      <c r="O1634" s="20" t="str">
        <f t="shared" si="2"/>
        <v>Avoid</v>
      </c>
      <c r="P1634" s="21" t="str">
        <f t="shared" si="3"/>
        <v/>
      </c>
      <c r="Q1634" s="21" t="str">
        <f t="shared" si="4"/>
        <v/>
      </c>
      <c r="R1634" s="22">
        <f>IFERROR(__xludf.DUMMYFUNCTION("GOOGLEFINANCE(B1634, ""pe"")
"),51.54)</f>
        <v>51.54</v>
      </c>
    </row>
    <row r="1635">
      <c r="A1635" s="9" t="s">
        <v>1643</v>
      </c>
      <c r="B1635" s="11" t="str">
        <f t="shared" si="1"/>
        <v>NSE:PAR</v>
      </c>
      <c r="C1635" s="12">
        <f>IFERROR(__xludf.DUMMYFUNCTION("GOOGLEFINANCE(B1635,""marketcap"")/10000000"),132.8530916)</f>
        <v>132.8530916</v>
      </c>
      <c r="D1635" s="13">
        <f>IFERROR(__xludf.DUMMYFUNCTION("GOOGLEFINANCE(B1635,""price"")"),107.97)</f>
        <v>107.97</v>
      </c>
      <c r="E1635" s="14">
        <f>IFERROR(__xludf.DUMMYFUNCTION("GOOGLEFINANCE(B1635,""Volume"")"),1449.0)</f>
        <v>1449</v>
      </c>
      <c r="F1635" s="14">
        <f t="array" ref="F1635">F1634</f>
        <v>14</v>
      </c>
      <c r="G1635" s="15" t="str">
        <f>IFERROR(__xludf.DUMMYFUNCTION("IF(E1635&gt;AVERAGE(INDEX(GOOGLEFINANCE(B1635,""volume"",WORKDAY(TODAY(),-$F$1),TODAY()),,2)),""Breakout"","""")"),"")</f>
        <v/>
      </c>
      <c r="H1635" s="16">
        <f>IFERROR(__xludf.DUMMYFUNCTION("GOOGLEFINANCE(B1635,""price"")"),107.97)</f>
        <v>107.97</v>
      </c>
      <c r="I1635" s="17">
        <f>IFERROR(__xludf.DUMMYFUNCTION("AVERAGE(QUERY(SORT(GOOGLEFINANCE(B1635,""price"",TODAY()-365,TODAY()),1,0),""select Col2 limit 10""))"),105.96700000000001)</f>
        <v>105.967</v>
      </c>
      <c r="J1635" s="17">
        <f>IFERROR(__xludf.DUMMYFUNCTION("AVERAGE(QUERY(SORT(GOOGLEFINANCE(B1635,""price"",TODAY()-365,TODAY()),1,0),""select Col2 limit 30""))"),99.09033333333332)</f>
        <v>99.09033333</v>
      </c>
      <c r="K1635" s="18">
        <f>IFERROR(__xludf.DUMMYFUNCTION("AVERAGE(QUERY(SORT(GOOGLEFINANCE(B1635,""price"",TODAY()-365,TODAY()),1,0),""select Col2 limit 60""))"),100.21499999999999)</f>
        <v>100.215</v>
      </c>
      <c r="L1635" s="17">
        <f>IFERROR(__xludf.DUMMYFUNCTION("AVERAGE(QUERY(SORT(GOOGLEFINANCE(B1635,""price"",TODAY()-365,TODAY()),1,0),""select Col2 limit 90""))"),99.28655555555557)</f>
        <v>99.28655556</v>
      </c>
      <c r="M1635" s="17">
        <f>IFERROR(__xludf.DUMMYFUNCTION("AVERAGE(QUERY(SORT(GOOGLEFINANCE(B1635,""price"",TODAY()-365,TODAY()),1,0),""select Col2 limit 120""))"),110.32291666666667)</f>
        <v>110.3229167</v>
      </c>
      <c r="N1635" s="19">
        <f>IFERROR(__xludf.DUMMYFUNCTION("AVERAGE(QUERY(SORT(GOOGLEFINANCE(B1635,""price"",TODAY()-365,TODAY()),1,0),""select Col2 limit 200""))"),161.8984)</f>
        <v>161.8984</v>
      </c>
      <c r="O1635" s="20" t="str">
        <f t="shared" si="2"/>
        <v>Avoid</v>
      </c>
      <c r="P1635" s="21" t="str">
        <f t="shared" si="3"/>
        <v/>
      </c>
      <c r="Q1635" s="21" t="str">
        <f t="shared" si="4"/>
        <v/>
      </c>
      <c r="R1635" s="22">
        <f>IFERROR(__xludf.DUMMYFUNCTION("GOOGLEFINANCE(B1635, ""pe"")
"),9.94)</f>
        <v>9.94</v>
      </c>
    </row>
    <row r="1636">
      <c r="A1636" s="9" t="s">
        <v>1644</v>
      </c>
      <c r="B1636" s="11" t="str">
        <f t="shared" si="1"/>
        <v>NSE:NITIRAJ</v>
      </c>
      <c r="C1636" s="12">
        <f>IFERROR(__xludf.DUMMYFUNCTION("GOOGLEFINANCE(B1636,""marketcap"")/10000000"),204.2101778)</f>
        <v>204.2101778</v>
      </c>
      <c r="D1636" s="13">
        <f>IFERROR(__xludf.DUMMYFUNCTION("GOOGLEFINANCE(B1636,""price"")"),199.2)</f>
        <v>199.2</v>
      </c>
      <c r="E1636" s="14">
        <f>IFERROR(__xludf.DUMMYFUNCTION("GOOGLEFINANCE(B1636,""Volume"")"),2108.0)</f>
        <v>2108</v>
      </c>
      <c r="F1636" s="14">
        <f t="array" ref="F1636">F1635</f>
        <v>14</v>
      </c>
      <c r="G1636" s="15" t="str">
        <f>IFERROR(__xludf.DUMMYFUNCTION("IF(E1636&gt;AVERAGE(INDEX(GOOGLEFINANCE(B1636,""volume"",WORKDAY(TODAY(),-$F$1),TODAY()),,2)),""Breakout"","""")"),"")</f>
        <v/>
      </c>
      <c r="H1636" s="16">
        <f>IFERROR(__xludf.DUMMYFUNCTION("GOOGLEFINANCE(B1636,""price"")"),199.2)</f>
        <v>199.2</v>
      </c>
      <c r="I1636" s="17">
        <f>IFERROR(__xludf.DUMMYFUNCTION("AVERAGE(QUERY(SORT(GOOGLEFINANCE(B1636,""price"",TODAY()-365,TODAY()),1,0),""select Col2 limit 10""))"),209.99499999999998)</f>
        <v>209.995</v>
      </c>
      <c r="J1636" s="17">
        <f>IFERROR(__xludf.DUMMYFUNCTION("AVERAGE(QUERY(SORT(GOOGLEFINANCE(B1636,""price"",TODAY()-365,TODAY()),1,0),""select Col2 limit 30""))"),206.72599999999994)</f>
        <v>206.726</v>
      </c>
      <c r="K1636" s="18">
        <f>IFERROR(__xludf.DUMMYFUNCTION("AVERAGE(QUERY(SORT(GOOGLEFINANCE(B1636,""price"",TODAY()-365,TODAY()),1,0),""select Col2 limit 60""))"),229.5921666666666)</f>
        <v>229.5921667</v>
      </c>
      <c r="L1636" s="17">
        <f>IFERROR(__xludf.DUMMYFUNCTION("AVERAGE(QUERY(SORT(GOOGLEFINANCE(B1636,""price"",TODAY()-365,TODAY()),1,0),""select Col2 limit 90""))"),252.91922222222215)</f>
        <v>252.9192222</v>
      </c>
      <c r="M1636" s="17">
        <f>IFERROR(__xludf.DUMMYFUNCTION("AVERAGE(QUERY(SORT(GOOGLEFINANCE(B1636,""price"",TODAY()-365,TODAY()),1,0),""select Col2 limit 120""))"),251.6093333333333)</f>
        <v>251.6093333</v>
      </c>
      <c r="N1636" s="19">
        <f>IFERROR(__xludf.DUMMYFUNCTION("AVERAGE(QUERY(SORT(GOOGLEFINANCE(B1636,""price"",TODAY()-365,TODAY()),1,0),""select Col2 limit 200""))"),244.48854999999995)</f>
        <v>244.48855</v>
      </c>
      <c r="O1636" s="20" t="str">
        <f t="shared" si="2"/>
        <v>Avoid</v>
      </c>
      <c r="P1636" s="21" t="str">
        <f t="shared" si="3"/>
        <v/>
      </c>
      <c r="Q1636" s="21" t="str">
        <f t="shared" si="4"/>
        <v/>
      </c>
      <c r="R1636" s="22">
        <f>IFERROR(__xludf.DUMMYFUNCTION("GOOGLEFINANCE(B1636, ""pe"")
"),42.35)</f>
        <v>42.35</v>
      </c>
    </row>
    <row r="1637">
      <c r="A1637" s="9" t="s">
        <v>1645</v>
      </c>
      <c r="B1637" s="11" t="str">
        <f t="shared" si="1"/>
        <v>NSE:SOUTHWEST</v>
      </c>
      <c r="C1637" s="12">
        <f>IFERROR(__xludf.DUMMYFUNCTION("GOOGLEFINANCE(B1637,""marketcap"")/10000000"),407.3246482)</f>
        <v>407.3246482</v>
      </c>
      <c r="D1637" s="13">
        <f>IFERROR(__xludf.DUMMYFUNCTION("GOOGLEFINANCE(B1637,""price"")"),137.01)</f>
        <v>137.01</v>
      </c>
      <c r="E1637" s="14">
        <f>IFERROR(__xludf.DUMMYFUNCTION("GOOGLEFINANCE(B1637,""Volume"")"),16412.0)</f>
        <v>16412</v>
      </c>
      <c r="F1637" s="14">
        <f t="array" ref="F1637">F1636</f>
        <v>14</v>
      </c>
      <c r="G1637" s="15" t="str">
        <f>IFERROR(__xludf.DUMMYFUNCTION("IF(E1637&gt;AVERAGE(INDEX(GOOGLEFINANCE(B1637,""volume"",WORKDAY(TODAY(),-$F$1),TODAY()),,2)),""Breakout"","""")"),"")</f>
        <v/>
      </c>
      <c r="H1637" s="16">
        <f>IFERROR(__xludf.DUMMYFUNCTION("GOOGLEFINANCE(B1637,""price"")"),137.01)</f>
        <v>137.01</v>
      </c>
      <c r="I1637" s="17">
        <f>IFERROR(__xludf.DUMMYFUNCTION("AVERAGE(QUERY(SORT(GOOGLEFINANCE(B1637,""price"",TODAY()-365,TODAY()),1,0),""select Col2 limit 10""))"),149.69)</f>
        <v>149.69</v>
      </c>
      <c r="J1637" s="17">
        <f>IFERROR(__xludf.DUMMYFUNCTION("AVERAGE(QUERY(SORT(GOOGLEFINANCE(B1637,""price"",TODAY()-365,TODAY()),1,0),""select Col2 limit 30""))"),148.64700000000002)</f>
        <v>148.647</v>
      </c>
      <c r="K1637" s="18">
        <f>IFERROR(__xludf.DUMMYFUNCTION("AVERAGE(QUERY(SORT(GOOGLEFINANCE(B1637,""price"",TODAY()-365,TODAY()),1,0),""select Col2 limit 60""))"),143.41516666666664)</f>
        <v>143.4151667</v>
      </c>
      <c r="L1637" s="17">
        <f>IFERROR(__xludf.DUMMYFUNCTION("AVERAGE(QUERY(SORT(GOOGLEFINANCE(B1637,""price"",TODAY()-365,TODAY()),1,0),""select Col2 limit 90""))"),133.32055555555553)</f>
        <v>133.3205556</v>
      </c>
      <c r="M1637" s="17">
        <f>IFERROR(__xludf.DUMMYFUNCTION("AVERAGE(QUERY(SORT(GOOGLEFINANCE(B1637,""price"",TODAY()-365,TODAY()),1,0),""select Col2 limit 120""))"),129.7785)</f>
        <v>129.7785</v>
      </c>
      <c r="N1637" s="19">
        <f>IFERROR(__xludf.DUMMYFUNCTION("AVERAGE(QUERY(SORT(GOOGLEFINANCE(B1637,""price"",TODAY()-365,TODAY()),1,0),""select Col2 limit 200""))"),130.83010000000002)</f>
        <v>130.8301</v>
      </c>
      <c r="O1637" s="20" t="str">
        <f t="shared" si="2"/>
        <v>Avoid</v>
      </c>
      <c r="P1637" s="21" t="str">
        <f t="shared" si="3"/>
        <v/>
      </c>
      <c r="Q1637" s="21" t="str">
        <f t="shared" si="4"/>
        <v/>
      </c>
      <c r="R1637" s="22">
        <f>IFERROR(__xludf.DUMMYFUNCTION("GOOGLEFINANCE(B1637, ""pe"")
"),23.5)</f>
        <v>23.5</v>
      </c>
    </row>
    <row r="1638">
      <c r="A1638" s="9" t="s">
        <v>1646</v>
      </c>
      <c r="B1638" s="11" t="str">
        <f t="shared" si="1"/>
        <v>NSE:GENCON</v>
      </c>
      <c r="C1638" s="12">
        <f>IFERROR(__xludf.DUMMYFUNCTION("GOOGLEFINANCE(B1638,""marketcap"")/10000000"),226.8611498)</f>
        <v>226.8611498</v>
      </c>
      <c r="D1638" s="13">
        <f>IFERROR(__xludf.DUMMYFUNCTION("GOOGLEFINANCE(B1638,""price"")"),39.92)</f>
        <v>39.92</v>
      </c>
      <c r="E1638" s="14">
        <f>IFERROR(__xludf.DUMMYFUNCTION("GOOGLEFINANCE(B1638,""Volume"")"),9792.0)</f>
        <v>9792</v>
      </c>
      <c r="F1638" s="14">
        <f t="array" ref="F1638">F1637</f>
        <v>14</v>
      </c>
      <c r="G1638" s="15" t="str">
        <f>IFERROR(__xludf.DUMMYFUNCTION("IF(E1638&gt;AVERAGE(INDEX(GOOGLEFINANCE(B1638,""volume"",WORKDAY(TODAY(),-$F$1),TODAY()),,2)),""Breakout"","""")"),"")</f>
        <v/>
      </c>
      <c r="H1638" s="16">
        <f>IFERROR(__xludf.DUMMYFUNCTION("GOOGLEFINANCE(B1638,""price"")"),39.92)</f>
        <v>39.92</v>
      </c>
      <c r="I1638" s="17">
        <f>IFERROR(__xludf.DUMMYFUNCTION("AVERAGE(QUERY(SORT(GOOGLEFINANCE(B1638,""price"",TODAY()-365,TODAY()),1,0),""select Col2 limit 10""))"),40.270999999999994)</f>
        <v>40.271</v>
      </c>
      <c r="J1638" s="17">
        <f>IFERROR(__xludf.DUMMYFUNCTION("AVERAGE(QUERY(SORT(GOOGLEFINANCE(B1638,""price"",TODAY()-365,TODAY()),1,0),""select Col2 limit 30""))"),40.836)</f>
        <v>40.836</v>
      </c>
      <c r="K1638" s="18">
        <f>IFERROR(__xludf.DUMMYFUNCTION("AVERAGE(QUERY(SORT(GOOGLEFINANCE(B1638,""price"",TODAY()-365,TODAY()),1,0),""select Col2 limit 60""))"),39.523333333333326)</f>
        <v>39.52333333</v>
      </c>
      <c r="L1638" s="17">
        <f>IFERROR(__xludf.DUMMYFUNCTION("AVERAGE(QUERY(SORT(GOOGLEFINANCE(B1638,""price"",TODAY()-365,TODAY()),1,0),""select Col2 limit 90""))"),36.407999999999994)</f>
        <v>36.408</v>
      </c>
      <c r="M1638" s="17">
        <f>IFERROR(__xludf.DUMMYFUNCTION("AVERAGE(QUERY(SORT(GOOGLEFINANCE(B1638,""price"",TODAY()-365,TODAY()),1,0),""select Col2 limit 120""))"),35.04816666666666)</f>
        <v>35.04816667</v>
      </c>
      <c r="N1638" s="19">
        <f>IFERROR(__xludf.DUMMYFUNCTION("AVERAGE(QUERY(SORT(GOOGLEFINANCE(B1638,""price"",TODAY()-365,TODAY()),1,0),""select Col2 limit 200""))"),37.66684999999998)</f>
        <v>37.66685</v>
      </c>
      <c r="O1638" s="20" t="str">
        <f t="shared" si="2"/>
        <v>Avoid</v>
      </c>
      <c r="P1638" s="21" t="str">
        <f t="shared" si="3"/>
        <v>10 DMA</v>
      </c>
      <c r="Q1638" s="21" t="str">
        <f t="shared" si="4"/>
        <v/>
      </c>
      <c r="R1638" s="22">
        <f>IFERROR(__xludf.DUMMYFUNCTION("GOOGLEFINANCE(B1638, ""pe"")
"),25.43)</f>
        <v>25.43</v>
      </c>
    </row>
    <row r="1639">
      <c r="A1639" s="9" t="s">
        <v>1647</v>
      </c>
      <c r="B1639" s="11" t="str">
        <f t="shared" si="1"/>
        <v>NSE:MCLEODRUSS</v>
      </c>
      <c r="C1639" s="12">
        <f>IFERROR(__xludf.DUMMYFUNCTION("GOOGLEFINANCE(B1639,""marketcap"")/10000000"),432.9688844)</f>
        <v>432.9688844</v>
      </c>
      <c r="D1639" s="13">
        <f>IFERROR(__xludf.DUMMYFUNCTION("GOOGLEFINANCE(B1639,""price"")"),41.37)</f>
        <v>41.37</v>
      </c>
      <c r="E1639" s="14">
        <f>IFERROR(__xludf.DUMMYFUNCTION("GOOGLEFINANCE(B1639,""Volume"")"),855364.0)</f>
        <v>855364</v>
      </c>
      <c r="F1639" s="14">
        <f t="array" ref="F1639">F1638</f>
        <v>14</v>
      </c>
      <c r="G1639" s="15" t="str">
        <f>IFERROR(__xludf.DUMMYFUNCTION("IF(E1639&gt;AVERAGE(INDEX(GOOGLEFINANCE(B1639,""volume"",WORKDAY(TODAY(),-$F$1),TODAY()),,2)),""Breakout"","""")"),"")</f>
        <v/>
      </c>
      <c r="H1639" s="16">
        <f>IFERROR(__xludf.DUMMYFUNCTION("GOOGLEFINANCE(B1639,""price"")"),41.37)</f>
        <v>41.37</v>
      </c>
      <c r="I1639" s="17">
        <f>IFERROR(__xludf.DUMMYFUNCTION("AVERAGE(QUERY(SORT(GOOGLEFINANCE(B1639,""price"",TODAY()-365,TODAY()),1,0),""select Col2 limit 10""))"),38.379999999999995)</f>
        <v>38.38</v>
      </c>
      <c r="J1639" s="17">
        <f>IFERROR(__xludf.DUMMYFUNCTION("AVERAGE(QUERY(SORT(GOOGLEFINANCE(B1639,""price"",TODAY()-365,TODAY()),1,0),""select Col2 limit 30""))"),35.531666666666666)</f>
        <v>35.53166667</v>
      </c>
      <c r="K1639" s="18">
        <f>IFERROR(__xludf.DUMMYFUNCTION("AVERAGE(QUERY(SORT(GOOGLEFINANCE(B1639,""price"",TODAY()-365,TODAY()),1,0),""select Col2 limit 60""))"),34.251999999999995)</f>
        <v>34.252</v>
      </c>
      <c r="L1639" s="17">
        <f>IFERROR(__xludf.DUMMYFUNCTION("AVERAGE(QUERY(SORT(GOOGLEFINANCE(B1639,""price"",TODAY()-365,TODAY()),1,0),""select Col2 limit 90""))"),34.7431111111111)</f>
        <v>34.74311111</v>
      </c>
      <c r="M1639" s="17">
        <f>IFERROR(__xludf.DUMMYFUNCTION("AVERAGE(QUERY(SORT(GOOGLEFINANCE(B1639,""price"",TODAY()-365,TODAY()),1,0),""select Col2 limit 120""))"),34.703416666666655)</f>
        <v>34.70341667</v>
      </c>
      <c r="N1639" s="19">
        <f>IFERROR(__xludf.DUMMYFUNCTION("AVERAGE(QUERY(SORT(GOOGLEFINANCE(B1639,""price"",TODAY()-365,TODAY()),1,0),""select Col2 limit 200""))"),35.976749999999996)</f>
        <v>35.97675</v>
      </c>
      <c r="O1639" s="20" t="str">
        <f t="shared" si="2"/>
        <v>Avoid</v>
      </c>
      <c r="P1639" s="21" t="str">
        <f t="shared" si="3"/>
        <v/>
      </c>
      <c r="Q1639" s="21" t="str">
        <f t="shared" si="4"/>
        <v/>
      </c>
      <c r="R1639" s="22" t="str">
        <f>IFERROR(__xludf.DUMMYFUNCTION("GOOGLEFINANCE(B1639, ""pe"")
"),"#N/A")</f>
        <v>#N/A</v>
      </c>
    </row>
    <row r="1640">
      <c r="A1640" s="9" t="s">
        <v>1648</v>
      </c>
      <c r="B1640" s="11" t="str">
        <f t="shared" si="1"/>
        <v>NSE:MARALOVER</v>
      </c>
      <c r="C1640" s="12">
        <f>IFERROR(__xludf.DUMMYFUNCTION("GOOGLEFINANCE(B1640,""marketcap"")/10000000"),303.7969889)</f>
        <v>303.7969889</v>
      </c>
      <c r="D1640" s="13">
        <f>IFERROR(__xludf.DUMMYFUNCTION("GOOGLEFINANCE(B1640,""price"")"),73.19)</f>
        <v>73.19</v>
      </c>
      <c r="E1640" s="14">
        <f>IFERROR(__xludf.DUMMYFUNCTION("GOOGLEFINANCE(B1640,""Volume"")"),2896.0)</f>
        <v>2896</v>
      </c>
      <c r="F1640" s="14">
        <f t="array" ref="F1640">F1639</f>
        <v>14</v>
      </c>
      <c r="G1640" s="15" t="str">
        <f>IFERROR(__xludf.DUMMYFUNCTION("IF(E1640&gt;AVERAGE(INDEX(GOOGLEFINANCE(B1640,""volume"",WORKDAY(TODAY(),-$F$1),TODAY()),,2)),""Breakout"","""")"),"")</f>
        <v/>
      </c>
      <c r="H1640" s="16">
        <f>IFERROR(__xludf.DUMMYFUNCTION("GOOGLEFINANCE(B1640,""price"")"),73.19)</f>
        <v>73.19</v>
      </c>
      <c r="I1640" s="17">
        <f>IFERROR(__xludf.DUMMYFUNCTION("AVERAGE(QUERY(SORT(GOOGLEFINANCE(B1640,""price"",TODAY()-365,TODAY()),1,0),""select Col2 limit 10""))"),73.82900000000001)</f>
        <v>73.829</v>
      </c>
      <c r="J1640" s="17">
        <f>IFERROR(__xludf.DUMMYFUNCTION("AVERAGE(QUERY(SORT(GOOGLEFINANCE(B1640,""price"",TODAY()-365,TODAY()),1,0),""select Col2 limit 30""))"),74.29466666666667)</f>
        <v>74.29466667</v>
      </c>
      <c r="K1640" s="18">
        <f>IFERROR(__xludf.DUMMYFUNCTION("AVERAGE(QUERY(SORT(GOOGLEFINANCE(B1640,""price"",TODAY()-365,TODAY()),1,0),""select Col2 limit 60""))"),73.38416666666667)</f>
        <v>73.38416667</v>
      </c>
      <c r="L1640" s="17">
        <f>IFERROR(__xludf.DUMMYFUNCTION("AVERAGE(QUERY(SORT(GOOGLEFINANCE(B1640,""price"",TODAY()-365,TODAY()),1,0),""select Col2 limit 90""))"),71.30133333333335)</f>
        <v>71.30133333</v>
      </c>
      <c r="M1640" s="17">
        <f>IFERROR(__xludf.DUMMYFUNCTION("AVERAGE(QUERY(SORT(GOOGLEFINANCE(B1640,""price"",TODAY()-365,TODAY()),1,0),""select Col2 limit 120""))"),71.13541666666669)</f>
        <v>71.13541667</v>
      </c>
      <c r="N1640" s="19">
        <f>IFERROR(__xludf.DUMMYFUNCTION("AVERAGE(QUERY(SORT(GOOGLEFINANCE(B1640,""price"",TODAY()-365,TODAY()),1,0),""select Col2 limit 200""))"),74.24865000000004)</f>
        <v>74.24865</v>
      </c>
      <c r="O1640" s="20" t="str">
        <f t="shared" si="2"/>
        <v>Avoid</v>
      </c>
      <c r="P1640" s="21" t="str">
        <f t="shared" si="3"/>
        <v>10 DMA</v>
      </c>
      <c r="Q1640" s="21" t="str">
        <f t="shared" si="4"/>
        <v/>
      </c>
      <c r="R1640" s="22" t="str">
        <f>IFERROR(__xludf.DUMMYFUNCTION("GOOGLEFINANCE(B1640, ""pe"")
"),"#N/A")</f>
        <v>#N/A</v>
      </c>
    </row>
    <row r="1641">
      <c r="A1641" s="9" t="s">
        <v>1649</v>
      </c>
      <c r="B1641" s="11" t="str">
        <f t="shared" si="1"/>
        <v>NSE:WELINV</v>
      </c>
      <c r="C1641" s="12">
        <f>IFERROR(__xludf.DUMMYFUNCTION("GOOGLEFINANCE(B1641,""marketcap"")/10000000"),383.7564108)</f>
        <v>383.7564108</v>
      </c>
      <c r="D1641" s="13">
        <f>IFERROR(__xludf.DUMMYFUNCTION("GOOGLEFINANCE(B1641,""price"")"),1050.1)</f>
        <v>1050.1</v>
      </c>
      <c r="E1641" s="14">
        <f>IFERROR(__xludf.DUMMYFUNCTION("GOOGLEFINANCE(B1641,""Volume"")"),42.0)</f>
        <v>42</v>
      </c>
      <c r="F1641" s="14">
        <f t="array" ref="F1641">F1640</f>
        <v>14</v>
      </c>
      <c r="G1641" s="15" t="str">
        <f>IFERROR(__xludf.DUMMYFUNCTION("IF(E1641&gt;AVERAGE(INDEX(GOOGLEFINANCE(B1641,""volume"",WORKDAY(TODAY(),-$F$1),TODAY()),,2)),""Breakout"","""")"),"")</f>
        <v/>
      </c>
      <c r="H1641" s="16">
        <f>IFERROR(__xludf.DUMMYFUNCTION("GOOGLEFINANCE(B1641,""price"")"),1050.1)</f>
        <v>1050.1</v>
      </c>
      <c r="I1641" s="17">
        <f>IFERROR(__xludf.DUMMYFUNCTION("AVERAGE(QUERY(SORT(GOOGLEFINANCE(B1641,""price"",TODAY()-365,TODAY()),1,0),""select Col2 limit 10""))"),1094.04)</f>
        <v>1094.04</v>
      </c>
      <c r="J1641" s="17">
        <f>IFERROR(__xludf.DUMMYFUNCTION("AVERAGE(QUERY(SORT(GOOGLEFINANCE(B1641,""price"",TODAY()-365,TODAY()),1,0),""select Col2 limit 30""))"),1126.43)</f>
        <v>1126.43</v>
      </c>
      <c r="K1641" s="18">
        <f>IFERROR(__xludf.DUMMYFUNCTION("AVERAGE(QUERY(SORT(GOOGLEFINANCE(B1641,""price"",TODAY()-365,TODAY()),1,0),""select Col2 limit 60""))"),982.2549999999998)</f>
        <v>982.255</v>
      </c>
      <c r="L1641" s="17">
        <f>IFERROR(__xludf.DUMMYFUNCTION("AVERAGE(QUERY(SORT(GOOGLEFINANCE(B1641,""price"",TODAY()-365,TODAY()),1,0),""select Col2 limit 90""))"),918.3599999999996)</f>
        <v>918.36</v>
      </c>
      <c r="M1641" s="17">
        <f>IFERROR(__xludf.DUMMYFUNCTION("AVERAGE(QUERY(SORT(GOOGLEFINANCE(B1641,""price"",TODAY()-365,TODAY()),1,0),""select Col2 limit 120""))"),878.2199999999996)</f>
        <v>878.22</v>
      </c>
      <c r="N1641" s="19">
        <f>IFERROR(__xludf.DUMMYFUNCTION("AVERAGE(QUERY(SORT(GOOGLEFINANCE(B1641,""price"",TODAY()-365,TODAY()),1,0),""select Col2 limit 200""))"),897.30475)</f>
        <v>897.30475</v>
      </c>
      <c r="O1641" s="20" t="str">
        <f t="shared" si="2"/>
        <v>Avoid</v>
      </c>
      <c r="P1641" s="21" t="str">
        <f t="shared" si="3"/>
        <v/>
      </c>
      <c r="Q1641" s="21" t="str">
        <f t="shared" si="4"/>
        <v/>
      </c>
      <c r="R1641" s="22">
        <f>IFERROR(__xludf.DUMMYFUNCTION("GOOGLEFINANCE(B1641, ""pe"")
"),103.66)</f>
        <v>103.66</v>
      </c>
    </row>
    <row r="1642">
      <c r="A1642" s="9" t="s">
        <v>1650</v>
      </c>
      <c r="B1642" s="11" t="str">
        <f t="shared" si="1"/>
        <v>NSE:SHRADHA</v>
      </c>
      <c r="C1642" s="12">
        <f>IFERROR(__xludf.DUMMYFUNCTION("GOOGLEFINANCE(B1642,""marketcap"")/10000000"),323.4840449)</f>
        <v>323.4840449</v>
      </c>
      <c r="D1642" s="13">
        <f>IFERROR(__xludf.DUMMYFUNCTION("GOOGLEFINANCE(B1642,""price"")"),63.9)</f>
        <v>63.9</v>
      </c>
      <c r="E1642" s="14">
        <f>IFERROR(__xludf.DUMMYFUNCTION("GOOGLEFINANCE(B1642,""Volume"")"),20275.0)</f>
        <v>20275</v>
      </c>
      <c r="F1642" s="14">
        <f t="array" ref="F1642">F1641</f>
        <v>14</v>
      </c>
      <c r="G1642" s="15" t="str">
        <f>IFERROR(__xludf.DUMMYFUNCTION("IF(E1642&gt;AVERAGE(INDEX(GOOGLEFINANCE(B1642,""volume"",WORKDAY(TODAY(),-$F$1),TODAY()),,2)),""Breakout"","""")"),"")</f>
        <v/>
      </c>
      <c r="H1642" s="16">
        <f>IFERROR(__xludf.DUMMYFUNCTION("GOOGLEFINANCE(B1642,""price"")"),63.9)</f>
        <v>63.9</v>
      </c>
      <c r="I1642" s="17">
        <f>IFERROR(__xludf.DUMMYFUNCTION("AVERAGE(QUERY(SORT(GOOGLEFINANCE(B1642,""price"",TODAY()-365,TODAY()),1,0),""select Col2 limit 10""))"),69.27)</f>
        <v>69.27</v>
      </c>
      <c r="J1642" s="17">
        <f>IFERROR(__xludf.DUMMYFUNCTION("AVERAGE(QUERY(SORT(GOOGLEFINANCE(B1642,""price"",TODAY()-365,TODAY()),1,0),""select Col2 limit 30""))"),71.92766666666667)</f>
        <v>71.92766667</v>
      </c>
      <c r="K1642" s="18">
        <f>IFERROR(__xludf.DUMMYFUNCTION("AVERAGE(QUERY(SORT(GOOGLEFINANCE(B1642,""price"",TODAY()-365,TODAY()),1,0),""select Col2 limit 60""))"),68.02316666666665)</f>
        <v>68.02316667</v>
      </c>
      <c r="L1642" s="17">
        <f>IFERROR(__xludf.DUMMYFUNCTION("AVERAGE(QUERY(SORT(GOOGLEFINANCE(B1642,""price"",TODAY()-365,TODAY()),1,0),""select Col2 limit 90""))"),65.47833333333332)</f>
        <v>65.47833333</v>
      </c>
      <c r="M1642" s="17">
        <f>IFERROR(__xludf.DUMMYFUNCTION("AVERAGE(QUERY(SORT(GOOGLEFINANCE(B1642,""price"",TODAY()-365,TODAY()),1,0),""select Col2 limit 120""))"),65.35924999999997)</f>
        <v>65.35925</v>
      </c>
      <c r="N1642" s="19">
        <f>IFERROR(__xludf.DUMMYFUNCTION("AVERAGE(QUERY(SORT(GOOGLEFINANCE(B1642,""price"",TODAY()-365,TODAY()),1,0),""select Col2 limit 200""))"),70.61384999999997)</f>
        <v>70.61385</v>
      </c>
      <c r="O1642" s="20" t="str">
        <f t="shared" si="2"/>
        <v>Avoid</v>
      </c>
      <c r="P1642" s="21" t="str">
        <f t="shared" si="3"/>
        <v/>
      </c>
      <c r="Q1642" s="21" t="str">
        <f t="shared" si="4"/>
        <v/>
      </c>
      <c r="R1642" s="22">
        <f>IFERROR(__xludf.DUMMYFUNCTION("GOOGLEFINANCE(B1642, ""pe"")
"),17.53)</f>
        <v>17.53</v>
      </c>
    </row>
    <row r="1643">
      <c r="A1643" s="9" t="s">
        <v>1651</v>
      </c>
      <c r="B1643" s="11" t="str">
        <f t="shared" si="1"/>
        <v>NSE:ZEELEARN</v>
      </c>
      <c r="C1643" s="12">
        <f>IFERROR(__xludf.DUMMYFUNCTION("GOOGLEFINANCE(B1643,""marketcap"")/10000000"),300.8970337)</f>
        <v>300.8970337</v>
      </c>
      <c r="D1643" s="13">
        <f>IFERROR(__xludf.DUMMYFUNCTION("GOOGLEFINANCE(B1643,""price"")"),9.12)</f>
        <v>9.12</v>
      </c>
      <c r="E1643" s="14">
        <f>IFERROR(__xludf.DUMMYFUNCTION("GOOGLEFINANCE(B1643,""Volume"")"),152384.0)</f>
        <v>152384</v>
      </c>
      <c r="F1643" s="14">
        <f t="array" ref="F1643">F1642</f>
        <v>14</v>
      </c>
      <c r="G1643" s="15" t="str">
        <f>IFERROR(__xludf.DUMMYFUNCTION("IF(E1643&gt;AVERAGE(INDEX(GOOGLEFINANCE(B1643,""volume"",WORKDAY(TODAY(),-$F$1),TODAY()),,2)),""Breakout"","""")"),"")</f>
        <v/>
      </c>
      <c r="H1643" s="16">
        <f>IFERROR(__xludf.DUMMYFUNCTION("GOOGLEFINANCE(B1643,""price"")"),9.12)</f>
        <v>9.12</v>
      </c>
      <c r="I1643" s="17">
        <f>IFERROR(__xludf.DUMMYFUNCTION("AVERAGE(QUERY(SORT(GOOGLEFINANCE(B1643,""price"",TODAY()-365,TODAY()),1,0),""select Col2 limit 10""))"),9.100999999999999)</f>
        <v>9.101</v>
      </c>
      <c r="J1643" s="17">
        <f>IFERROR(__xludf.DUMMYFUNCTION("AVERAGE(QUERY(SORT(GOOGLEFINANCE(B1643,""price"",TODAY()-365,TODAY()),1,0),""select Col2 limit 30""))"),9.255666666666665)</f>
        <v>9.255666667</v>
      </c>
      <c r="K1643" s="18">
        <f>IFERROR(__xludf.DUMMYFUNCTION("AVERAGE(QUERY(SORT(GOOGLEFINANCE(B1643,""price"",TODAY()-365,TODAY()),1,0),""select Col2 limit 60""))"),8.712666666666665)</f>
        <v>8.712666667</v>
      </c>
      <c r="L1643" s="17">
        <f>IFERROR(__xludf.DUMMYFUNCTION("AVERAGE(QUERY(SORT(GOOGLEFINANCE(B1643,""price"",TODAY()-365,TODAY()),1,0),""select Col2 limit 90""))"),7.877666666666666)</f>
        <v>7.877666667</v>
      </c>
      <c r="M1643" s="17">
        <f>IFERROR(__xludf.DUMMYFUNCTION("AVERAGE(QUERY(SORT(GOOGLEFINANCE(B1643,""price"",TODAY()-365,TODAY()),1,0),""select Col2 limit 120""))"),7.6863333333333355)</f>
        <v>7.686333333</v>
      </c>
      <c r="N1643" s="19">
        <f>IFERROR(__xludf.DUMMYFUNCTION("AVERAGE(QUERY(SORT(GOOGLEFINANCE(B1643,""price"",TODAY()-365,TODAY()),1,0),""select Col2 limit 200""))"),8.130650000000005)</f>
        <v>8.13065</v>
      </c>
      <c r="O1643" s="20" t="str">
        <f t="shared" si="2"/>
        <v>Avoid</v>
      </c>
      <c r="P1643" s="21" t="str">
        <f t="shared" si="3"/>
        <v/>
      </c>
      <c r="Q1643" s="21" t="str">
        <f t="shared" si="4"/>
        <v/>
      </c>
      <c r="R1643" s="22">
        <f>IFERROR(__xludf.DUMMYFUNCTION("GOOGLEFINANCE(B1643, ""pe"")
"),23.38)</f>
        <v>23.38</v>
      </c>
    </row>
    <row r="1644">
      <c r="A1644" s="9" t="s">
        <v>1652</v>
      </c>
      <c r="B1644" s="11" t="str">
        <f t="shared" si="1"/>
        <v>NSE:STARTECK</v>
      </c>
      <c r="C1644" s="12">
        <f>IFERROR(__xludf.DUMMYFUNCTION("GOOGLEFINANCE(B1644,""marketcap"")/10000000"),306.169423)</f>
        <v>306.169423</v>
      </c>
      <c r="D1644" s="13">
        <f>IFERROR(__xludf.DUMMYFUNCTION("GOOGLEFINANCE(B1644,""price"")"),310.85)</f>
        <v>310.85</v>
      </c>
      <c r="E1644" s="14">
        <f>IFERROR(__xludf.DUMMYFUNCTION("GOOGLEFINANCE(B1644,""Volume"")"),8945.0)</f>
        <v>8945</v>
      </c>
      <c r="F1644" s="14">
        <f t="array" ref="F1644">F1643</f>
        <v>14</v>
      </c>
      <c r="G1644" s="15" t="str">
        <f>IFERROR(__xludf.DUMMYFUNCTION("IF(E1644&gt;AVERAGE(INDEX(GOOGLEFINANCE(B1644,""volume"",WORKDAY(TODAY(),-$F$1),TODAY()),,2)),""Breakout"","""")"),"")</f>
        <v/>
      </c>
      <c r="H1644" s="16">
        <f>IFERROR(__xludf.DUMMYFUNCTION("GOOGLEFINANCE(B1644,""price"")"),310.85)</f>
        <v>310.85</v>
      </c>
      <c r="I1644" s="17">
        <f>IFERROR(__xludf.DUMMYFUNCTION("AVERAGE(QUERY(SORT(GOOGLEFINANCE(B1644,""price"",TODAY()-365,TODAY()),1,0),""select Col2 limit 10""))"),306.905)</f>
        <v>306.905</v>
      </c>
      <c r="J1644" s="17">
        <f>IFERROR(__xludf.DUMMYFUNCTION("AVERAGE(QUERY(SORT(GOOGLEFINANCE(B1644,""price"",TODAY()-365,TODAY()),1,0),""select Col2 limit 30""))"),298.30833333333334)</f>
        <v>298.3083333</v>
      </c>
      <c r="K1644" s="18">
        <f>IFERROR(__xludf.DUMMYFUNCTION("AVERAGE(QUERY(SORT(GOOGLEFINANCE(B1644,""price"",TODAY()-365,TODAY()),1,0),""select Col2 limit 60""))"),296.27083333333326)</f>
        <v>296.2708333</v>
      </c>
      <c r="L1644" s="17">
        <f>IFERROR(__xludf.DUMMYFUNCTION("AVERAGE(QUERY(SORT(GOOGLEFINANCE(B1644,""price"",TODAY()-365,TODAY()),1,0),""select Col2 limit 90""))"),296.8588888888888)</f>
        <v>296.8588889</v>
      </c>
      <c r="M1644" s="17">
        <f>IFERROR(__xludf.DUMMYFUNCTION("AVERAGE(QUERY(SORT(GOOGLEFINANCE(B1644,""price"",TODAY()-365,TODAY()),1,0),""select Col2 limit 120""))"),295.81)</f>
        <v>295.81</v>
      </c>
      <c r="N1644" s="19">
        <f>IFERROR(__xludf.DUMMYFUNCTION("AVERAGE(QUERY(SORT(GOOGLEFINANCE(B1644,""price"",TODAY()-365,TODAY()),1,0),""select Col2 limit 200""))"),291.1899999999999)</f>
        <v>291.19</v>
      </c>
      <c r="O1644" s="20" t="str">
        <f t="shared" si="2"/>
        <v>Avoid</v>
      </c>
      <c r="P1644" s="21" t="str">
        <f t="shared" si="3"/>
        <v/>
      </c>
      <c r="Q1644" s="21" t="str">
        <f t="shared" si="4"/>
        <v/>
      </c>
      <c r="R1644" s="22">
        <f>IFERROR(__xludf.DUMMYFUNCTION("GOOGLEFINANCE(B1644, ""pe"")
"),29.55)</f>
        <v>29.55</v>
      </c>
    </row>
    <row r="1645">
      <c r="A1645" s="9" t="s">
        <v>1653</v>
      </c>
      <c r="B1645" s="11" t="str">
        <f t="shared" si="1"/>
        <v>NSE:TREJHARA</v>
      </c>
      <c r="C1645" s="12">
        <f>IFERROR(__xludf.DUMMYFUNCTION("GOOGLEFINANCE(B1645,""marketcap"")/10000000"),322.5955064)</f>
        <v>322.5955064</v>
      </c>
      <c r="D1645" s="13">
        <f>IFERROR(__xludf.DUMMYFUNCTION("GOOGLEFINANCE(B1645,""price"")"),222.23)</f>
        <v>222.23</v>
      </c>
      <c r="E1645" s="14">
        <f>IFERROR(__xludf.DUMMYFUNCTION("GOOGLEFINANCE(B1645,""Volume"")"),2500.0)</f>
        <v>2500</v>
      </c>
      <c r="F1645" s="14">
        <f t="array" ref="F1645">F1644</f>
        <v>14</v>
      </c>
      <c r="G1645" s="15" t="str">
        <f>IFERROR(__xludf.DUMMYFUNCTION("IF(E1645&gt;AVERAGE(INDEX(GOOGLEFINANCE(B1645,""volume"",WORKDAY(TODAY(),-$F$1),TODAY()),,2)),""Breakout"","""")"),"")</f>
        <v/>
      </c>
      <c r="H1645" s="16">
        <f>IFERROR(__xludf.DUMMYFUNCTION("GOOGLEFINANCE(B1645,""price"")"),222.23)</f>
        <v>222.23</v>
      </c>
      <c r="I1645" s="17">
        <f>IFERROR(__xludf.DUMMYFUNCTION("AVERAGE(QUERY(SORT(GOOGLEFINANCE(B1645,""price"",TODAY()-365,TODAY()),1,0),""select Col2 limit 10""))"),231.35300000000007)</f>
        <v>231.353</v>
      </c>
      <c r="J1645" s="17">
        <f>IFERROR(__xludf.DUMMYFUNCTION("AVERAGE(QUERY(SORT(GOOGLEFINANCE(B1645,""price"",TODAY()-365,TODAY()),1,0),""select Col2 limit 30""))"),234.5503333333334)</f>
        <v>234.5503333</v>
      </c>
      <c r="K1645" s="18">
        <f>IFERROR(__xludf.DUMMYFUNCTION("AVERAGE(QUERY(SORT(GOOGLEFINANCE(B1645,""price"",TODAY()-365,TODAY()),1,0),""select Col2 limit 60""))"),240.12883333333335)</f>
        <v>240.1288333</v>
      </c>
      <c r="L1645" s="17">
        <f>IFERROR(__xludf.DUMMYFUNCTION("AVERAGE(QUERY(SORT(GOOGLEFINANCE(B1645,""price"",TODAY()-365,TODAY()),1,0),""select Col2 limit 90""))"),231.08933333333334)</f>
        <v>231.0893333</v>
      </c>
      <c r="M1645" s="17">
        <f>IFERROR(__xludf.DUMMYFUNCTION("AVERAGE(QUERY(SORT(GOOGLEFINANCE(B1645,""price"",TODAY()-365,TODAY()),1,0),""select Col2 limit 120""))"),222.08475000000004)</f>
        <v>222.08475</v>
      </c>
      <c r="N1645" s="19">
        <f>IFERROR(__xludf.DUMMYFUNCTION("AVERAGE(QUERY(SORT(GOOGLEFINANCE(B1645,""price"",TODAY()-365,TODAY()),1,0),""select Col2 limit 200""))"),234.2017999999999)</f>
        <v>234.2018</v>
      </c>
      <c r="O1645" s="20" t="str">
        <f t="shared" si="2"/>
        <v>Avoid</v>
      </c>
      <c r="P1645" s="21" t="str">
        <f t="shared" si="3"/>
        <v/>
      </c>
      <c r="Q1645" s="21" t="str">
        <f t="shared" si="4"/>
        <v/>
      </c>
      <c r="R1645" s="22">
        <f>IFERROR(__xludf.DUMMYFUNCTION("GOOGLEFINANCE(B1645, ""pe"")
"),97.9)</f>
        <v>97.9</v>
      </c>
    </row>
    <row r="1646">
      <c r="A1646" s="9" t="s">
        <v>1654</v>
      </c>
      <c r="B1646" s="11" t="str">
        <f t="shared" si="1"/>
        <v>NSE:AARON</v>
      </c>
      <c r="C1646" s="12">
        <f>IFERROR(__xludf.DUMMYFUNCTION("GOOGLEFINANCE(B1646,""marketcap"")/10000000"),485.8531333)</f>
        <v>485.8531333</v>
      </c>
      <c r="D1646" s="13">
        <f>IFERROR(__xludf.DUMMYFUNCTION("GOOGLEFINANCE(B1646,""price"")"),463.9)</f>
        <v>463.9</v>
      </c>
      <c r="E1646" s="14">
        <f>IFERROR(__xludf.DUMMYFUNCTION("GOOGLEFINANCE(B1646,""Volume"")"),76238.0)</f>
        <v>76238</v>
      </c>
      <c r="F1646" s="14">
        <f t="array" ref="F1646">F1645</f>
        <v>14</v>
      </c>
      <c r="G1646" s="15" t="str">
        <f>IFERROR(__xludf.DUMMYFUNCTION("IF(E1646&gt;AVERAGE(INDEX(GOOGLEFINANCE(B1646,""volume"",WORKDAY(TODAY(),-$F$1),TODAY()),,2)),""Breakout"","""")"),"")</f>
        <v/>
      </c>
      <c r="H1646" s="16">
        <f>IFERROR(__xludf.DUMMYFUNCTION("GOOGLEFINANCE(B1646,""price"")"),463.9)</f>
        <v>463.9</v>
      </c>
      <c r="I1646" s="17">
        <f>IFERROR(__xludf.DUMMYFUNCTION("AVERAGE(QUERY(SORT(GOOGLEFINANCE(B1646,""price"",TODAY()-365,TODAY()),1,0),""select Col2 limit 10""))"),397.6)</f>
        <v>397.6</v>
      </c>
      <c r="J1646" s="17">
        <f>IFERROR(__xludf.DUMMYFUNCTION("AVERAGE(QUERY(SORT(GOOGLEFINANCE(B1646,""price"",TODAY()-365,TODAY()),1,0),""select Col2 limit 30""))"),385.2283333333333)</f>
        <v>385.2283333</v>
      </c>
      <c r="K1646" s="18">
        <f>IFERROR(__xludf.DUMMYFUNCTION("AVERAGE(QUERY(SORT(GOOGLEFINANCE(B1646,""price"",TODAY()-365,TODAY()),1,0),""select Col2 limit 60""))"),383.28583333333336)</f>
        <v>383.2858333</v>
      </c>
      <c r="L1646" s="17">
        <f>IFERROR(__xludf.DUMMYFUNCTION("AVERAGE(QUERY(SORT(GOOGLEFINANCE(B1646,""price"",TODAY()-365,TODAY()),1,0),""select Col2 limit 90""))"),370.58833333333337)</f>
        <v>370.5883333</v>
      </c>
      <c r="M1646" s="17">
        <f>IFERROR(__xludf.DUMMYFUNCTION("AVERAGE(QUERY(SORT(GOOGLEFINANCE(B1646,""price"",TODAY()-365,TODAY()),1,0),""select Col2 limit 120""))"),364.49666666666684)</f>
        <v>364.4966667</v>
      </c>
      <c r="N1646" s="19">
        <f>IFERROR(__xludf.DUMMYFUNCTION("AVERAGE(QUERY(SORT(GOOGLEFINANCE(B1646,""price"",TODAY()-365,TODAY()),1,0),""select Col2 limit 200""))"),347.12400000000014)</f>
        <v>347.124</v>
      </c>
      <c r="O1646" s="20" t="str">
        <f t="shared" si="2"/>
        <v>Avoid</v>
      </c>
      <c r="P1646" s="21" t="str">
        <f t="shared" si="3"/>
        <v/>
      </c>
      <c r="Q1646" s="21" t="str">
        <f t="shared" si="4"/>
        <v/>
      </c>
      <c r="R1646" s="22">
        <f>IFERROR(__xludf.DUMMYFUNCTION("GOOGLEFINANCE(B1646, ""pe"")
"),59.03)</f>
        <v>59.03</v>
      </c>
    </row>
    <row r="1647">
      <c r="A1647" s="9" t="s">
        <v>1655</v>
      </c>
      <c r="B1647" s="11" t="str">
        <f t="shared" si="1"/>
        <v>NSE:RVHL</v>
      </c>
      <c r="C1647" s="12">
        <f>IFERROR(__xludf.DUMMYFUNCTION("GOOGLEFINANCE(B1647,""marketcap"")/10000000"),268.5454648)</f>
        <v>268.5454648</v>
      </c>
      <c r="D1647" s="13">
        <f>IFERROR(__xludf.DUMMYFUNCTION("GOOGLEFINANCE(B1647,""price"")"),43.76)</f>
        <v>43.76</v>
      </c>
      <c r="E1647" s="14">
        <f>IFERROR(__xludf.DUMMYFUNCTION("GOOGLEFINANCE(B1647,""Volume"")"),4597.0)</f>
        <v>4597</v>
      </c>
      <c r="F1647" s="14">
        <f t="array" ref="F1647">F1646</f>
        <v>14</v>
      </c>
      <c r="G1647" s="15" t="str">
        <f>IFERROR(__xludf.DUMMYFUNCTION("IF(E1647&gt;AVERAGE(INDEX(GOOGLEFINANCE(B1647,""volume"",WORKDAY(TODAY(),-$F$1),TODAY()),,2)),""Breakout"","""")"),"")</f>
        <v/>
      </c>
      <c r="H1647" s="16">
        <f>IFERROR(__xludf.DUMMYFUNCTION("GOOGLEFINANCE(B1647,""price"")"),43.76)</f>
        <v>43.76</v>
      </c>
      <c r="I1647" s="17" t="str">
        <f>IFERROR(__xludf.DUMMYFUNCTION("AVERAGE(QUERY(SORT(GOOGLEFINANCE(B1647,""price"",TODAY()-365,TODAY()),1,0),""select Col2 limit 10""))"),"#N/A")</f>
        <v>#N/A</v>
      </c>
      <c r="J1647" s="17" t="str">
        <f>IFERROR(__xludf.DUMMYFUNCTION("AVERAGE(QUERY(SORT(GOOGLEFINANCE(B1647,""price"",TODAY()-365,TODAY()),1,0),""select Col2 limit 30""))"),"#N/A")</f>
        <v>#N/A</v>
      </c>
      <c r="K1647" s="18" t="str">
        <f>IFERROR(__xludf.DUMMYFUNCTION("AVERAGE(QUERY(SORT(GOOGLEFINANCE(B1647,""price"",TODAY()-365,TODAY()),1,0),""select Col2 limit 60""))"),"#N/A")</f>
        <v>#N/A</v>
      </c>
      <c r="L1647" s="17" t="str">
        <f>IFERROR(__xludf.DUMMYFUNCTION("AVERAGE(QUERY(SORT(GOOGLEFINANCE(B1647,""price"",TODAY()-365,TODAY()),1,0),""select Col2 limit 90""))"),"#N/A")</f>
        <v>#N/A</v>
      </c>
      <c r="M1647" s="17" t="str">
        <f>IFERROR(__xludf.DUMMYFUNCTION("AVERAGE(QUERY(SORT(GOOGLEFINANCE(B1647,""price"",TODAY()-365,TODAY()),1,0),""select Col2 limit 120""))"),"#N/A")</f>
        <v>#N/A</v>
      </c>
      <c r="N1647" s="19" t="str">
        <f>IFERROR(__xludf.DUMMYFUNCTION("AVERAGE(QUERY(SORT(GOOGLEFINANCE(B1647,""price"",TODAY()-365,TODAY()),1,0),""select Col2 limit 200""))"),"#N/A")</f>
        <v>#N/A</v>
      </c>
      <c r="O1647" s="20" t="str">
        <f t="shared" si="2"/>
        <v>#N/A</v>
      </c>
      <c r="P1647" s="21" t="str">
        <f t="shared" si="3"/>
        <v>#N/A</v>
      </c>
      <c r="Q1647" s="21" t="str">
        <f t="shared" si="4"/>
        <v>#N/A</v>
      </c>
      <c r="R1647" s="22" t="str">
        <f>IFERROR(__xludf.DUMMYFUNCTION("GOOGLEFINANCE(B1647, ""pe"")
"),"#N/A")</f>
        <v>#N/A</v>
      </c>
    </row>
    <row r="1648">
      <c r="A1648" s="9" t="s">
        <v>1656</v>
      </c>
      <c r="B1648" s="11" t="str">
        <f t="shared" si="1"/>
        <v>NSE:LGBFORGE</v>
      </c>
      <c r="C1648" s="12" t="str">
        <f>IFERROR(__xludf.DUMMYFUNCTION("GOOGLEFINANCE(B1648,""marketcap"")/10000000"),"#N/A")</f>
        <v>#N/A</v>
      </c>
      <c r="D1648" s="13" t="str">
        <f>IFERROR(__xludf.DUMMYFUNCTION("GOOGLEFINANCE(B1648,""price"")"),"#N/A")</f>
        <v>#N/A</v>
      </c>
      <c r="E1648" s="14" t="str">
        <f>IFERROR(__xludf.DUMMYFUNCTION("GOOGLEFINANCE(B1648,""Volume"")"),"#N/A")</f>
        <v>#N/A</v>
      </c>
      <c r="F1648" s="14">
        <f t="array" ref="F1648">F1647</f>
        <v>14</v>
      </c>
      <c r="G1648" s="15" t="str">
        <f>IFERROR(__xludf.DUMMYFUNCTION("IF(E1648&gt;AVERAGE(INDEX(GOOGLEFINANCE(B1648,""volume"",WORKDAY(TODAY(),-$F$1),TODAY()),,2)),""Breakout"","""")"),"#N/A")</f>
        <v>#N/A</v>
      </c>
      <c r="H1648" s="16" t="str">
        <f>IFERROR(__xludf.DUMMYFUNCTION("GOOGLEFINANCE(B1648,""price"")"),"#N/A")</f>
        <v>#N/A</v>
      </c>
      <c r="I1648" s="17" t="str">
        <f>IFERROR(__xludf.DUMMYFUNCTION("AVERAGE(QUERY(SORT(GOOGLEFINANCE(B1648,""price"",TODAY()-365,TODAY()),1,0),""select Col2 limit 10""))"),"#N/A")</f>
        <v>#N/A</v>
      </c>
      <c r="J1648" s="17" t="str">
        <f>IFERROR(__xludf.DUMMYFUNCTION("AVERAGE(QUERY(SORT(GOOGLEFINANCE(B1648,""price"",TODAY()-365,TODAY()),1,0),""select Col2 limit 30""))"),"#N/A")</f>
        <v>#N/A</v>
      </c>
      <c r="K1648" s="18" t="str">
        <f>IFERROR(__xludf.DUMMYFUNCTION("AVERAGE(QUERY(SORT(GOOGLEFINANCE(B1648,""price"",TODAY()-365,TODAY()),1,0),""select Col2 limit 60""))"),"#N/A")</f>
        <v>#N/A</v>
      </c>
      <c r="L1648" s="17" t="str">
        <f>IFERROR(__xludf.DUMMYFUNCTION("AVERAGE(QUERY(SORT(GOOGLEFINANCE(B1648,""price"",TODAY()-365,TODAY()),1,0),""select Col2 limit 90""))"),"#N/A")</f>
        <v>#N/A</v>
      </c>
      <c r="M1648" s="17" t="str">
        <f>IFERROR(__xludf.DUMMYFUNCTION("AVERAGE(QUERY(SORT(GOOGLEFINANCE(B1648,""price"",TODAY()-365,TODAY()),1,0),""select Col2 limit 120""))"),"#N/A")</f>
        <v>#N/A</v>
      </c>
      <c r="N1648" s="19" t="str">
        <f>IFERROR(__xludf.DUMMYFUNCTION("AVERAGE(QUERY(SORT(GOOGLEFINANCE(B1648,""price"",TODAY()-365,TODAY()),1,0),""select Col2 limit 200""))"),"#N/A")</f>
        <v>#N/A</v>
      </c>
      <c r="O1648" s="20" t="str">
        <f t="shared" si="2"/>
        <v>#N/A</v>
      </c>
      <c r="P1648" s="21" t="str">
        <f t="shared" si="3"/>
        <v>#N/A</v>
      </c>
      <c r="Q1648" s="21" t="str">
        <f t="shared" si="4"/>
        <v>#N/A</v>
      </c>
      <c r="R1648" s="22" t="str">
        <f>IFERROR(__xludf.DUMMYFUNCTION("GOOGLEFINANCE(B1648, ""pe"")
"),"#N/A")</f>
        <v>#N/A</v>
      </c>
    </row>
    <row r="1649">
      <c r="A1649" s="9" t="s">
        <v>1657</v>
      </c>
      <c r="B1649" s="11" t="str">
        <f t="shared" si="1"/>
        <v>NSE:HINDCON</v>
      </c>
      <c r="C1649" s="12">
        <f>IFERROR(__xludf.DUMMYFUNCTION("GOOGLEFINANCE(B1649,""marketcap"")/10000000"),175.1742736)</f>
        <v>175.1742736</v>
      </c>
      <c r="D1649" s="13">
        <f>IFERROR(__xludf.DUMMYFUNCTION("GOOGLEFINANCE(B1649,""price"")"),34.22)</f>
        <v>34.22</v>
      </c>
      <c r="E1649" s="14">
        <f>IFERROR(__xludf.DUMMYFUNCTION("GOOGLEFINANCE(B1649,""Volume"")"),14791.0)</f>
        <v>14791</v>
      </c>
      <c r="F1649" s="14">
        <f t="array" ref="F1649">F1648</f>
        <v>14</v>
      </c>
      <c r="G1649" s="15" t="str">
        <f>IFERROR(__xludf.DUMMYFUNCTION("IF(E1649&gt;AVERAGE(INDEX(GOOGLEFINANCE(B1649,""volume"",WORKDAY(TODAY(),-$F$1),TODAY()),,2)),""Breakout"","""")"),"")</f>
        <v/>
      </c>
      <c r="H1649" s="16">
        <f>IFERROR(__xludf.DUMMYFUNCTION("GOOGLEFINANCE(B1649,""price"")"),34.22)</f>
        <v>34.22</v>
      </c>
      <c r="I1649" s="17">
        <f>IFERROR(__xludf.DUMMYFUNCTION("AVERAGE(QUERY(SORT(GOOGLEFINANCE(B1649,""price"",TODAY()-365,TODAY()),1,0),""select Col2 limit 10""))"),35.339999999999996)</f>
        <v>35.34</v>
      </c>
      <c r="J1649" s="17">
        <f>IFERROR(__xludf.DUMMYFUNCTION("AVERAGE(QUERY(SORT(GOOGLEFINANCE(B1649,""price"",TODAY()-365,TODAY()),1,0),""select Col2 limit 30""))"),35.47233333333334)</f>
        <v>35.47233333</v>
      </c>
      <c r="K1649" s="18">
        <f>IFERROR(__xludf.DUMMYFUNCTION("AVERAGE(QUERY(SORT(GOOGLEFINANCE(B1649,""price"",TODAY()-365,TODAY()),1,0),""select Col2 limit 60""))"),35.65833333333334)</f>
        <v>35.65833333</v>
      </c>
      <c r="L1649" s="17">
        <f>IFERROR(__xludf.DUMMYFUNCTION("AVERAGE(QUERY(SORT(GOOGLEFINANCE(B1649,""price"",TODAY()-365,TODAY()),1,0),""select Col2 limit 90""))"),35.048444444444435)</f>
        <v>35.04844444</v>
      </c>
      <c r="M1649" s="17">
        <f>IFERROR(__xludf.DUMMYFUNCTION("AVERAGE(QUERY(SORT(GOOGLEFINANCE(B1649,""price"",TODAY()-365,TODAY()),1,0),""select Col2 limit 120""))"),35.80025)</f>
        <v>35.80025</v>
      </c>
      <c r="N1649" s="19">
        <f>IFERROR(__xludf.DUMMYFUNCTION("AVERAGE(QUERY(SORT(GOOGLEFINANCE(B1649,""price"",TODAY()-365,TODAY()),1,0),""select Col2 limit 200""))"),39.67965)</f>
        <v>39.67965</v>
      </c>
      <c r="O1649" s="20" t="str">
        <f t="shared" si="2"/>
        <v>Avoid</v>
      </c>
      <c r="P1649" s="21" t="str">
        <f t="shared" si="3"/>
        <v/>
      </c>
      <c r="Q1649" s="21" t="str">
        <f t="shared" si="4"/>
        <v/>
      </c>
      <c r="R1649" s="22">
        <f>IFERROR(__xludf.DUMMYFUNCTION("GOOGLEFINANCE(B1649, ""pe"")
"),34.22)</f>
        <v>34.22</v>
      </c>
    </row>
    <row r="1650">
      <c r="A1650" s="9" t="s">
        <v>1658</v>
      </c>
      <c r="B1650" s="11" t="str">
        <f t="shared" si="1"/>
        <v>NSE:LOYALTEX</v>
      </c>
      <c r="C1650" s="12">
        <f>IFERROR(__xludf.DUMMYFUNCTION("GOOGLEFINANCE(B1650,""marketcap"")/10000000"),168.5514636)</f>
        <v>168.5514636</v>
      </c>
      <c r="D1650" s="13">
        <f>IFERROR(__xludf.DUMMYFUNCTION("GOOGLEFINANCE(B1650,""price"")"),349.95)</f>
        <v>349.95</v>
      </c>
      <c r="E1650" s="14">
        <f>IFERROR(__xludf.DUMMYFUNCTION("GOOGLEFINANCE(B1650,""Volume"")"),138.0)</f>
        <v>138</v>
      </c>
      <c r="F1650" s="14">
        <f t="array" ref="F1650">F1649</f>
        <v>14</v>
      </c>
      <c r="G1650" s="15" t="str">
        <f>IFERROR(__xludf.DUMMYFUNCTION("IF(E1650&gt;AVERAGE(INDEX(GOOGLEFINANCE(B1650,""volume"",WORKDAY(TODAY(),-$F$1),TODAY()),,2)),""Breakout"","""")"),"")</f>
        <v/>
      </c>
      <c r="H1650" s="16">
        <f>IFERROR(__xludf.DUMMYFUNCTION("GOOGLEFINANCE(B1650,""price"")"),349.95)</f>
        <v>349.95</v>
      </c>
      <c r="I1650" s="17">
        <f>IFERROR(__xludf.DUMMYFUNCTION("AVERAGE(QUERY(SORT(GOOGLEFINANCE(B1650,""price"",TODAY()-365,TODAY()),1,0),""select Col2 limit 10""))"),349.68500000000006)</f>
        <v>349.685</v>
      </c>
      <c r="J1650" s="17">
        <f>IFERROR(__xludf.DUMMYFUNCTION("AVERAGE(QUERY(SORT(GOOGLEFINANCE(B1650,""price"",TODAY()-365,TODAY()),1,0),""select Col2 limit 30""))"),313.0833333333333)</f>
        <v>313.0833333</v>
      </c>
      <c r="K1650" s="18">
        <f>IFERROR(__xludf.DUMMYFUNCTION("AVERAGE(QUERY(SORT(GOOGLEFINANCE(B1650,""price"",TODAY()-365,TODAY()),1,0),""select Col2 limit 60""))"),301.11083333333335)</f>
        <v>301.1108333</v>
      </c>
      <c r="L1650" s="17">
        <f>IFERROR(__xludf.DUMMYFUNCTION("AVERAGE(QUERY(SORT(GOOGLEFINANCE(B1650,""price"",TODAY()-365,TODAY()),1,0),""select Col2 limit 90""))"),285.7445555555555)</f>
        <v>285.7445556</v>
      </c>
      <c r="M1650" s="17">
        <f>IFERROR(__xludf.DUMMYFUNCTION("AVERAGE(QUERY(SORT(GOOGLEFINANCE(B1650,""price"",TODAY()-365,TODAY()),1,0),""select Col2 limit 120""))"),277.3381666666666)</f>
        <v>277.3381667</v>
      </c>
      <c r="N1650" s="19">
        <f>IFERROR(__xludf.DUMMYFUNCTION("AVERAGE(QUERY(SORT(GOOGLEFINANCE(B1650,""price"",TODAY()-365,TODAY()),1,0),""select Col2 limit 200""))"),326.1311500000001)</f>
        <v>326.13115</v>
      </c>
      <c r="O1650" s="20" t="str">
        <f t="shared" si="2"/>
        <v>Avoid</v>
      </c>
      <c r="P1650" s="21" t="str">
        <f t="shared" si="3"/>
        <v/>
      </c>
      <c r="Q1650" s="21" t="str">
        <f t="shared" si="4"/>
        <v/>
      </c>
      <c r="R1650" s="22" t="str">
        <f>IFERROR(__xludf.DUMMYFUNCTION("GOOGLEFINANCE(B1650, ""pe"")
"),"#N/A")</f>
        <v>#N/A</v>
      </c>
    </row>
    <row r="1651">
      <c r="A1651" s="9" t="s">
        <v>1659</v>
      </c>
      <c r="B1651" s="11" t="str">
        <f t="shared" si="1"/>
        <v>NSE:NURECA</v>
      </c>
      <c r="C1651" s="12">
        <f>IFERROR(__xludf.DUMMYFUNCTION("GOOGLEFINANCE(B1651,""marketcap"")/10000000"),242.3041221)</f>
        <v>242.3041221</v>
      </c>
      <c r="D1651" s="13">
        <f>IFERROR(__xludf.DUMMYFUNCTION("GOOGLEFINANCE(B1651,""price"")"),242.05)</f>
        <v>242.05</v>
      </c>
      <c r="E1651" s="14">
        <f>IFERROR(__xludf.DUMMYFUNCTION("GOOGLEFINANCE(B1651,""Volume"")"),4762.0)</f>
        <v>4762</v>
      </c>
      <c r="F1651" s="14">
        <f t="array" ref="F1651">F1650</f>
        <v>14</v>
      </c>
      <c r="G1651" s="15" t="str">
        <f>IFERROR(__xludf.DUMMYFUNCTION("IF(E1651&gt;AVERAGE(INDEX(GOOGLEFINANCE(B1651,""volume"",WORKDAY(TODAY(),-$F$1),TODAY()),,2)),""Breakout"","""")"),"")</f>
        <v/>
      </c>
      <c r="H1651" s="16">
        <f>IFERROR(__xludf.DUMMYFUNCTION("GOOGLEFINANCE(B1651,""price"")"),242.05)</f>
        <v>242.05</v>
      </c>
      <c r="I1651" s="17">
        <f>IFERROR(__xludf.DUMMYFUNCTION("AVERAGE(QUERY(SORT(GOOGLEFINANCE(B1651,""price"",TODAY()-365,TODAY()),1,0),""select Col2 limit 10""))"),261.105)</f>
        <v>261.105</v>
      </c>
      <c r="J1651" s="17">
        <f>IFERROR(__xludf.DUMMYFUNCTION("AVERAGE(QUERY(SORT(GOOGLEFINANCE(B1651,""price"",TODAY()-365,TODAY()),1,0),""select Col2 limit 30""))"),274.4383333333334)</f>
        <v>274.4383333</v>
      </c>
      <c r="K1651" s="18">
        <f>IFERROR(__xludf.DUMMYFUNCTION("AVERAGE(QUERY(SORT(GOOGLEFINANCE(B1651,""price"",TODAY()-365,TODAY()),1,0),""select Col2 limit 60""))"),266.137)</f>
        <v>266.137</v>
      </c>
      <c r="L1651" s="17">
        <f>IFERROR(__xludf.DUMMYFUNCTION("AVERAGE(QUERY(SORT(GOOGLEFINANCE(B1651,""price"",TODAY()-365,TODAY()),1,0),""select Col2 limit 90""))"),253.32800000000003)</f>
        <v>253.328</v>
      </c>
      <c r="M1651" s="17">
        <f>IFERROR(__xludf.DUMMYFUNCTION("AVERAGE(QUERY(SORT(GOOGLEFINANCE(B1651,""price"",TODAY()-365,TODAY()),1,0),""select Col2 limit 120""))"),255.88341666666673)</f>
        <v>255.8834167</v>
      </c>
      <c r="N1651" s="19">
        <f>IFERROR(__xludf.DUMMYFUNCTION("AVERAGE(QUERY(SORT(GOOGLEFINANCE(B1651,""price"",TODAY()-365,TODAY()),1,0),""select Col2 limit 200""))"),275.4590500000001)</f>
        <v>275.45905</v>
      </c>
      <c r="O1651" s="20" t="str">
        <f t="shared" si="2"/>
        <v>Avoid</v>
      </c>
      <c r="P1651" s="21" t="str">
        <f t="shared" si="3"/>
        <v/>
      </c>
      <c r="Q1651" s="21" t="str">
        <f t="shared" si="4"/>
        <v/>
      </c>
      <c r="R1651" s="22">
        <f>IFERROR(__xludf.DUMMYFUNCTION("GOOGLEFINANCE(B1651, ""pe"")
"),173000.0)</f>
        <v>173000</v>
      </c>
    </row>
    <row r="1652">
      <c r="A1652" s="9" t="s">
        <v>1660</v>
      </c>
      <c r="B1652" s="11" t="str">
        <f t="shared" si="1"/>
        <v>NSE:VETO</v>
      </c>
      <c r="C1652" s="12">
        <f>IFERROR(__xludf.DUMMYFUNCTION("GOOGLEFINANCE(B1652,""marketcap"")/10000000"),242.0143831)</f>
        <v>242.0143831</v>
      </c>
      <c r="D1652" s="13">
        <f>IFERROR(__xludf.DUMMYFUNCTION("GOOGLEFINANCE(B1652,""price"")"),126.61)</f>
        <v>126.61</v>
      </c>
      <c r="E1652" s="14">
        <f>IFERROR(__xludf.DUMMYFUNCTION("GOOGLEFINANCE(B1652,""Volume"")"),60455.0)</f>
        <v>60455</v>
      </c>
      <c r="F1652" s="14">
        <f t="array" ref="F1652">F1651</f>
        <v>14</v>
      </c>
      <c r="G1652" s="15" t="str">
        <f>IFERROR(__xludf.DUMMYFUNCTION("IF(E1652&gt;AVERAGE(INDEX(GOOGLEFINANCE(B1652,""volume"",WORKDAY(TODAY(),-$F$1),TODAY()),,2)),""Breakout"","""")"),"Breakout")</f>
        <v>Breakout</v>
      </c>
      <c r="H1652" s="16">
        <f>IFERROR(__xludf.DUMMYFUNCTION("GOOGLEFINANCE(B1652,""price"")"),126.61)</f>
        <v>126.61</v>
      </c>
      <c r="I1652" s="17" t="str">
        <f>IFERROR(__xludf.DUMMYFUNCTION("AVERAGE(QUERY(SORT(GOOGLEFINANCE(B1652,""price"",TODAY()-365,TODAY()),1,0),""select Col2 limit 10""))"),"#N/A")</f>
        <v>#N/A</v>
      </c>
      <c r="J1652" s="17" t="str">
        <f>IFERROR(__xludf.DUMMYFUNCTION("AVERAGE(QUERY(SORT(GOOGLEFINANCE(B1652,""price"",TODAY()-365,TODAY()),1,0),""select Col2 limit 30""))"),"#N/A")</f>
        <v>#N/A</v>
      </c>
      <c r="K1652" s="18" t="str">
        <f>IFERROR(__xludf.DUMMYFUNCTION("AVERAGE(QUERY(SORT(GOOGLEFINANCE(B1652,""price"",TODAY()-365,TODAY()),1,0),""select Col2 limit 60""))"),"#N/A")</f>
        <v>#N/A</v>
      </c>
      <c r="L1652" s="17" t="str">
        <f>IFERROR(__xludf.DUMMYFUNCTION("AVERAGE(QUERY(SORT(GOOGLEFINANCE(B1652,""price"",TODAY()-365,TODAY()),1,0),""select Col2 limit 90""))"),"#N/A")</f>
        <v>#N/A</v>
      </c>
      <c r="M1652" s="17" t="str">
        <f>IFERROR(__xludf.DUMMYFUNCTION("AVERAGE(QUERY(SORT(GOOGLEFINANCE(B1652,""price"",TODAY()-365,TODAY()),1,0),""select Col2 limit 120""))"),"#N/A")</f>
        <v>#N/A</v>
      </c>
      <c r="N1652" s="19" t="str">
        <f>IFERROR(__xludf.DUMMYFUNCTION("AVERAGE(QUERY(SORT(GOOGLEFINANCE(B1652,""price"",TODAY()-365,TODAY()),1,0),""select Col2 limit 200""))"),"#N/A")</f>
        <v>#N/A</v>
      </c>
      <c r="O1652" s="20" t="str">
        <f t="shared" si="2"/>
        <v>#N/A</v>
      </c>
      <c r="P1652" s="21" t="str">
        <f t="shared" si="3"/>
        <v>#N/A</v>
      </c>
      <c r="Q1652" s="21" t="str">
        <f t="shared" si="4"/>
        <v>#N/A</v>
      </c>
      <c r="R1652" s="22">
        <f>IFERROR(__xludf.DUMMYFUNCTION("GOOGLEFINANCE(B1652, ""pe"")
"),11.1)</f>
        <v>11.1</v>
      </c>
    </row>
    <row r="1653">
      <c r="A1653" s="9" t="s">
        <v>1661</v>
      </c>
      <c r="B1653" s="11" t="str">
        <f t="shared" si="1"/>
        <v>NSE:LAGNAM</v>
      </c>
      <c r="C1653" s="12">
        <f>IFERROR(__xludf.DUMMYFUNCTION("GOOGLEFINANCE(B1653,""marketcap"")/10000000"),181.6617577)</f>
        <v>181.6617577</v>
      </c>
      <c r="D1653" s="13">
        <f>IFERROR(__xludf.DUMMYFUNCTION("GOOGLEFINANCE(B1653,""price"")"),102.45)</f>
        <v>102.45</v>
      </c>
      <c r="E1653" s="14">
        <f>IFERROR(__xludf.DUMMYFUNCTION("GOOGLEFINANCE(B1653,""Volume"")"),2528.0)</f>
        <v>2528</v>
      </c>
      <c r="F1653" s="14">
        <f t="array" ref="F1653">F1652</f>
        <v>14</v>
      </c>
      <c r="G1653" s="15" t="str">
        <f>IFERROR(__xludf.DUMMYFUNCTION("IF(E1653&gt;AVERAGE(INDEX(GOOGLEFINANCE(B1653,""volume"",WORKDAY(TODAY(),-$F$1),TODAY()),,2)),""Breakout"","""")"),"")</f>
        <v/>
      </c>
      <c r="H1653" s="16">
        <f>IFERROR(__xludf.DUMMYFUNCTION("GOOGLEFINANCE(B1653,""price"")"),102.45)</f>
        <v>102.45</v>
      </c>
      <c r="I1653" s="17">
        <f>IFERROR(__xludf.DUMMYFUNCTION("AVERAGE(QUERY(SORT(GOOGLEFINANCE(B1653,""price"",TODAY()-365,TODAY()),1,0),""select Col2 limit 10""))"),103.10799999999999)</f>
        <v>103.108</v>
      </c>
      <c r="J1653" s="17">
        <f>IFERROR(__xludf.DUMMYFUNCTION("AVERAGE(QUERY(SORT(GOOGLEFINANCE(B1653,""price"",TODAY()-365,TODAY()),1,0),""select Col2 limit 30""))"),103.60466666666667)</f>
        <v>103.6046667</v>
      </c>
      <c r="K1653" s="18">
        <f>IFERROR(__xludf.DUMMYFUNCTION("AVERAGE(QUERY(SORT(GOOGLEFINANCE(B1653,""price"",TODAY()-365,TODAY()),1,0),""select Col2 limit 60""))"),107.70133333333335)</f>
        <v>107.7013333</v>
      </c>
      <c r="L1653" s="17">
        <f>IFERROR(__xludf.DUMMYFUNCTION("AVERAGE(QUERY(SORT(GOOGLEFINANCE(B1653,""price"",TODAY()-365,TODAY()),1,0),""select Col2 limit 90""))"),107.74344444444445)</f>
        <v>107.7434444</v>
      </c>
      <c r="M1653" s="17">
        <f>IFERROR(__xludf.DUMMYFUNCTION("AVERAGE(QUERY(SORT(GOOGLEFINANCE(B1653,""price"",TODAY()-365,TODAY()),1,0),""select Col2 limit 120""))"),107.77175000000001)</f>
        <v>107.77175</v>
      </c>
      <c r="N1653" s="19">
        <f>IFERROR(__xludf.DUMMYFUNCTION("AVERAGE(QUERY(SORT(GOOGLEFINANCE(B1653,""price"",TODAY()-365,TODAY()),1,0),""select Col2 limit 200""))"),111.29109999999996)</f>
        <v>111.2911</v>
      </c>
      <c r="O1653" s="20" t="str">
        <f t="shared" si="2"/>
        <v>Avoid</v>
      </c>
      <c r="P1653" s="21" t="str">
        <f t="shared" si="3"/>
        <v>10 DMA</v>
      </c>
      <c r="Q1653" s="21" t="str">
        <f t="shared" si="4"/>
        <v>10 DMA cross best</v>
      </c>
      <c r="R1653" s="22">
        <f>IFERROR(__xludf.DUMMYFUNCTION("GOOGLEFINANCE(B1653, ""pe"")
"),14.08)</f>
        <v>14.08</v>
      </c>
    </row>
    <row r="1654">
      <c r="A1654" s="9" t="s">
        <v>1662</v>
      </c>
      <c r="B1654" s="11" t="str">
        <f t="shared" si="1"/>
        <v>NSE:GINNIFILA</v>
      </c>
      <c r="C1654" s="12">
        <f>IFERROR(__xludf.DUMMYFUNCTION("GOOGLEFINANCE(B1654,""marketcap"")/10000000"),404.0113173)</f>
        <v>404.0113173</v>
      </c>
      <c r="D1654" s="13">
        <f>IFERROR(__xludf.DUMMYFUNCTION("GOOGLEFINANCE(B1654,""price"")"),47.16)</f>
        <v>47.16</v>
      </c>
      <c r="E1654" s="14">
        <f>IFERROR(__xludf.DUMMYFUNCTION("GOOGLEFINANCE(B1654,""Volume"")"),65775.0)</f>
        <v>65775</v>
      </c>
      <c r="F1654" s="14">
        <f t="array" ref="F1654">F1653</f>
        <v>14</v>
      </c>
      <c r="G1654" s="15" t="str">
        <f>IFERROR(__xludf.DUMMYFUNCTION("IF(E1654&gt;AVERAGE(INDEX(GOOGLEFINANCE(B1654,""volume"",WORKDAY(TODAY(),-$F$1),TODAY()),,2)),""Breakout"","""")"),"Breakout")</f>
        <v>Breakout</v>
      </c>
      <c r="H1654" s="16">
        <f>IFERROR(__xludf.DUMMYFUNCTION("GOOGLEFINANCE(B1654,""price"")"),47.16)</f>
        <v>47.16</v>
      </c>
      <c r="I1654" s="17">
        <f>IFERROR(__xludf.DUMMYFUNCTION("AVERAGE(QUERY(SORT(GOOGLEFINANCE(B1654,""price"",TODAY()-365,TODAY()),1,0),""select Col2 limit 10""))"),45.504)</f>
        <v>45.504</v>
      </c>
      <c r="J1654" s="17">
        <f>IFERROR(__xludf.DUMMYFUNCTION("AVERAGE(QUERY(SORT(GOOGLEFINANCE(B1654,""price"",TODAY()-365,TODAY()),1,0),""select Col2 limit 30""))"),45.686666666666675)</f>
        <v>45.68666667</v>
      </c>
      <c r="K1654" s="18">
        <f>IFERROR(__xludf.DUMMYFUNCTION("AVERAGE(QUERY(SORT(GOOGLEFINANCE(B1654,""price"",TODAY()-365,TODAY()),1,0),""select Col2 limit 60""))"),41.28283333333332)</f>
        <v>41.28283333</v>
      </c>
      <c r="L1654" s="17">
        <f>IFERROR(__xludf.DUMMYFUNCTION("AVERAGE(QUERY(SORT(GOOGLEFINANCE(B1654,""price"",TODAY()-365,TODAY()),1,0),""select Col2 limit 90""))"),34.87488888888887)</f>
        <v>34.87488889</v>
      </c>
      <c r="M1654" s="17">
        <f>IFERROR(__xludf.DUMMYFUNCTION("AVERAGE(QUERY(SORT(GOOGLEFINANCE(B1654,""price"",TODAY()-365,TODAY()),1,0),""select Col2 limit 120""))"),32.29624999999999)</f>
        <v>32.29625</v>
      </c>
      <c r="N1654" s="19">
        <f>IFERROR(__xludf.DUMMYFUNCTION("AVERAGE(QUERY(SORT(GOOGLEFINANCE(B1654,""price"",TODAY()-365,TODAY()),1,0),""select Col2 limit 200""))"),31.55105)</f>
        <v>31.55105</v>
      </c>
      <c r="O1654" s="20" t="str">
        <f t="shared" si="2"/>
        <v>Avoid</v>
      </c>
      <c r="P1654" s="21" t="str">
        <f t="shared" si="3"/>
        <v/>
      </c>
      <c r="Q1654" s="21" t="str">
        <f t="shared" si="4"/>
        <v/>
      </c>
      <c r="R1654" s="22">
        <f>IFERROR(__xludf.DUMMYFUNCTION("GOOGLEFINANCE(B1654, ""pe"")
"),96.31)</f>
        <v>96.31</v>
      </c>
    </row>
    <row r="1655">
      <c r="A1655" s="9" t="s">
        <v>1663</v>
      </c>
      <c r="B1655" s="11" t="str">
        <f t="shared" si="1"/>
        <v>NSE:SOMICONVEY</v>
      </c>
      <c r="C1655" s="12">
        <f>IFERROR(__xludf.DUMMYFUNCTION("GOOGLEFINANCE(B1655,""marketcap"")/10000000"),175.2929687)</f>
        <v>175.2929687</v>
      </c>
      <c r="D1655" s="13">
        <f>IFERROR(__xludf.DUMMYFUNCTION("GOOGLEFINANCE(B1655,""price"")"),148.81)</f>
        <v>148.81</v>
      </c>
      <c r="E1655" s="14">
        <f>IFERROR(__xludf.DUMMYFUNCTION("GOOGLEFINANCE(B1655,""Volume"")"),2279.0)</f>
        <v>2279</v>
      </c>
      <c r="F1655" s="14">
        <f t="array" ref="F1655">F1654</f>
        <v>14</v>
      </c>
      <c r="G1655" s="15" t="str">
        <f>IFERROR(__xludf.DUMMYFUNCTION("IF(E1655&gt;AVERAGE(INDEX(GOOGLEFINANCE(B1655,""volume"",WORKDAY(TODAY(),-$F$1),TODAY()),,2)),""Breakout"","""")"),"")</f>
        <v/>
      </c>
      <c r="H1655" s="16">
        <f>IFERROR(__xludf.DUMMYFUNCTION("GOOGLEFINANCE(B1655,""price"")"),148.81)</f>
        <v>148.81</v>
      </c>
      <c r="I1655" s="17">
        <f>IFERROR(__xludf.DUMMYFUNCTION("AVERAGE(QUERY(SORT(GOOGLEFINANCE(B1655,""price"",TODAY()-365,TODAY()),1,0),""select Col2 limit 10""))"),153.077)</f>
        <v>153.077</v>
      </c>
      <c r="J1655" s="17">
        <f>IFERROR(__xludf.DUMMYFUNCTION("AVERAGE(QUERY(SORT(GOOGLEFINANCE(B1655,""price"",TODAY()-365,TODAY()),1,0),""select Col2 limit 30""))"),156.376)</f>
        <v>156.376</v>
      </c>
      <c r="K1655" s="18">
        <f>IFERROR(__xludf.DUMMYFUNCTION("AVERAGE(QUERY(SORT(GOOGLEFINANCE(B1655,""price"",TODAY()-365,TODAY()),1,0),""select Col2 limit 60""))"),167.4921666666667)</f>
        <v>167.4921667</v>
      </c>
      <c r="L1655" s="17">
        <f>IFERROR(__xludf.DUMMYFUNCTION("AVERAGE(QUERY(SORT(GOOGLEFINANCE(B1655,""price"",TODAY()-365,TODAY()),1,0),""select Col2 limit 90""))"),171.92200000000003)</f>
        <v>171.922</v>
      </c>
      <c r="M1655" s="17">
        <f>IFERROR(__xludf.DUMMYFUNCTION("AVERAGE(QUERY(SORT(GOOGLEFINANCE(B1655,""price"",TODAY()-365,TODAY()),1,0),""select Col2 limit 120""))"),168.99150000000003)</f>
        <v>168.9915</v>
      </c>
      <c r="N1655" s="19">
        <f>IFERROR(__xludf.DUMMYFUNCTION("AVERAGE(QUERY(SORT(GOOGLEFINANCE(B1655,""price"",TODAY()-365,TODAY()),1,0),""select Col2 limit 200""))"),172.86605)</f>
        <v>172.86605</v>
      </c>
      <c r="O1655" s="20" t="str">
        <f t="shared" si="2"/>
        <v>Avoid</v>
      </c>
      <c r="P1655" s="21" t="str">
        <f t="shared" si="3"/>
        <v/>
      </c>
      <c r="Q1655" s="21" t="str">
        <f t="shared" si="4"/>
        <v/>
      </c>
      <c r="R1655" s="22">
        <f>IFERROR(__xludf.DUMMYFUNCTION("GOOGLEFINANCE(B1655, ""pe"")
"),31.89)</f>
        <v>31.89</v>
      </c>
    </row>
    <row r="1656">
      <c r="A1656" s="9" t="s">
        <v>1664</v>
      </c>
      <c r="B1656" s="11" t="str">
        <f t="shared" si="1"/>
        <v>NSE:EQUIPPP</v>
      </c>
      <c r="C1656" s="12">
        <f>IFERROR(__xludf.DUMMYFUNCTION("GOOGLEFINANCE(B1656,""marketcap"")/10000000"),203.0405342)</f>
        <v>203.0405342</v>
      </c>
      <c r="D1656" s="13">
        <f>IFERROR(__xludf.DUMMYFUNCTION("GOOGLEFINANCE(B1656,""price"")"),19.88)</f>
        <v>19.88</v>
      </c>
      <c r="E1656" s="14">
        <f>IFERROR(__xludf.DUMMYFUNCTION("GOOGLEFINANCE(B1656,""Volume"")"),11652.0)</f>
        <v>11652</v>
      </c>
      <c r="F1656" s="14">
        <f t="array" ref="F1656">F1655</f>
        <v>14</v>
      </c>
      <c r="G1656" s="15" t="str">
        <f>IFERROR(__xludf.DUMMYFUNCTION("IF(E1656&gt;AVERAGE(INDEX(GOOGLEFINANCE(B1656,""volume"",WORKDAY(TODAY(),-$F$1),TODAY()),,2)),""Breakout"","""")"),"")</f>
        <v/>
      </c>
      <c r="H1656" s="16">
        <f>IFERROR(__xludf.DUMMYFUNCTION("GOOGLEFINANCE(B1656,""price"")"),19.88)</f>
        <v>19.88</v>
      </c>
      <c r="I1656" s="17">
        <f>IFERROR(__xludf.DUMMYFUNCTION("AVERAGE(QUERY(SORT(GOOGLEFINANCE(B1656,""price"",TODAY()-365,TODAY()),1,0),""select Col2 limit 10""))"),18.684000000000005)</f>
        <v>18.684</v>
      </c>
      <c r="J1656" s="17">
        <f>IFERROR(__xludf.DUMMYFUNCTION("AVERAGE(QUERY(SORT(GOOGLEFINANCE(B1656,""price"",TODAY()-365,TODAY()),1,0),""select Col2 limit 30""))"),18.745333333333335)</f>
        <v>18.74533333</v>
      </c>
      <c r="K1656" s="18">
        <f>IFERROR(__xludf.DUMMYFUNCTION("AVERAGE(QUERY(SORT(GOOGLEFINANCE(B1656,""price"",TODAY()-365,TODAY()),1,0),""select Col2 limit 60""))"),19.48683333333333)</f>
        <v>19.48683333</v>
      </c>
      <c r="L1656" s="17">
        <f>IFERROR(__xludf.DUMMYFUNCTION("AVERAGE(QUERY(SORT(GOOGLEFINANCE(B1656,""price"",TODAY()-365,TODAY()),1,0),""select Col2 limit 90""))"),19.83211111111111)</f>
        <v>19.83211111</v>
      </c>
      <c r="M1656" s="17">
        <f>IFERROR(__xludf.DUMMYFUNCTION("AVERAGE(QUERY(SORT(GOOGLEFINANCE(B1656,""price"",TODAY()-365,TODAY()),1,0),""select Col2 limit 120""))"),20.54233333333333)</f>
        <v>20.54233333</v>
      </c>
      <c r="N1656" s="19">
        <f>IFERROR(__xludf.DUMMYFUNCTION("AVERAGE(QUERY(SORT(GOOGLEFINANCE(B1656,""price"",TODAY()-365,TODAY()),1,0),""select Col2 limit 200""))"),22.090399999999995)</f>
        <v>22.0904</v>
      </c>
      <c r="O1656" s="20" t="str">
        <f t="shared" si="2"/>
        <v>Avoid</v>
      </c>
      <c r="P1656" s="21" t="str">
        <f t="shared" si="3"/>
        <v/>
      </c>
      <c r="Q1656" s="21" t="str">
        <f t="shared" si="4"/>
        <v/>
      </c>
      <c r="R1656" s="22">
        <f>IFERROR(__xludf.DUMMYFUNCTION("GOOGLEFINANCE(B1656, ""pe"")
"),331.33)</f>
        <v>331.33</v>
      </c>
    </row>
    <row r="1657">
      <c r="A1657" s="9" t="s">
        <v>1665</v>
      </c>
      <c r="B1657" s="11" t="str">
        <f t="shared" si="1"/>
        <v>NSE:SMLT</v>
      </c>
      <c r="C1657" s="12">
        <f>IFERROR(__xludf.DUMMYFUNCTION("GOOGLEFINANCE(B1657,""marketcap"")/10000000"),162.0317634)</f>
        <v>162.0317634</v>
      </c>
      <c r="D1657" s="13">
        <f>IFERROR(__xludf.DUMMYFUNCTION("GOOGLEFINANCE(B1657,""price"")"),118.95)</f>
        <v>118.95</v>
      </c>
      <c r="E1657" s="14">
        <f>IFERROR(__xludf.DUMMYFUNCTION("GOOGLEFINANCE(B1657,""Volume"")"),3200.0)</f>
        <v>3200</v>
      </c>
      <c r="F1657" s="14">
        <f t="array" ref="F1657">F1656</f>
        <v>14</v>
      </c>
      <c r="G1657" s="15" t="str">
        <f>IFERROR(__xludf.DUMMYFUNCTION("IF(E1657&gt;AVERAGE(INDEX(GOOGLEFINANCE(B1657,""volume"",WORKDAY(TODAY(),-$F$1),TODAY()),,2)),""Breakout"","""")"),"")</f>
        <v/>
      </c>
      <c r="H1657" s="16">
        <f>IFERROR(__xludf.DUMMYFUNCTION("GOOGLEFINANCE(B1657,""price"")"),118.95)</f>
        <v>118.95</v>
      </c>
      <c r="I1657" s="17">
        <f>IFERROR(__xludf.DUMMYFUNCTION("AVERAGE(QUERY(SORT(GOOGLEFINANCE(B1657,""price"",TODAY()-365,TODAY()),1,0),""select Col2 limit 10""))"),121.612)</f>
        <v>121.612</v>
      </c>
      <c r="J1657" s="17">
        <f>IFERROR(__xludf.DUMMYFUNCTION("AVERAGE(QUERY(SORT(GOOGLEFINANCE(B1657,""price"",TODAY()-365,TODAY()),1,0),""select Col2 limit 30""))"),122.91299999999998)</f>
        <v>122.913</v>
      </c>
      <c r="K1657" s="18">
        <f>IFERROR(__xludf.DUMMYFUNCTION("AVERAGE(QUERY(SORT(GOOGLEFINANCE(B1657,""price"",TODAY()-365,TODAY()),1,0),""select Col2 limit 60""))"),121.82283333333336)</f>
        <v>121.8228333</v>
      </c>
      <c r="L1657" s="17">
        <f>IFERROR(__xludf.DUMMYFUNCTION("AVERAGE(QUERY(SORT(GOOGLEFINANCE(B1657,""price"",TODAY()-365,TODAY()),1,0),""select Col2 limit 90""))"),121.48333333333338)</f>
        <v>121.4833333</v>
      </c>
      <c r="M1657" s="17">
        <f>IFERROR(__xludf.DUMMYFUNCTION("AVERAGE(QUERY(SORT(GOOGLEFINANCE(B1657,""price"",TODAY()-365,TODAY()),1,0),""select Col2 limit 120""))"),126.99558333333336)</f>
        <v>126.9955833</v>
      </c>
      <c r="N1657" s="19">
        <f>IFERROR(__xludf.DUMMYFUNCTION("AVERAGE(QUERY(SORT(GOOGLEFINANCE(B1657,""price"",TODAY()-365,TODAY()),1,0),""select Col2 limit 200""))"),143.1120999999999)</f>
        <v>143.1121</v>
      </c>
      <c r="O1657" s="20" t="str">
        <f t="shared" si="2"/>
        <v>Avoid</v>
      </c>
      <c r="P1657" s="21" t="str">
        <f t="shared" si="3"/>
        <v/>
      </c>
      <c r="Q1657" s="21" t="str">
        <f t="shared" si="4"/>
        <v/>
      </c>
      <c r="R1657" s="22">
        <f>IFERROR(__xludf.DUMMYFUNCTION("GOOGLEFINANCE(B1657, ""pe"")
"),39.33)</f>
        <v>39.33</v>
      </c>
    </row>
    <row r="1658">
      <c r="A1658" s="9" t="s">
        <v>1666</v>
      </c>
      <c r="B1658" s="11" t="str">
        <f t="shared" si="1"/>
        <v>NSE:SVLL</v>
      </c>
      <c r="C1658" s="12">
        <f>IFERROR(__xludf.DUMMYFUNCTION("GOOGLEFINANCE(B1658,""marketcap"")/10000000"),903.40482)</f>
        <v>903.40482</v>
      </c>
      <c r="D1658" s="13">
        <f>IFERROR(__xludf.DUMMYFUNCTION("GOOGLEFINANCE(B1658,""price"")"),786.0)</f>
        <v>786</v>
      </c>
      <c r="E1658" s="14">
        <f>IFERROR(__xludf.DUMMYFUNCTION("GOOGLEFINANCE(B1658,""Volume"")"),2163.0)</f>
        <v>2163</v>
      </c>
      <c r="F1658" s="14">
        <f t="array" ref="F1658">F1657</f>
        <v>14</v>
      </c>
      <c r="G1658" s="15" t="str">
        <f>IFERROR(__xludf.DUMMYFUNCTION("IF(E1658&gt;AVERAGE(INDEX(GOOGLEFINANCE(B1658,""volume"",WORKDAY(TODAY(),-$F$1),TODAY()),,2)),""Breakout"","""")"),"Breakout")</f>
        <v>Breakout</v>
      </c>
      <c r="H1658" s="16">
        <f>IFERROR(__xludf.DUMMYFUNCTION("GOOGLEFINANCE(B1658,""price"")"),786.0)</f>
        <v>786</v>
      </c>
      <c r="I1658" s="17">
        <f>IFERROR(__xludf.DUMMYFUNCTION("AVERAGE(QUERY(SORT(GOOGLEFINANCE(B1658,""price"",TODAY()-365,TODAY()),1,0),""select Col2 limit 10""))"),760.98)</f>
        <v>760.98</v>
      </c>
      <c r="J1658" s="17">
        <f>IFERROR(__xludf.DUMMYFUNCTION("AVERAGE(QUERY(SORT(GOOGLEFINANCE(B1658,""price"",TODAY()-365,TODAY()),1,0),""select Col2 limit 30""))"),734.0683333333333)</f>
        <v>734.0683333</v>
      </c>
      <c r="K1658" s="18">
        <f>IFERROR(__xludf.DUMMYFUNCTION("AVERAGE(QUERY(SORT(GOOGLEFINANCE(B1658,""price"",TODAY()-365,TODAY()),1,0),""select Col2 limit 60""))"),698.056666666667)</f>
        <v>698.0566667</v>
      </c>
      <c r="L1658" s="17">
        <f>IFERROR(__xludf.DUMMYFUNCTION("AVERAGE(QUERY(SORT(GOOGLEFINANCE(B1658,""price"",TODAY()-365,TODAY()),1,0),""select Col2 limit 90""))"),621.0405555555559)</f>
        <v>621.0405556</v>
      </c>
      <c r="M1658" s="17">
        <f>IFERROR(__xludf.DUMMYFUNCTION("AVERAGE(QUERY(SORT(GOOGLEFINANCE(B1658,""price"",TODAY()-365,TODAY()),1,0),""select Col2 limit 120""))"),568.6775000000002)</f>
        <v>568.6775</v>
      </c>
      <c r="N1658" s="19">
        <f>IFERROR(__xludf.DUMMYFUNCTION("AVERAGE(QUERY(SORT(GOOGLEFINANCE(B1658,""price"",TODAY()-365,TODAY()),1,0),""select Col2 limit 200""))"),476.6605000000001)</f>
        <v>476.6605</v>
      </c>
      <c r="O1658" s="20" t="str">
        <f t="shared" si="2"/>
        <v>Avoid</v>
      </c>
      <c r="P1658" s="21" t="str">
        <f t="shared" si="3"/>
        <v/>
      </c>
      <c r="Q1658" s="21" t="str">
        <f t="shared" si="4"/>
        <v/>
      </c>
      <c r="R1658" s="22">
        <f>IFERROR(__xludf.DUMMYFUNCTION("GOOGLEFINANCE(B1658, ""pe"")
"),413.68)</f>
        <v>413.68</v>
      </c>
    </row>
    <row r="1659">
      <c r="A1659" s="9" t="s">
        <v>1667</v>
      </c>
      <c r="B1659" s="11" t="str">
        <f t="shared" si="1"/>
        <v>NSE:IL&amp;FSTRANS</v>
      </c>
      <c r="C1659" s="12">
        <f>IFERROR(__xludf.DUMMYFUNCTION("GOOGLEFINANCE(B1659,""marketcap"")/10000000"),110.0329378)</f>
        <v>110.0329378</v>
      </c>
      <c r="D1659" s="13">
        <f>IFERROR(__xludf.DUMMYFUNCTION("GOOGLEFINANCE(B1659,""price"")"),3.32)</f>
        <v>3.32</v>
      </c>
      <c r="E1659" s="14">
        <f>IFERROR(__xludf.DUMMYFUNCTION("GOOGLEFINANCE(B1659,""Volume"")"),51464.0)</f>
        <v>51464</v>
      </c>
      <c r="F1659" s="14">
        <f t="array" ref="F1659">F1658</f>
        <v>14</v>
      </c>
      <c r="G1659" s="15" t="str">
        <f>IFERROR(__xludf.DUMMYFUNCTION("IF(E1659&gt;AVERAGE(INDEX(GOOGLEFINANCE(B1659,""volume"",WORKDAY(TODAY(),-$F$1),TODAY()),,2)),""Breakout"","""")"),"Breakout")</f>
        <v>Breakout</v>
      </c>
      <c r="H1659" s="16">
        <f>IFERROR(__xludf.DUMMYFUNCTION("GOOGLEFINANCE(B1659,""price"")"),3.32)</f>
        <v>3.32</v>
      </c>
      <c r="I1659" s="17" t="str">
        <f>IFERROR(__xludf.DUMMYFUNCTION("AVERAGE(QUERY(SORT(GOOGLEFINANCE(B1659,""price"",TODAY()-365,TODAY()),1,0),""select Col2 limit 10""))"),"#N/A")</f>
        <v>#N/A</v>
      </c>
      <c r="J1659" s="17" t="str">
        <f>IFERROR(__xludf.DUMMYFUNCTION("AVERAGE(QUERY(SORT(GOOGLEFINANCE(B1659,""price"",TODAY()-365,TODAY()),1,0),""select Col2 limit 30""))"),"#N/A")</f>
        <v>#N/A</v>
      </c>
      <c r="K1659" s="18" t="str">
        <f>IFERROR(__xludf.DUMMYFUNCTION("AVERAGE(QUERY(SORT(GOOGLEFINANCE(B1659,""price"",TODAY()-365,TODAY()),1,0),""select Col2 limit 60""))"),"#N/A")</f>
        <v>#N/A</v>
      </c>
      <c r="L1659" s="17" t="str">
        <f>IFERROR(__xludf.DUMMYFUNCTION("AVERAGE(QUERY(SORT(GOOGLEFINANCE(B1659,""price"",TODAY()-365,TODAY()),1,0),""select Col2 limit 90""))"),"#N/A")</f>
        <v>#N/A</v>
      </c>
      <c r="M1659" s="17" t="str">
        <f>IFERROR(__xludf.DUMMYFUNCTION("AVERAGE(QUERY(SORT(GOOGLEFINANCE(B1659,""price"",TODAY()-365,TODAY()),1,0),""select Col2 limit 120""))"),"#N/A")</f>
        <v>#N/A</v>
      </c>
      <c r="N1659" s="19" t="str">
        <f>IFERROR(__xludf.DUMMYFUNCTION("AVERAGE(QUERY(SORT(GOOGLEFINANCE(B1659,""price"",TODAY()-365,TODAY()),1,0),""select Col2 limit 200""))"),"#N/A")</f>
        <v>#N/A</v>
      </c>
      <c r="O1659" s="20" t="str">
        <f t="shared" si="2"/>
        <v>#N/A</v>
      </c>
      <c r="P1659" s="21" t="str">
        <f t="shared" si="3"/>
        <v>#N/A</v>
      </c>
      <c r="Q1659" s="21" t="str">
        <f t="shared" si="4"/>
        <v>#N/A</v>
      </c>
      <c r="R1659" s="22" t="str">
        <f>IFERROR(__xludf.DUMMYFUNCTION("GOOGLEFINANCE(B1659, ""pe"")
"),"#N/A")</f>
        <v>#N/A</v>
      </c>
    </row>
    <row r="1660">
      <c r="A1660" s="9" t="s">
        <v>1668</v>
      </c>
      <c r="B1660" s="11" t="str">
        <f t="shared" si="1"/>
        <v>NSE:SMSLIFE</v>
      </c>
      <c r="C1660" s="12">
        <f>IFERROR(__xludf.DUMMYFUNCTION("GOOGLEFINANCE(B1660,""marketcap"")/10000000"),347.7988288)</f>
        <v>347.7988288</v>
      </c>
      <c r="D1660" s="13">
        <f>IFERROR(__xludf.DUMMYFUNCTION("GOOGLEFINANCE(B1660,""price"")"),1151.1)</f>
        <v>1151.1</v>
      </c>
      <c r="E1660" s="14">
        <f>IFERROR(__xludf.DUMMYFUNCTION("GOOGLEFINANCE(B1660,""Volume"")"),1867.0)</f>
        <v>1867</v>
      </c>
      <c r="F1660" s="14">
        <f t="array" ref="F1660">F1659</f>
        <v>14</v>
      </c>
      <c r="G1660" s="15" t="str">
        <f>IFERROR(__xludf.DUMMYFUNCTION("IF(E1660&gt;AVERAGE(INDEX(GOOGLEFINANCE(B1660,""volume"",WORKDAY(TODAY(),-$F$1),TODAY()),,2)),""Breakout"","""")"),"")</f>
        <v/>
      </c>
      <c r="H1660" s="16">
        <f>IFERROR(__xludf.DUMMYFUNCTION("GOOGLEFINANCE(B1660,""price"")"),1151.1)</f>
        <v>1151.1</v>
      </c>
      <c r="I1660" s="17">
        <f>IFERROR(__xludf.DUMMYFUNCTION("AVERAGE(QUERY(SORT(GOOGLEFINANCE(B1660,""price"",TODAY()-365,TODAY()),1,0),""select Col2 limit 10""))"),1214.56)</f>
        <v>1214.56</v>
      </c>
      <c r="J1660" s="17">
        <f>IFERROR(__xludf.DUMMYFUNCTION("AVERAGE(QUERY(SORT(GOOGLEFINANCE(B1660,""price"",TODAY()-365,TODAY()),1,0),""select Col2 limit 30""))"),1188.62)</f>
        <v>1188.62</v>
      </c>
      <c r="K1660" s="18">
        <f>IFERROR(__xludf.DUMMYFUNCTION("AVERAGE(QUERY(SORT(GOOGLEFINANCE(B1660,""price"",TODAY()-365,TODAY()),1,0),""select Col2 limit 60""))"),1248.741666666667)</f>
        <v>1248.741667</v>
      </c>
      <c r="L1660" s="17">
        <f>IFERROR(__xludf.DUMMYFUNCTION("AVERAGE(QUERY(SORT(GOOGLEFINANCE(B1660,""price"",TODAY()-365,TODAY()),1,0),""select Col2 limit 90""))"),1243.8988888888891)</f>
        <v>1243.898889</v>
      </c>
      <c r="M1660" s="17">
        <f>IFERROR(__xludf.DUMMYFUNCTION("AVERAGE(QUERY(SORT(GOOGLEFINANCE(B1660,""price"",TODAY()-365,TODAY()),1,0),""select Col2 limit 120""))"),1228.65125)</f>
        <v>1228.65125</v>
      </c>
      <c r="N1660" s="19">
        <f>IFERROR(__xludf.DUMMYFUNCTION("AVERAGE(QUERY(SORT(GOOGLEFINANCE(B1660,""price"",TODAY()-365,TODAY()),1,0),""select Col2 limit 200""))"),1245.8915000000004)</f>
        <v>1245.8915</v>
      </c>
      <c r="O1660" s="20" t="str">
        <f t="shared" si="2"/>
        <v>Avoid</v>
      </c>
      <c r="P1660" s="21" t="str">
        <f t="shared" si="3"/>
        <v/>
      </c>
      <c r="Q1660" s="21" t="str">
        <f t="shared" si="4"/>
        <v/>
      </c>
      <c r="R1660" s="22">
        <f>IFERROR(__xludf.DUMMYFUNCTION("GOOGLEFINANCE(B1660, ""pe"")
"),17.31)</f>
        <v>17.31</v>
      </c>
    </row>
    <row r="1661">
      <c r="A1661" s="9" t="s">
        <v>1669</v>
      </c>
      <c r="B1661" s="11" t="str">
        <f t="shared" si="1"/>
        <v>NSE:TTL</v>
      </c>
      <c r="C1661" s="12">
        <f>IFERROR(__xludf.DUMMYFUNCTION("GOOGLEFINANCE(B1661,""marketcap"")/10000000"),335.80417)</f>
        <v>335.80417</v>
      </c>
      <c r="D1661" s="13">
        <f>IFERROR(__xludf.DUMMYFUNCTION("GOOGLEFINANCE(B1661,""price"")"),13.0)</f>
        <v>13</v>
      </c>
      <c r="E1661" s="14">
        <f>IFERROR(__xludf.DUMMYFUNCTION("GOOGLEFINANCE(B1661,""Volume"")"),21085.0)</f>
        <v>21085</v>
      </c>
      <c r="F1661" s="14">
        <f t="array" ref="F1661">F1660</f>
        <v>14</v>
      </c>
      <c r="G1661" s="15" t="str">
        <f>IFERROR(__xludf.DUMMYFUNCTION("IF(E1661&gt;AVERAGE(INDEX(GOOGLEFINANCE(B1661,""volume"",WORKDAY(TODAY(),-$F$1),TODAY()),,2)),""Breakout"","""")"),"")</f>
        <v/>
      </c>
      <c r="H1661" s="16">
        <f>IFERROR(__xludf.DUMMYFUNCTION("GOOGLEFINANCE(B1661,""price"")"),13.0)</f>
        <v>13</v>
      </c>
      <c r="I1661" s="17">
        <f>IFERROR(__xludf.DUMMYFUNCTION("AVERAGE(QUERY(SORT(GOOGLEFINANCE(B1661,""price"",TODAY()-365,TODAY()),1,0),""select Col2 limit 10""))"),13.663000000000002)</f>
        <v>13.663</v>
      </c>
      <c r="J1661" s="17">
        <f>IFERROR(__xludf.DUMMYFUNCTION("AVERAGE(QUERY(SORT(GOOGLEFINANCE(B1661,""price"",TODAY()-365,TODAY()),1,0),""select Col2 limit 30""))"),14.121333333333336)</f>
        <v>14.12133333</v>
      </c>
      <c r="K1661" s="18">
        <f>IFERROR(__xludf.DUMMYFUNCTION("AVERAGE(QUERY(SORT(GOOGLEFINANCE(B1661,""price"",TODAY()-365,TODAY()),1,0),""select Col2 limit 60""))"),13.98316666666667)</f>
        <v>13.98316667</v>
      </c>
      <c r="L1661" s="17">
        <f>IFERROR(__xludf.DUMMYFUNCTION("AVERAGE(QUERY(SORT(GOOGLEFINANCE(B1661,""price"",TODAY()-365,TODAY()),1,0),""select Col2 limit 90""))"),13.698666666666668)</f>
        <v>13.69866667</v>
      </c>
      <c r="M1661" s="17">
        <f>IFERROR(__xludf.DUMMYFUNCTION("AVERAGE(QUERY(SORT(GOOGLEFINANCE(B1661,""price"",TODAY()-365,TODAY()),1,0),""select Col2 limit 120""))"),21.960916666666666)</f>
        <v>21.96091667</v>
      </c>
      <c r="N1661" s="19">
        <f>IFERROR(__xludf.DUMMYFUNCTION("AVERAGE(QUERY(SORT(GOOGLEFINANCE(B1661,""price"",TODAY()-365,TODAY()),1,0),""select Col2 limit 200""))"),25.587949999999996)</f>
        <v>25.58795</v>
      </c>
      <c r="O1661" s="20" t="str">
        <f t="shared" si="2"/>
        <v>Avoid</v>
      </c>
      <c r="P1661" s="21" t="str">
        <f t="shared" si="3"/>
        <v/>
      </c>
      <c r="Q1661" s="21" t="str">
        <f t="shared" si="4"/>
        <v/>
      </c>
      <c r="R1661" s="22">
        <f>IFERROR(__xludf.DUMMYFUNCTION("GOOGLEFINANCE(B1661, ""pe"")
"),70.26)</f>
        <v>70.26</v>
      </c>
    </row>
    <row r="1662">
      <c r="A1662" s="9" t="s">
        <v>1670</v>
      </c>
      <c r="B1662" s="11" t="str">
        <f t="shared" si="1"/>
        <v>NSE:CTE</v>
      </c>
      <c r="C1662" s="12">
        <f>IFERROR(__xludf.DUMMYFUNCTION("GOOGLEFINANCE(B1662,""marketcap"")/10000000"),83.9333542)</f>
        <v>83.9333542</v>
      </c>
      <c r="D1662" s="13">
        <f>IFERROR(__xludf.DUMMYFUNCTION("GOOGLEFINANCE(B1662,""price"")"),45.44)</f>
        <v>45.44</v>
      </c>
      <c r="E1662" s="14">
        <f>IFERROR(__xludf.DUMMYFUNCTION("GOOGLEFINANCE(B1662,""Volume"")"),2370.0)</f>
        <v>2370</v>
      </c>
      <c r="F1662" s="14">
        <f t="array" ref="F1662">F1661</f>
        <v>14</v>
      </c>
      <c r="G1662" s="15" t="str">
        <f>IFERROR(__xludf.DUMMYFUNCTION("IF(E1662&gt;AVERAGE(INDEX(GOOGLEFINANCE(B1662,""volume"",WORKDAY(TODAY(),-$F$1),TODAY()),,2)),""Breakout"","""")"),"")</f>
        <v/>
      </c>
      <c r="H1662" s="16">
        <f>IFERROR(__xludf.DUMMYFUNCTION("GOOGLEFINANCE(B1662,""price"")"),45.44)</f>
        <v>45.44</v>
      </c>
      <c r="I1662" s="17">
        <f>IFERROR(__xludf.DUMMYFUNCTION("AVERAGE(QUERY(SORT(GOOGLEFINANCE(B1662,""price"",TODAY()-365,TODAY()),1,0),""select Col2 limit 10""))"),45.137)</f>
        <v>45.137</v>
      </c>
      <c r="J1662" s="17">
        <f>IFERROR(__xludf.DUMMYFUNCTION("AVERAGE(QUERY(SORT(GOOGLEFINANCE(B1662,""price"",TODAY()-365,TODAY()),1,0),""select Col2 limit 30""))"),46.286333333333324)</f>
        <v>46.28633333</v>
      </c>
      <c r="K1662" s="18">
        <f>IFERROR(__xludf.DUMMYFUNCTION("AVERAGE(QUERY(SORT(GOOGLEFINANCE(B1662,""price"",TODAY()-365,TODAY()),1,0),""select Col2 limit 60""))"),46.597999999999985)</f>
        <v>46.598</v>
      </c>
      <c r="L1662" s="17">
        <f>IFERROR(__xludf.DUMMYFUNCTION("AVERAGE(QUERY(SORT(GOOGLEFINANCE(B1662,""price"",TODAY()-365,TODAY()),1,0),""select Col2 limit 90""))"),44.66544444444445)</f>
        <v>44.66544444</v>
      </c>
      <c r="M1662" s="17">
        <f>IFERROR(__xludf.DUMMYFUNCTION("AVERAGE(QUERY(SORT(GOOGLEFINANCE(B1662,""price"",TODAY()-365,TODAY()),1,0),""select Col2 limit 120""))"),50.205583333333344)</f>
        <v>50.20558333</v>
      </c>
      <c r="N1662" s="19">
        <f>IFERROR(__xludf.DUMMYFUNCTION("AVERAGE(QUERY(SORT(GOOGLEFINANCE(B1662,""price"",TODAY()-365,TODAY()),1,0),""select Col2 limit 200""))"),69.11915)</f>
        <v>69.11915</v>
      </c>
      <c r="O1662" s="20" t="str">
        <f t="shared" si="2"/>
        <v>Avoid</v>
      </c>
      <c r="P1662" s="21" t="str">
        <f t="shared" si="3"/>
        <v/>
      </c>
      <c r="Q1662" s="21" t="str">
        <f t="shared" si="4"/>
        <v/>
      </c>
      <c r="R1662" s="22" t="str">
        <f>IFERROR(__xludf.DUMMYFUNCTION("GOOGLEFINANCE(B1662, ""pe"")
"),"#N/A")</f>
        <v>#N/A</v>
      </c>
    </row>
    <row r="1663">
      <c r="A1663" s="9" t="s">
        <v>1671</v>
      </c>
      <c r="B1663" s="11" t="str">
        <f t="shared" si="1"/>
        <v>NSE:MODIRUBBER</v>
      </c>
      <c r="C1663" s="12">
        <f>IFERROR(__xludf.DUMMYFUNCTION("GOOGLEFINANCE(B1663,""marketcap"")/10000000"),296.73401)</f>
        <v>296.73401</v>
      </c>
      <c r="D1663" s="13">
        <f>IFERROR(__xludf.DUMMYFUNCTION("GOOGLEFINANCE(B1663,""price"")"),115.8)</f>
        <v>115.8</v>
      </c>
      <c r="E1663" s="14">
        <f>IFERROR(__xludf.DUMMYFUNCTION("GOOGLEFINANCE(B1663,""Volume"")"),923.0)</f>
        <v>923</v>
      </c>
      <c r="F1663" s="14">
        <f t="array" ref="F1663">F1662</f>
        <v>14</v>
      </c>
      <c r="G1663" s="15" t="str">
        <f>IFERROR(__xludf.DUMMYFUNCTION("IF(E1663&gt;AVERAGE(INDEX(GOOGLEFINANCE(B1663,""volume"",WORKDAY(TODAY(),-$F$1),TODAY()),,2)),""Breakout"","""")"),"")</f>
        <v/>
      </c>
      <c r="H1663" s="16">
        <f>IFERROR(__xludf.DUMMYFUNCTION("GOOGLEFINANCE(B1663,""price"")"),115.8)</f>
        <v>115.8</v>
      </c>
      <c r="I1663" s="17">
        <f>IFERROR(__xludf.DUMMYFUNCTION("AVERAGE(QUERY(SORT(GOOGLEFINANCE(B1663,""price"",TODAY()-365,TODAY()),1,0),""select Col2 limit 10""))"),125.3)</f>
        <v>125.3</v>
      </c>
      <c r="J1663" s="17">
        <f>IFERROR(__xludf.DUMMYFUNCTION("AVERAGE(QUERY(SORT(GOOGLEFINANCE(B1663,""price"",TODAY()-365,TODAY()),1,0),""select Col2 limit 30""))"),124.18733333333333)</f>
        <v>124.1873333</v>
      </c>
      <c r="K1663" s="18">
        <f>IFERROR(__xludf.DUMMYFUNCTION("AVERAGE(QUERY(SORT(GOOGLEFINANCE(B1663,""price"",TODAY()-365,TODAY()),1,0),""select Col2 limit 60""))"),126.64166666666668)</f>
        <v>126.6416667</v>
      </c>
      <c r="L1663" s="17">
        <f>IFERROR(__xludf.DUMMYFUNCTION("AVERAGE(QUERY(SORT(GOOGLEFINANCE(B1663,""price"",TODAY()-365,TODAY()),1,0),""select Col2 limit 90""))"),120.72466666666668)</f>
        <v>120.7246667</v>
      </c>
      <c r="M1663" s="17">
        <f>IFERROR(__xludf.DUMMYFUNCTION("AVERAGE(QUERY(SORT(GOOGLEFINANCE(B1663,""price"",TODAY()-365,TODAY()),1,0),""select Col2 limit 120""))"),116.39358333333334)</f>
        <v>116.3935833</v>
      </c>
      <c r="N1663" s="19">
        <f>IFERROR(__xludf.DUMMYFUNCTION("AVERAGE(QUERY(SORT(GOOGLEFINANCE(B1663,""price"",TODAY()-365,TODAY()),1,0),""select Col2 limit 200""))"),119.35480000000001)</f>
        <v>119.3548</v>
      </c>
      <c r="O1663" s="20" t="str">
        <f t="shared" si="2"/>
        <v>Avoid</v>
      </c>
      <c r="P1663" s="21" t="str">
        <f t="shared" si="3"/>
        <v>120 DMA</v>
      </c>
      <c r="Q1663" s="21" t="str">
        <f t="shared" si="4"/>
        <v/>
      </c>
      <c r="R1663" s="22">
        <f>IFERROR(__xludf.DUMMYFUNCTION("GOOGLEFINANCE(B1663, ""pe"")
"),14.14)</f>
        <v>14.14</v>
      </c>
    </row>
    <row r="1664">
      <c r="A1664" s="9" t="s">
        <v>1672</v>
      </c>
      <c r="B1664" s="11" t="str">
        <f t="shared" si="1"/>
        <v>NSE:SUPERHOUSE</v>
      </c>
      <c r="C1664" s="12">
        <f>IFERROR(__xludf.DUMMYFUNCTION("GOOGLEFINANCE(B1664,""marketcap"")/10000000"),191.5797391)</f>
        <v>191.5797391</v>
      </c>
      <c r="D1664" s="13">
        <f>IFERROR(__xludf.DUMMYFUNCTION("GOOGLEFINANCE(B1664,""price"")"),173.37)</f>
        <v>173.37</v>
      </c>
      <c r="E1664" s="14">
        <f>IFERROR(__xludf.DUMMYFUNCTION("GOOGLEFINANCE(B1664,""Volume"")"),1147.0)</f>
        <v>1147</v>
      </c>
      <c r="F1664" s="14">
        <f t="array" ref="F1664">F1663</f>
        <v>14</v>
      </c>
      <c r="G1664" s="15" t="str">
        <f>IFERROR(__xludf.DUMMYFUNCTION("IF(E1664&gt;AVERAGE(INDEX(GOOGLEFINANCE(B1664,""volume"",WORKDAY(TODAY(),-$F$1),TODAY()),,2)),""Breakout"","""")"),"")</f>
        <v/>
      </c>
      <c r="H1664" s="16">
        <f>IFERROR(__xludf.DUMMYFUNCTION("GOOGLEFINANCE(B1664,""price"")"),173.37)</f>
        <v>173.37</v>
      </c>
      <c r="I1664" s="17">
        <f>IFERROR(__xludf.DUMMYFUNCTION("AVERAGE(QUERY(SORT(GOOGLEFINANCE(B1664,""price"",TODAY()-365,TODAY()),1,0),""select Col2 limit 10""))"),170.452)</f>
        <v>170.452</v>
      </c>
      <c r="J1664" s="17">
        <f>IFERROR(__xludf.DUMMYFUNCTION("AVERAGE(QUERY(SORT(GOOGLEFINANCE(B1664,""price"",TODAY()-365,TODAY()),1,0),""select Col2 limit 30""))"),172.31100000000006)</f>
        <v>172.311</v>
      </c>
      <c r="K1664" s="18">
        <f>IFERROR(__xludf.DUMMYFUNCTION("AVERAGE(QUERY(SORT(GOOGLEFINANCE(B1664,""price"",TODAY()-365,TODAY()),1,0),""select Col2 limit 60""))"),171.28883333333343)</f>
        <v>171.2888333</v>
      </c>
      <c r="L1664" s="17">
        <f>IFERROR(__xludf.DUMMYFUNCTION("AVERAGE(QUERY(SORT(GOOGLEFINANCE(B1664,""price"",TODAY()-365,TODAY()),1,0),""select Col2 limit 90""))"),164.12433333333342)</f>
        <v>164.1243333</v>
      </c>
      <c r="M1664" s="17">
        <f>IFERROR(__xludf.DUMMYFUNCTION("AVERAGE(QUERY(SORT(GOOGLEFINANCE(B1664,""price"",TODAY()-365,TODAY()),1,0),""select Col2 limit 120""))"),167.2359166666668)</f>
        <v>167.2359167</v>
      </c>
      <c r="N1664" s="19">
        <f>IFERROR(__xludf.DUMMYFUNCTION("AVERAGE(QUERY(SORT(GOOGLEFINANCE(B1664,""price"",TODAY()-365,TODAY()),1,0),""select Col2 limit 200""))"),184.60055000000003)</f>
        <v>184.60055</v>
      </c>
      <c r="O1664" s="20" t="str">
        <f t="shared" si="2"/>
        <v>Buy Above 200 DMA</v>
      </c>
      <c r="P1664" s="21" t="str">
        <f t="shared" si="3"/>
        <v/>
      </c>
      <c r="Q1664" s="21" t="str">
        <f t="shared" si="4"/>
        <v/>
      </c>
      <c r="R1664" s="22">
        <f>IFERROR(__xludf.DUMMYFUNCTION("GOOGLEFINANCE(B1664, ""pe"")
"),14.25)</f>
        <v>14.25</v>
      </c>
    </row>
    <row r="1665">
      <c r="A1665" s="9" t="s">
        <v>1673</v>
      </c>
      <c r="B1665" s="11" t="str">
        <f t="shared" si="1"/>
        <v>NSE:TEMBO</v>
      </c>
      <c r="C1665" s="12">
        <f>IFERROR(__xludf.DUMMYFUNCTION("GOOGLEFINANCE(B1665,""marketcap"")/10000000"),779.6211728)</f>
        <v>779.6211728</v>
      </c>
      <c r="D1665" s="13">
        <f>IFERROR(__xludf.DUMMYFUNCTION("GOOGLEFINANCE(B1665,""price"")"),504.05)</f>
        <v>504.05</v>
      </c>
      <c r="E1665" s="14">
        <f>IFERROR(__xludf.DUMMYFUNCTION("GOOGLEFINANCE(B1665,""Volume"")"),4413.0)</f>
        <v>4413</v>
      </c>
      <c r="F1665" s="14">
        <f t="array" ref="F1665">F1664</f>
        <v>14</v>
      </c>
      <c r="G1665" s="15" t="str">
        <f>IFERROR(__xludf.DUMMYFUNCTION("IF(E1665&gt;AVERAGE(INDEX(GOOGLEFINANCE(B1665,""volume"",WORKDAY(TODAY(),-$F$1),TODAY()),,2)),""Breakout"","""")"),"")</f>
        <v/>
      </c>
      <c r="H1665" s="16">
        <f>IFERROR(__xludf.DUMMYFUNCTION("GOOGLEFINANCE(B1665,""price"")"),504.05)</f>
        <v>504.05</v>
      </c>
      <c r="I1665" s="17">
        <f>IFERROR(__xludf.DUMMYFUNCTION("AVERAGE(QUERY(SORT(GOOGLEFINANCE(B1665,""price"",TODAY()-365,TODAY()),1,0),""select Col2 limit 10""))"),507.51500000000004)</f>
        <v>507.515</v>
      </c>
      <c r="J1665" s="17">
        <f>IFERROR(__xludf.DUMMYFUNCTION("AVERAGE(QUERY(SORT(GOOGLEFINANCE(B1665,""price"",TODAY()-365,TODAY()),1,0),""select Col2 limit 30""))"),505.0249999999999)</f>
        <v>505.025</v>
      </c>
      <c r="K1665" s="18">
        <f>IFERROR(__xludf.DUMMYFUNCTION("AVERAGE(QUERY(SORT(GOOGLEFINANCE(B1665,""price"",TODAY()-365,TODAY()),1,0),""select Col2 limit 60""))"),484.07250000000005)</f>
        <v>484.0725</v>
      </c>
      <c r="L1665" s="17">
        <f>IFERROR(__xludf.DUMMYFUNCTION("AVERAGE(QUERY(SORT(GOOGLEFINANCE(B1665,""price"",TODAY()-365,TODAY()),1,0),""select Col2 limit 90""))"),485.1905555555555)</f>
        <v>485.1905556</v>
      </c>
      <c r="M1665" s="17">
        <f>IFERROR(__xludf.DUMMYFUNCTION("AVERAGE(QUERY(SORT(GOOGLEFINANCE(B1665,""price"",TODAY()-365,TODAY()),1,0),""select Col2 limit 120""))"),515.4241666666666)</f>
        <v>515.4241667</v>
      </c>
      <c r="N1665" s="19">
        <f>IFERROR(__xludf.DUMMYFUNCTION("AVERAGE(QUERY(SORT(GOOGLEFINANCE(B1665,""price"",TODAY()-365,TODAY()),1,0),""select Col2 limit 200""))"),580.957)</f>
        <v>580.957</v>
      </c>
      <c r="O1665" s="20" t="str">
        <f t="shared" si="2"/>
        <v>Avoid</v>
      </c>
      <c r="P1665" s="21" t="str">
        <f t="shared" si="3"/>
        <v>10 DMA</v>
      </c>
      <c r="Q1665" s="21" t="str">
        <f t="shared" si="4"/>
        <v/>
      </c>
      <c r="R1665" s="22">
        <f>IFERROR(__xludf.DUMMYFUNCTION("GOOGLEFINANCE(B1665, ""pe"")
"),16.19)</f>
        <v>16.19</v>
      </c>
    </row>
    <row r="1666">
      <c r="A1666" s="9" t="s">
        <v>1674</v>
      </c>
      <c r="B1666" s="11" t="str">
        <f t="shared" si="1"/>
        <v>NSE:COMPUSOFT</v>
      </c>
      <c r="C1666" s="12">
        <f>IFERROR(__xludf.DUMMYFUNCTION("GOOGLEFINANCE(B1666,""marketcap"")/10000000"),163.4726)</f>
        <v>163.4726</v>
      </c>
      <c r="D1666" s="13">
        <f>IFERROR(__xludf.DUMMYFUNCTION("GOOGLEFINANCE(B1666,""price"")"),20.59)</f>
        <v>20.59</v>
      </c>
      <c r="E1666" s="14">
        <f>IFERROR(__xludf.DUMMYFUNCTION("GOOGLEFINANCE(B1666,""Volume"")"),10389.0)</f>
        <v>10389</v>
      </c>
      <c r="F1666" s="14">
        <f t="array" ref="F1666">F1665</f>
        <v>14</v>
      </c>
      <c r="G1666" s="15" t="str">
        <f>IFERROR(__xludf.DUMMYFUNCTION("IF(E1666&gt;AVERAGE(INDEX(GOOGLEFINANCE(B1666,""volume"",WORKDAY(TODAY(),-$F$1),TODAY()),,2)),""Breakout"","""")"),"")</f>
        <v/>
      </c>
      <c r="H1666" s="16">
        <f>IFERROR(__xludf.DUMMYFUNCTION("GOOGLEFINANCE(B1666,""price"")"),20.59)</f>
        <v>20.59</v>
      </c>
      <c r="I1666" s="17">
        <f>IFERROR(__xludf.DUMMYFUNCTION("AVERAGE(QUERY(SORT(GOOGLEFINANCE(B1666,""price"",TODAY()-365,TODAY()),1,0),""select Col2 limit 10""))"),21.706)</f>
        <v>21.706</v>
      </c>
      <c r="J1666" s="17">
        <f>IFERROR(__xludf.DUMMYFUNCTION("AVERAGE(QUERY(SORT(GOOGLEFINANCE(B1666,""price"",TODAY()-365,TODAY()),1,0),""select Col2 limit 30""))"),21.769333333333336)</f>
        <v>21.76933333</v>
      </c>
      <c r="K1666" s="18">
        <f>IFERROR(__xludf.DUMMYFUNCTION("AVERAGE(QUERY(SORT(GOOGLEFINANCE(B1666,""price"",TODAY()-365,TODAY()),1,0),""select Col2 limit 60""))"),21.50833333333333)</f>
        <v>21.50833333</v>
      </c>
      <c r="L1666" s="17">
        <f>IFERROR(__xludf.DUMMYFUNCTION("AVERAGE(QUERY(SORT(GOOGLEFINANCE(B1666,""price"",TODAY()-365,TODAY()),1,0),""select Col2 limit 90""))"),20.640444444444437)</f>
        <v>20.64044444</v>
      </c>
      <c r="M1666" s="17">
        <f>IFERROR(__xludf.DUMMYFUNCTION("AVERAGE(QUERY(SORT(GOOGLEFINANCE(B1666,""price"",TODAY()-365,TODAY()),1,0),""select Col2 limit 120""))"),20.683249999999987)</f>
        <v>20.68325</v>
      </c>
      <c r="N1666" s="19">
        <f>IFERROR(__xludf.DUMMYFUNCTION("AVERAGE(QUERY(SORT(GOOGLEFINANCE(B1666,""price"",TODAY()-365,TODAY()),1,0),""select Col2 limit 200""))"),23.72149999999999)</f>
        <v>23.7215</v>
      </c>
      <c r="O1666" s="20" t="str">
        <f t="shared" si="2"/>
        <v>Avoid</v>
      </c>
      <c r="P1666" s="21" t="str">
        <f t="shared" si="3"/>
        <v>90 DMA</v>
      </c>
      <c r="Q1666" s="21" t="str">
        <f t="shared" si="4"/>
        <v/>
      </c>
      <c r="R1666" s="22">
        <f>IFERROR(__xludf.DUMMYFUNCTION("GOOGLEFINANCE(B1666, ""pe"")
"),108.37)</f>
        <v>108.37</v>
      </c>
    </row>
    <row r="1667">
      <c r="A1667" s="9" t="s">
        <v>1675</v>
      </c>
      <c r="B1667" s="11" t="str">
        <f t="shared" si="1"/>
        <v>NSE:RAJSREESUG</v>
      </c>
      <c r="C1667" s="12">
        <f>IFERROR(__xludf.DUMMYFUNCTION("GOOGLEFINANCE(B1667,""marketcap"")/10000000"),150.1042654)</f>
        <v>150.1042654</v>
      </c>
      <c r="D1667" s="13">
        <f>IFERROR(__xludf.DUMMYFUNCTION("GOOGLEFINANCE(B1667,""price"")"),45.3)</f>
        <v>45.3</v>
      </c>
      <c r="E1667" s="14">
        <f>IFERROR(__xludf.DUMMYFUNCTION("GOOGLEFINANCE(B1667,""Volume"")"),9783.0)</f>
        <v>9783</v>
      </c>
      <c r="F1667" s="14">
        <f t="array" ref="F1667">F1666</f>
        <v>14</v>
      </c>
      <c r="G1667" s="15" t="str">
        <f>IFERROR(__xludf.DUMMYFUNCTION("IF(E1667&gt;AVERAGE(INDEX(GOOGLEFINANCE(B1667,""volume"",WORKDAY(TODAY(),-$F$1),TODAY()),,2)),""Breakout"","""")"),"")</f>
        <v/>
      </c>
      <c r="H1667" s="16">
        <f>IFERROR(__xludf.DUMMYFUNCTION("GOOGLEFINANCE(B1667,""price"")"),45.3)</f>
        <v>45.3</v>
      </c>
      <c r="I1667" s="17">
        <f>IFERROR(__xludf.DUMMYFUNCTION("AVERAGE(QUERY(SORT(GOOGLEFINANCE(B1667,""price"",TODAY()-365,TODAY()),1,0),""select Col2 limit 10""))"),47.028)</f>
        <v>47.028</v>
      </c>
      <c r="J1667" s="17">
        <f>IFERROR(__xludf.DUMMYFUNCTION("AVERAGE(QUERY(SORT(GOOGLEFINANCE(B1667,""price"",TODAY()-365,TODAY()),1,0),""select Col2 limit 30""))"),47.79699999999999)</f>
        <v>47.797</v>
      </c>
      <c r="K1667" s="18">
        <f>IFERROR(__xludf.DUMMYFUNCTION("AVERAGE(QUERY(SORT(GOOGLEFINANCE(B1667,""price"",TODAY()-365,TODAY()),1,0),""select Col2 limit 60""))"),47.723166666666664)</f>
        <v>47.72316667</v>
      </c>
      <c r="L1667" s="17">
        <f>IFERROR(__xludf.DUMMYFUNCTION("AVERAGE(QUERY(SORT(GOOGLEFINANCE(B1667,""price"",TODAY()-365,TODAY()),1,0),""select Col2 limit 90""))"),46.24399999999999)</f>
        <v>46.244</v>
      </c>
      <c r="M1667" s="17">
        <f>IFERROR(__xludf.DUMMYFUNCTION("AVERAGE(QUERY(SORT(GOOGLEFINANCE(B1667,""price"",TODAY()-365,TODAY()),1,0),""select Col2 limit 120""))"),46.25408333333332)</f>
        <v>46.25408333</v>
      </c>
      <c r="N1667" s="19">
        <f>IFERROR(__xludf.DUMMYFUNCTION("AVERAGE(QUERY(SORT(GOOGLEFINANCE(B1667,""price"",TODAY()-365,TODAY()),1,0),""select Col2 limit 200""))"),52.37005000000001)</f>
        <v>52.37005</v>
      </c>
      <c r="O1667" s="20" t="str">
        <f t="shared" si="2"/>
        <v>Avoid</v>
      </c>
      <c r="P1667" s="21" t="str">
        <f t="shared" si="3"/>
        <v/>
      </c>
      <c r="Q1667" s="21" t="str">
        <f t="shared" si="4"/>
        <v/>
      </c>
      <c r="R1667" s="22">
        <f>IFERROR(__xludf.DUMMYFUNCTION("GOOGLEFINANCE(B1667, ""pe"")
"),18.55)</f>
        <v>18.55</v>
      </c>
    </row>
    <row r="1668">
      <c r="A1668" s="9" t="s">
        <v>1676</v>
      </c>
      <c r="B1668" s="11" t="str">
        <f t="shared" si="1"/>
        <v>NSE:SUPREMEINF</v>
      </c>
      <c r="C1668" s="12">
        <f>IFERROR(__xludf.DUMMYFUNCTION("GOOGLEFINANCE(B1668,""marketcap"")/10000000"),321.31624)</f>
        <v>321.31624</v>
      </c>
      <c r="D1668" s="13">
        <f>IFERROR(__xludf.DUMMYFUNCTION("GOOGLEFINANCE(B1668,""price"")"),123.55)</f>
        <v>123.55</v>
      </c>
      <c r="E1668" s="14">
        <f>IFERROR(__xludf.DUMMYFUNCTION("GOOGLEFINANCE(B1668,""Volume"")"),18663.0)</f>
        <v>18663</v>
      </c>
      <c r="F1668" s="14">
        <f t="array" ref="F1668">F1667</f>
        <v>14</v>
      </c>
      <c r="G1668" s="15" t="str">
        <f>IFERROR(__xludf.DUMMYFUNCTION("IF(E1668&gt;AVERAGE(INDEX(GOOGLEFINANCE(B1668,""volume"",WORKDAY(TODAY(),-$F$1),TODAY()),,2)),""Breakout"","""")"),"")</f>
        <v/>
      </c>
      <c r="H1668" s="16">
        <f>IFERROR(__xludf.DUMMYFUNCTION("GOOGLEFINANCE(B1668,""price"")"),123.55)</f>
        <v>123.55</v>
      </c>
      <c r="I1668" s="17">
        <f>IFERROR(__xludf.DUMMYFUNCTION("AVERAGE(QUERY(SORT(GOOGLEFINANCE(B1668,""price"",TODAY()-365,TODAY()),1,0),""select Col2 limit 10""))"),122.61500000000001)</f>
        <v>122.615</v>
      </c>
      <c r="J1668" s="17">
        <f>IFERROR(__xludf.DUMMYFUNCTION("AVERAGE(QUERY(SORT(GOOGLEFINANCE(B1668,""price"",TODAY()-365,TODAY()),1,0),""select Col2 limit 30""))"),115.25000000000001)</f>
        <v>115.25</v>
      </c>
      <c r="K1668" s="18">
        <f>IFERROR(__xludf.DUMMYFUNCTION("AVERAGE(QUERY(SORT(GOOGLEFINANCE(B1668,""price"",TODAY()-365,TODAY()),1,0),""select Col2 limit 60""))"),102.97683333333335)</f>
        <v>102.9768333</v>
      </c>
      <c r="L1668" s="17">
        <f>IFERROR(__xludf.DUMMYFUNCTION("AVERAGE(QUERY(SORT(GOOGLEFINANCE(B1668,""price"",TODAY()-365,TODAY()),1,0),""select Col2 limit 90""))"),101.70055555555551)</f>
        <v>101.7005556</v>
      </c>
      <c r="M1668" s="17">
        <f>IFERROR(__xludf.DUMMYFUNCTION("AVERAGE(QUERY(SORT(GOOGLEFINANCE(B1668,""price"",TODAY()-365,TODAY()),1,0),""select Col2 limit 120""))"),100.57541666666658)</f>
        <v>100.5754167</v>
      </c>
      <c r="N1668" s="19">
        <f>IFERROR(__xludf.DUMMYFUNCTION("AVERAGE(QUERY(SORT(GOOGLEFINANCE(B1668,""price"",TODAY()-365,TODAY()),1,0),""select Col2 limit 200""))"),111.56244999999991)</f>
        <v>111.56245</v>
      </c>
      <c r="O1668" s="20" t="str">
        <f t="shared" si="2"/>
        <v>Avoid</v>
      </c>
      <c r="P1668" s="21" t="str">
        <f t="shared" si="3"/>
        <v/>
      </c>
      <c r="Q1668" s="21" t="str">
        <f t="shared" si="4"/>
        <v/>
      </c>
      <c r="R1668" s="22" t="str">
        <f>IFERROR(__xludf.DUMMYFUNCTION("GOOGLEFINANCE(B1668, ""pe"")
"),"#N/A")</f>
        <v>#N/A</v>
      </c>
    </row>
    <row r="1669">
      <c r="A1669" s="9" t="s">
        <v>1677</v>
      </c>
      <c r="B1669" s="11" t="str">
        <f t="shared" si="1"/>
        <v>NSE:AKSHARCHEM</v>
      </c>
      <c r="C1669" s="12">
        <f>IFERROR(__xludf.DUMMYFUNCTION("GOOGLEFINANCE(B1669,""marketcap"")/10000000"),234.5664616)</f>
        <v>234.5664616</v>
      </c>
      <c r="D1669" s="13">
        <f>IFERROR(__xludf.DUMMYFUNCTION("GOOGLEFINANCE(B1669,""price"")"),292.0)</f>
        <v>292</v>
      </c>
      <c r="E1669" s="14">
        <f>IFERROR(__xludf.DUMMYFUNCTION("GOOGLEFINANCE(B1669,""Volume"")"),28411.0)</f>
        <v>28411</v>
      </c>
      <c r="F1669" s="14">
        <f t="array" ref="F1669">F1668</f>
        <v>14</v>
      </c>
      <c r="G1669" s="15" t="str">
        <f>IFERROR(__xludf.DUMMYFUNCTION("IF(E1669&gt;AVERAGE(INDEX(GOOGLEFINANCE(B1669,""volume"",WORKDAY(TODAY(),-$F$1),TODAY()),,2)),""Breakout"","""")"),"Breakout")</f>
        <v>Breakout</v>
      </c>
      <c r="H1669" s="16">
        <f>IFERROR(__xludf.DUMMYFUNCTION("GOOGLEFINANCE(B1669,""price"")"),292.0)</f>
        <v>292</v>
      </c>
      <c r="I1669" s="17">
        <f>IFERROR(__xludf.DUMMYFUNCTION("AVERAGE(QUERY(SORT(GOOGLEFINANCE(B1669,""price"",TODAY()-365,TODAY()),1,0),""select Col2 limit 10""))"),304.97499999999997)</f>
        <v>304.975</v>
      </c>
      <c r="J1669" s="17">
        <f>IFERROR(__xludf.DUMMYFUNCTION("AVERAGE(QUERY(SORT(GOOGLEFINANCE(B1669,""price"",TODAY()-365,TODAY()),1,0),""select Col2 limit 30""))"),283.10966666666656)</f>
        <v>283.1096667</v>
      </c>
      <c r="K1669" s="18">
        <f>IFERROR(__xludf.DUMMYFUNCTION("AVERAGE(QUERY(SORT(GOOGLEFINANCE(B1669,""price"",TODAY()-365,TODAY()),1,0),""select Col2 limit 60""))"),265.4261666666667)</f>
        <v>265.4261667</v>
      </c>
      <c r="L1669" s="17">
        <f>IFERROR(__xludf.DUMMYFUNCTION("AVERAGE(QUERY(SORT(GOOGLEFINANCE(B1669,""price"",TODAY()-365,TODAY()),1,0),""select Col2 limit 90""))"),249.04755555555545)</f>
        <v>249.0475556</v>
      </c>
      <c r="M1669" s="17">
        <f>IFERROR(__xludf.DUMMYFUNCTION("AVERAGE(QUERY(SORT(GOOGLEFINANCE(B1669,""price"",TODAY()-365,TODAY()),1,0),""select Col2 limit 120""))"),246.8029166666666)</f>
        <v>246.8029167</v>
      </c>
      <c r="N1669" s="19">
        <f>IFERROR(__xludf.DUMMYFUNCTION("AVERAGE(QUERY(SORT(GOOGLEFINANCE(B1669,""price"",TODAY()-365,TODAY()),1,0),""select Col2 limit 200""))"),268.9672499999999)</f>
        <v>268.96725</v>
      </c>
      <c r="O1669" s="20" t="str">
        <f t="shared" si="2"/>
        <v>Avoid</v>
      </c>
      <c r="P1669" s="21" t="str">
        <f t="shared" si="3"/>
        <v/>
      </c>
      <c r="Q1669" s="21" t="str">
        <f t="shared" si="4"/>
        <v/>
      </c>
      <c r="R1669" s="22">
        <f>IFERROR(__xludf.DUMMYFUNCTION("GOOGLEFINANCE(B1669, ""pe"")
"),49.16)</f>
        <v>49.16</v>
      </c>
    </row>
    <row r="1670">
      <c r="A1670" s="9" t="s">
        <v>1678</v>
      </c>
      <c r="B1670" s="11" t="str">
        <f t="shared" si="1"/>
        <v>NSE:RPPL</v>
      </c>
      <c r="C1670" s="12">
        <f>IFERROR(__xludf.DUMMYFUNCTION("GOOGLEFINANCE(B1670,""marketcap"")/10000000"),191.4009855)</f>
        <v>191.4009855</v>
      </c>
      <c r="D1670" s="13">
        <f>IFERROR(__xludf.DUMMYFUNCTION("GOOGLEFINANCE(B1670,""price"")"),25.7)</f>
        <v>25.7</v>
      </c>
      <c r="E1670" s="14">
        <f>IFERROR(__xludf.DUMMYFUNCTION("GOOGLEFINANCE(B1670,""Volume"")"),9123.0)</f>
        <v>9123</v>
      </c>
      <c r="F1670" s="14">
        <f t="array" ref="F1670">F1669</f>
        <v>14</v>
      </c>
      <c r="G1670" s="15" t="str">
        <f>IFERROR(__xludf.DUMMYFUNCTION("IF(E1670&gt;AVERAGE(INDEX(GOOGLEFINANCE(B1670,""volume"",WORKDAY(TODAY(),-$F$1),TODAY()),,2)),""Breakout"","""")"),"")</f>
        <v/>
      </c>
      <c r="H1670" s="16">
        <f>IFERROR(__xludf.DUMMYFUNCTION("GOOGLEFINANCE(B1670,""price"")"),25.7)</f>
        <v>25.7</v>
      </c>
      <c r="I1670" s="17">
        <f>IFERROR(__xludf.DUMMYFUNCTION("AVERAGE(QUERY(SORT(GOOGLEFINANCE(B1670,""price"",TODAY()-365,TODAY()),1,0),""select Col2 limit 10""))"),26.375000000000007)</f>
        <v>26.375</v>
      </c>
      <c r="J1670" s="17">
        <f>IFERROR(__xludf.DUMMYFUNCTION("AVERAGE(QUERY(SORT(GOOGLEFINANCE(B1670,""price"",TODAY()-365,TODAY()),1,0),""select Col2 limit 30""))"),26.58600000000001)</f>
        <v>26.586</v>
      </c>
      <c r="K1670" s="18">
        <f>IFERROR(__xludf.DUMMYFUNCTION("AVERAGE(QUERY(SORT(GOOGLEFINANCE(B1670,""price"",TODAY()-365,TODAY()),1,0),""select Col2 limit 60""))"),26.717166666666675)</f>
        <v>26.71716667</v>
      </c>
      <c r="L1670" s="17">
        <f>IFERROR(__xludf.DUMMYFUNCTION("AVERAGE(QUERY(SORT(GOOGLEFINANCE(B1670,""price"",TODAY()-365,TODAY()),1,0),""select Col2 limit 90""))"),25.836111111111116)</f>
        <v>25.83611111</v>
      </c>
      <c r="M1670" s="17">
        <f>IFERROR(__xludf.DUMMYFUNCTION("AVERAGE(QUERY(SORT(GOOGLEFINANCE(B1670,""price"",TODAY()-365,TODAY()),1,0),""select Col2 limit 120""))"),26.559000000000005)</f>
        <v>26.559</v>
      </c>
      <c r="N1670" s="19">
        <f>IFERROR(__xludf.DUMMYFUNCTION("AVERAGE(QUERY(SORT(GOOGLEFINANCE(B1670,""price"",TODAY()-365,TODAY()),1,0),""select Col2 limit 200""))"),31.147649999999988)</f>
        <v>31.14765</v>
      </c>
      <c r="O1670" s="20" t="str">
        <f t="shared" si="2"/>
        <v>Avoid</v>
      </c>
      <c r="P1670" s="21" t="str">
        <f t="shared" si="3"/>
        <v>90 DMA</v>
      </c>
      <c r="Q1670" s="21" t="str">
        <f t="shared" si="4"/>
        <v/>
      </c>
      <c r="R1670" s="22">
        <f>IFERROR(__xludf.DUMMYFUNCTION("GOOGLEFINANCE(B1670, ""pe"")
"),23.8)</f>
        <v>23.8</v>
      </c>
    </row>
    <row r="1671">
      <c r="A1671" s="9" t="s">
        <v>1679</v>
      </c>
      <c r="B1671" s="11" t="str">
        <f t="shared" si="1"/>
        <v>NSE:VARDMNPOLY</v>
      </c>
      <c r="C1671" s="12">
        <f>IFERROR(__xludf.DUMMYFUNCTION("GOOGLEFINANCE(B1671,""marketcap"")/10000000"),476.3319772)</f>
        <v>476.3319772</v>
      </c>
      <c r="D1671" s="13">
        <f>IFERROR(__xludf.DUMMYFUNCTION("GOOGLEFINANCE(B1671,""price"")"),10.35)</f>
        <v>10.35</v>
      </c>
      <c r="E1671" s="14">
        <f>IFERROR(__xludf.DUMMYFUNCTION("GOOGLEFINANCE(B1671,""Volume"")"),113635.0)</f>
        <v>113635</v>
      </c>
      <c r="F1671" s="14">
        <f t="array" ref="F1671">F1670</f>
        <v>14</v>
      </c>
      <c r="G1671" s="15" t="str">
        <f>IFERROR(__xludf.DUMMYFUNCTION("IF(E1671&gt;AVERAGE(INDEX(GOOGLEFINANCE(B1671,""volume"",WORKDAY(TODAY(),-$F$1),TODAY()),,2)),""Breakout"","""")"),"")</f>
        <v/>
      </c>
      <c r="H1671" s="16">
        <f>IFERROR(__xludf.DUMMYFUNCTION("GOOGLEFINANCE(B1671,""price"")"),10.35)</f>
        <v>10.35</v>
      </c>
      <c r="I1671" s="17">
        <f>IFERROR(__xludf.DUMMYFUNCTION("AVERAGE(QUERY(SORT(GOOGLEFINANCE(B1671,""price"",TODAY()-365,TODAY()),1,0),""select Col2 limit 10""))"),11.062999999999999)</f>
        <v>11.063</v>
      </c>
      <c r="J1671" s="17">
        <f>IFERROR(__xludf.DUMMYFUNCTION("AVERAGE(QUERY(SORT(GOOGLEFINANCE(B1671,""price"",TODAY()-365,TODAY()),1,0),""select Col2 limit 30""))"),11.502999999999998)</f>
        <v>11.503</v>
      </c>
      <c r="K1671" s="18">
        <f>IFERROR(__xludf.DUMMYFUNCTION("AVERAGE(QUERY(SORT(GOOGLEFINANCE(B1671,""price"",TODAY()-365,TODAY()),1,0),""select Col2 limit 60""))"),11.844833333333328)</f>
        <v>11.84483333</v>
      </c>
      <c r="L1671" s="17">
        <f>IFERROR(__xludf.DUMMYFUNCTION("AVERAGE(QUERY(SORT(GOOGLEFINANCE(B1671,""price"",TODAY()-365,TODAY()),1,0),""select Col2 limit 90""))"),11.41733333333333)</f>
        <v>11.41733333</v>
      </c>
      <c r="M1671" s="17">
        <f>IFERROR(__xludf.DUMMYFUNCTION("AVERAGE(QUERY(SORT(GOOGLEFINANCE(B1671,""price"",TODAY()-365,TODAY()),1,0),""select Col2 limit 120""))"),11.411999999999994)</f>
        <v>11.412</v>
      </c>
      <c r="N1671" s="19">
        <f>IFERROR(__xludf.DUMMYFUNCTION("AVERAGE(QUERY(SORT(GOOGLEFINANCE(B1671,""price"",TODAY()-365,TODAY()),1,0),""select Col2 limit 200""))"),11.55975)</f>
        <v>11.55975</v>
      </c>
      <c r="O1671" s="20" t="str">
        <f t="shared" si="2"/>
        <v>Avoid</v>
      </c>
      <c r="P1671" s="21" t="str">
        <f t="shared" si="3"/>
        <v/>
      </c>
      <c r="Q1671" s="21" t="str">
        <f t="shared" si="4"/>
        <v/>
      </c>
      <c r="R1671" s="22">
        <f>IFERROR(__xludf.DUMMYFUNCTION("GOOGLEFINANCE(B1671, ""pe"")
"),23.07)</f>
        <v>23.07</v>
      </c>
    </row>
    <row r="1672">
      <c r="A1672" s="9" t="s">
        <v>1680</v>
      </c>
      <c r="B1672" s="11" t="str">
        <f t="shared" si="1"/>
        <v>NSE:GSS</v>
      </c>
      <c r="C1672" s="12">
        <f>IFERROR(__xludf.DUMMYFUNCTION("GOOGLEFINANCE(B1672,""marketcap"")/10000000"),82.1431715)</f>
        <v>82.1431715</v>
      </c>
      <c r="D1672" s="13">
        <f>IFERROR(__xludf.DUMMYFUNCTION("GOOGLEFINANCE(B1672,""price"")"),31.7)</f>
        <v>31.7</v>
      </c>
      <c r="E1672" s="14">
        <f>IFERROR(__xludf.DUMMYFUNCTION("GOOGLEFINANCE(B1672,""Volume"")"),34080.0)</f>
        <v>34080</v>
      </c>
      <c r="F1672" s="14">
        <f t="array" ref="F1672">F1671</f>
        <v>14</v>
      </c>
      <c r="G1672" s="15" t="str">
        <f>IFERROR(__xludf.DUMMYFUNCTION("IF(E1672&gt;AVERAGE(INDEX(GOOGLEFINANCE(B1672,""volume"",WORKDAY(TODAY(),-$F$1),TODAY()),,2)),""Breakout"","""")"),"#N/A")</f>
        <v>#N/A</v>
      </c>
      <c r="H1672" s="16">
        <f>IFERROR(__xludf.DUMMYFUNCTION("GOOGLEFINANCE(B1672,""price"")"),31.7)</f>
        <v>31.7</v>
      </c>
      <c r="I1672" s="17">
        <f>IFERROR(__xludf.DUMMYFUNCTION("AVERAGE(QUERY(SORT(GOOGLEFINANCE(B1672,""price"",TODAY()-365,TODAY()),1,0),""select Col2 limit 10""))"),32.279)</f>
        <v>32.279</v>
      </c>
      <c r="J1672" s="17">
        <f>IFERROR(__xludf.DUMMYFUNCTION("AVERAGE(QUERY(SORT(GOOGLEFINANCE(B1672,""price"",TODAY()-365,TODAY()),1,0),""select Col2 limit 30""))"),33.437333333333335)</f>
        <v>33.43733333</v>
      </c>
      <c r="K1672" s="18">
        <f>IFERROR(__xludf.DUMMYFUNCTION("AVERAGE(QUERY(SORT(GOOGLEFINANCE(B1672,""price"",TODAY()-365,TODAY()),1,0),""select Col2 limit 60""))"),34.74816666666668)</f>
        <v>34.74816667</v>
      </c>
      <c r="L1672" s="17">
        <f>IFERROR(__xludf.DUMMYFUNCTION("AVERAGE(QUERY(SORT(GOOGLEFINANCE(B1672,""price"",TODAY()-365,TODAY()),1,0),""select Col2 limit 90""))"),35.65500000000001)</f>
        <v>35.655</v>
      </c>
      <c r="M1672" s="17">
        <f>IFERROR(__xludf.DUMMYFUNCTION("AVERAGE(QUERY(SORT(GOOGLEFINANCE(B1672,""price"",TODAY()-365,TODAY()),1,0),""select Col2 limit 120""))"),38.969416666666675)</f>
        <v>38.96941667</v>
      </c>
      <c r="N1672" s="19">
        <f>IFERROR(__xludf.DUMMYFUNCTION("AVERAGE(QUERY(SORT(GOOGLEFINANCE(B1672,""price"",TODAY()-365,TODAY()),1,0),""select Col2 limit 200""))"),49.11785)</f>
        <v>49.11785</v>
      </c>
      <c r="O1672" s="20" t="str">
        <f t="shared" si="2"/>
        <v>Avoid</v>
      </c>
      <c r="P1672" s="21" t="str">
        <f t="shared" si="3"/>
        <v/>
      </c>
      <c r="Q1672" s="21" t="str">
        <f t="shared" si="4"/>
        <v/>
      </c>
      <c r="R1672" s="22" t="str">
        <f>IFERROR(__xludf.DUMMYFUNCTION("GOOGLEFINANCE(B1672, ""pe"")
"),"#N/A")</f>
        <v>#N/A</v>
      </c>
    </row>
    <row r="1673">
      <c r="A1673" s="9" t="s">
        <v>1681</v>
      </c>
      <c r="B1673" s="11" t="str">
        <f t="shared" si="1"/>
        <v>NSE:TIPSFILMS</v>
      </c>
      <c r="C1673" s="12">
        <f>IFERROR(__xludf.DUMMYFUNCTION("GOOGLEFINANCE(B1673,""marketcap"")/10000000"),220.8994235)</f>
        <v>220.8994235</v>
      </c>
      <c r="D1673" s="13">
        <f>IFERROR(__xludf.DUMMYFUNCTION("GOOGLEFINANCE(B1673,""price"")"),511.0)</f>
        <v>511</v>
      </c>
      <c r="E1673" s="14">
        <f>IFERROR(__xludf.DUMMYFUNCTION("GOOGLEFINANCE(B1673,""Volume"")"),1497.0)</f>
        <v>1497</v>
      </c>
      <c r="F1673" s="14">
        <f t="array" ref="F1673">F1672</f>
        <v>14</v>
      </c>
      <c r="G1673" s="15" t="str">
        <f>IFERROR(__xludf.DUMMYFUNCTION("IF(E1673&gt;AVERAGE(INDEX(GOOGLEFINANCE(B1673,""volume"",WORKDAY(TODAY(),-$F$1),TODAY()),,2)),""Breakout"","""")"),"#N/A")</f>
        <v>#N/A</v>
      </c>
      <c r="H1673" s="16">
        <f>IFERROR(__xludf.DUMMYFUNCTION("GOOGLEFINANCE(B1673,""price"")"),511.0)</f>
        <v>511</v>
      </c>
      <c r="I1673" s="17">
        <f>IFERROR(__xludf.DUMMYFUNCTION("AVERAGE(QUERY(SORT(GOOGLEFINANCE(B1673,""price"",TODAY()-365,TODAY()),1,0),""select Col2 limit 10""))"),544.465)</f>
        <v>544.465</v>
      </c>
      <c r="J1673" s="17">
        <f>IFERROR(__xludf.DUMMYFUNCTION("AVERAGE(QUERY(SORT(GOOGLEFINANCE(B1673,""price"",TODAY()-365,TODAY()),1,0),""select Col2 limit 30""))"),572.805)</f>
        <v>572.805</v>
      </c>
      <c r="K1673" s="18">
        <f>IFERROR(__xludf.DUMMYFUNCTION("AVERAGE(QUERY(SORT(GOOGLEFINANCE(B1673,""price"",TODAY()-365,TODAY()),1,0),""select Col2 limit 60""))"),560.5149999999999)</f>
        <v>560.515</v>
      </c>
      <c r="L1673" s="17">
        <f>IFERROR(__xludf.DUMMYFUNCTION("AVERAGE(QUERY(SORT(GOOGLEFINANCE(B1673,""price"",TODAY()-365,TODAY()),1,0),""select Col2 limit 90""))"),537.9116666666664)</f>
        <v>537.9116667</v>
      </c>
      <c r="M1673" s="17">
        <f>IFERROR(__xludf.DUMMYFUNCTION("AVERAGE(QUERY(SORT(GOOGLEFINANCE(B1673,""price"",TODAY()-365,TODAY()),1,0),""select Col2 limit 120""))"),538.0845833333333)</f>
        <v>538.0845833</v>
      </c>
      <c r="N1673" s="19">
        <f>IFERROR(__xludf.DUMMYFUNCTION("AVERAGE(QUERY(SORT(GOOGLEFINANCE(B1673,""price"",TODAY()-365,TODAY()),1,0),""select Col2 limit 200""))"),552.1272500000001)</f>
        <v>552.12725</v>
      </c>
      <c r="O1673" s="20" t="str">
        <f t="shared" si="2"/>
        <v>Avoid</v>
      </c>
      <c r="P1673" s="21" t="str">
        <f t="shared" si="3"/>
        <v/>
      </c>
      <c r="Q1673" s="21" t="str">
        <f t="shared" si="4"/>
        <v/>
      </c>
      <c r="R1673" s="22" t="str">
        <f>IFERROR(__xludf.DUMMYFUNCTION("GOOGLEFINANCE(B1673, ""pe"")
"),"#N/A")</f>
        <v>#N/A</v>
      </c>
    </row>
    <row r="1674">
      <c r="A1674" s="9" t="s">
        <v>1682</v>
      </c>
      <c r="B1674" s="11" t="str">
        <f t="shared" si="1"/>
        <v>NSE:KREBSBIO</v>
      </c>
      <c r="C1674" s="12">
        <f>IFERROR(__xludf.DUMMYFUNCTION("GOOGLEFINANCE(B1674,""marketcap"")/10000000"),165.5853377)</f>
        <v>165.5853377</v>
      </c>
      <c r="D1674" s="13">
        <f>IFERROR(__xludf.DUMMYFUNCTION("GOOGLEFINANCE(B1674,""price"")"),76.8)</f>
        <v>76.8</v>
      </c>
      <c r="E1674" s="14">
        <f>IFERROR(__xludf.DUMMYFUNCTION("GOOGLEFINANCE(B1674,""Volume"")"),668.0)</f>
        <v>668</v>
      </c>
      <c r="F1674" s="14">
        <f t="array" ref="F1674">F1673</f>
        <v>14</v>
      </c>
      <c r="G1674" s="15" t="str">
        <f>IFERROR(__xludf.DUMMYFUNCTION("IF(E1674&gt;AVERAGE(INDEX(GOOGLEFINANCE(B1674,""volume"",WORKDAY(TODAY(),-$F$1),TODAY()),,2)),""Breakout"","""")"),"")</f>
        <v/>
      </c>
      <c r="H1674" s="16">
        <f>IFERROR(__xludf.DUMMYFUNCTION("GOOGLEFINANCE(B1674,""price"")"),76.8)</f>
        <v>76.8</v>
      </c>
      <c r="I1674" s="17">
        <f>IFERROR(__xludf.DUMMYFUNCTION("AVERAGE(QUERY(SORT(GOOGLEFINANCE(B1674,""price"",TODAY()-365,TODAY()),1,0),""select Col2 limit 10""))"),81.71399999999998)</f>
        <v>81.714</v>
      </c>
      <c r="J1674" s="17">
        <f>IFERROR(__xludf.DUMMYFUNCTION("AVERAGE(QUERY(SORT(GOOGLEFINANCE(B1674,""price"",TODAY()-365,TODAY()),1,0),""select Col2 limit 30""))"),85.51866666666666)</f>
        <v>85.51866667</v>
      </c>
      <c r="K1674" s="18">
        <f>IFERROR(__xludf.DUMMYFUNCTION("AVERAGE(QUERY(SORT(GOOGLEFINANCE(B1674,""price"",TODAY()-365,TODAY()),1,0),""select Col2 limit 60""))"),82.25533333333333)</f>
        <v>82.25533333</v>
      </c>
      <c r="L1674" s="17">
        <f>IFERROR(__xludf.DUMMYFUNCTION("AVERAGE(QUERY(SORT(GOOGLEFINANCE(B1674,""price"",TODAY()-365,TODAY()),1,0),""select Col2 limit 90""))"),79.72233333333332)</f>
        <v>79.72233333</v>
      </c>
      <c r="M1674" s="17">
        <f>IFERROR(__xludf.DUMMYFUNCTION("AVERAGE(QUERY(SORT(GOOGLEFINANCE(B1674,""price"",TODAY()-365,TODAY()),1,0),""select Col2 limit 120""))"),81.76483333333334)</f>
        <v>81.76483333</v>
      </c>
      <c r="N1674" s="19">
        <f>IFERROR(__xludf.DUMMYFUNCTION("AVERAGE(QUERY(SORT(GOOGLEFINANCE(B1674,""price"",TODAY()-365,TODAY()),1,0),""select Col2 limit 200""))"),86.30280000000002)</f>
        <v>86.3028</v>
      </c>
      <c r="O1674" s="20" t="str">
        <f t="shared" si="2"/>
        <v>Avoid</v>
      </c>
      <c r="P1674" s="21" t="str">
        <f t="shared" si="3"/>
        <v/>
      </c>
      <c r="Q1674" s="21" t="str">
        <f t="shared" si="4"/>
        <v/>
      </c>
      <c r="R1674" s="22" t="str">
        <f>IFERROR(__xludf.DUMMYFUNCTION("GOOGLEFINANCE(B1674, ""pe"")
"),"#N/A")</f>
        <v>#N/A</v>
      </c>
    </row>
    <row r="1675">
      <c r="A1675" s="9" t="s">
        <v>1683</v>
      </c>
      <c r="B1675" s="11" t="str">
        <f t="shared" si="1"/>
        <v>NSE:SHIVATEX</v>
      </c>
      <c r="C1675" s="12">
        <f>IFERROR(__xludf.DUMMYFUNCTION("GOOGLEFINANCE(B1675,""marketcap"")/10000000"),257.4523841)</f>
        <v>257.4523841</v>
      </c>
      <c r="D1675" s="13">
        <f>IFERROR(__xludf.DUMMYFUNCTION("GOOGLEFINANCE(B1675,""price"")"),198.61)</f>
        <v>198.61</v>
      </c>
      <c r="E1675" s="14">
        <f>IFERROR(__xludf.DUMMYFUNCTION("GOOGLEFINANCE(B1675,""Volume"")"),3095.0)</f>
        <v>3095</v>
      </c>
      <c r="F1675" s="14">
        <f t="array" ref="F1675">F1674</f>
        <v>14</v>
      </c>
      <c r="G1675" s="15" t="str">
        <f>IFERROR(__xludf.DUMMYFUNCTION("IF(E1675&gt;AVERAGE(INDEX(GOOGLEFINANCE(B1675,""volume"",WORKDAY(TODAY(),-$F$1),TODAY()),,2)),""Breakout"","""")"),"")</f>
        <v/>
      </c>
      <c r="H1675" s="16">
        <f>IFERROR(__xludf.DUMMYFUNCTION("GOOGLEFINANCE(B1675,""price"")"),198.61)</f>
        <v>198.61</v>
      </c>
      <c r="I1675" s="17">
        <f>IFERROR(__xludf.DUMMYFUNCTION("AVERAGE(QUERY(SORT(GOOGLEFINANCE(B1675,""price"",TODAY()-365,TODAY()),1,0),""select Col2 limit 10""))"),201.88)</f>
        <v>201.88</v>
      </c>
      <c r="J1675" s="17">
        <f>IFERROR(__xludf.DUMMYFUNCTION("AVERAGE(QUERY(SORT(GOOGLEFINANCE(B1675,""price"",TODAY()-365,TODAY()),1,0),""select Col2 limit 30""))"),204.073)</f>
        <v>204.073</v>
      </c>
      <c r="K1675" s="18">
        <f>IFERROR(__xludf.DUMMYFUNCTION("AVERAGE(QUERY(SORT(GOOGLEFINANCE(B1675,""price"",TODAY()-365,TODAY()),1,0),""select Col2 limit 60""))"),205.8708333333333)</f>
        <v>205.8708333</v>
      </c>
      <c r="L1675" s="17">
        <f>IFERROR(__xludf.DUMMYFUNCTION("AVERAGE(QUERY(SORT(GOOGLEFINANCE(B1675,""price"",TODAY()-365,TODAY()),1,0),""select Col2 limit 90""))"),200.57433333333327)</f>
        <v>200.5743333</v>
      </c>
      <c r="M1675" s="17">
        <f>IFERROR(__xludf.DUMMYFUNCTION("AVERAGE(QUERY(SORT(GOOGLEFINANCE(B1675,""price"",TODAY()-365,TODAY()),1,0),""select Col2 limit 120""))"),201.9114166666666)</f>
        <v>201.9114167</v>
      </c>
      <c r="N1675" s="19">
        <f>IFERROR(__xludf.DUMMYFUNCTION("AVERAGE(QUERY(SORT(GOOGLEFINANCE(B1675,""price"",TODAY()-365,TODAY()),1,0),""select Col2 limit 200""))"),212.00385000000006)</f>
        <v>212.00385</v>
      </c>
      <c r="O1675" s="20" t="str">
        <f t="shared" si="2"/>
        <v>Avoid</v>
      </c>
      <c r="P1675" s="21" t="str">
        <f t="shared" si="3"/>
        <v>90 DMA</v>
      </c>
      <c r="Q1675" s="21" t="str">
        <f t="shared" si="4"/>
        <v/>
      </c>
      <c r="R1675" s="22">
        <f>IFERROR(__xludf.DUMMYFUNCTION("GOOGLEFINANCE(B1675, ""pe"")
"),21.33)</f>
        <v>21.33</v>
      </c>
    </row>
    <row r="1676">
      <c r="A1676" s="9" t="s">
        <v>1684</v>
      </c>
      <c r="B1676" s="11" t="str">
        <f t="shared" si="1"/>
        <v>NSE:PRAENG</v>
      </c>
      <c r="C1676" s="12">
        <f>IFERROR(__xludf.DUMMYFUNCTION("GOOGLEFINANCE(B1676,""marketcap"")/10000000"),139.87154)</f>
        <v>139.87154</v>
      </c>
      <c r="D1676" s="13">
        <f>IFERROR(__xludf.DUMMYFUNCTION("GOOGLEFINANCE(B1676,""price"")"),20.09)</f>
        <v>20.09</v>
      </c>
      <c r="E1676" s="14">
        <f>IFERROR(__xludf.DUMMYFUNCTION("GOOGLEFINANCE(B1676,""Volume"")"),40242.0)</f>
        <v>40242</v>
      </c>
      <c r="F1676" s="14">
        <f t="array" ref="F1676">F1675</f>
        <v>14</v>
      </c>
      <c r="G1676" s="15" t="str">
        <f>IFERROR(__xludf.DUMMYFUNCTION("IF(E1676&gt;AVERAGE(INDEX(GOOGLEFINANCE(B1676,""volume"",WORKDAY(TODAY(),-$F$1),TODAY()),,2)),""Breakout"","""")"),"")</f>
        <v/>
      </c>
      <c r="H1676" s="16">
        <f>IFERROR(__xludf.DUMMYFUNCTION("GOOGLEFINANCE(B1676,""price"")"),20.09)</f>
        <v>20.09</v>
      </c>
      <c r="I1676" s="17">
        <f>IFERROR(__xludf.DUMMYFUNCTION("AVERAGE(QUERY(SORT(GOOGLEFINANCE(B1676,""price"",TODAY()-365,TODAY()),1,0),""select Col2 limit 10""))"),21.273)</f>
        <v>21.273</v>
      </c>
      <c r="J1676" s="17">
        <f>IFERROR(__xludf.DUMMYFUNCTION("AVERAGE(QUERY(SORT(GOOGLEFINANCE(B1676,""price"",TODAY()-365,TODAY()),1,0),""select Col2 limit 30""))"),22.26066666666667)</f>
        <v>22.26066667</v>
      </c>
      <c r="K1676" s="18">
        <f>IFERROR(__xludf.DUMMYFUNCTION("AVERAGE(QUERY(SORT(GOOGLEFINANCE(B1676,""price"",TODAY()-365,TODAY()),1,0),""select Col2 limit 60""))"),21.22383333333333)</f>
        <v>21.22383333</v>
      </c>
      <c r="L1676" s="17">
        <f>IFERROR(__xludf.DUMMYFUNCTION("AVERAGE(QUERY(SORT(GOOGLEFINANCE(B1676,""price"",TODAY()-365,TODAY()),1,0),""select Col2 limit 90""))"),21.265555555555554)</f>
        <v>21.26555556</v>
      </c>
      <c r="M1676" s="17">
        <f>IFERROR(__xludf.DUMMYFUNCTION("AVERAGE(QUERY(SORT(GOOGLEFINANCE(B1676,""price"",TODAY()-365,TODAY()),1,0),""select Col2 limit 120""))"),21.60883333333332)</f>
        <v>21.60883333</v>
      </c>
      <c r="N1676" s="19">
        <f>IFERROR(__xludf.DUMMYFUNCTION("AVERAGE(QUERY(SORT(GOOGLEFINANCE(B1676,""price"",TODAY()-365,TODAY()),1,0),""select Col2 limit 200""))"),25.5881)</f>
        <v>25.5881</v>
      </c>
      <c r="O1676" s="20" t="str">
        <f t="shared" si="2"/>
        <v>Avoid</v>
      </c>
      <c r="P1676" s="21" t="str">
        <f t="shared" si="3"/>
        <v/>
      </c>
      <c r="Q1676" s="21" t="str">
        <f t="shared" si="4"/>
        <v/>
      </c>
      <c r="R1676" s="22" t="str">
        <f>IFERROR(__xludf.DUMMYFUNCTION("GOOGLEFINANCE(B1676, ""pe"")
"),"#N/A")</f>
        <v>#N/A</v>
      </c>
    </row>
    <row r="1677">
      <c r="A1677" s="9" t="s">
        <v>1685</v>
      </c>
      <c r="B1677" s="11" t="str">
        <f t="shared" si="1"/>
        <v>NSE:MITCON</v>
      </c>
      <c r="C1677" s="12">
        <f>IFERROR(__xludf.DUMMYFUNCTION("GOOGLEFINANCE(B1677,""marketcap"")/10000000"),119.0739789)</f>
        <v>119.0739789</v>
      </c>
      <c r="D1677" s="13">
        <f>IFERROR(__xludf.DUMMYFUNCTION("GOOGLEFINANCE(B1677,""price"")"),78.33)</f>
        <v>78.33</v>
      </c>
      <c r="E1677" s="14">
        <f>IFERROR(__xludf.DUMMYFUNCTION("GOOGLEFINANCE(B1677,""Volume"")"),7720.0)</f>
        <v>7720</v>
      </c>
      <c r="F1677" s="14">
        <f t="array" ref="F1677">F1676</f>
        <v>14</v>
      </c>
      <c r="G1677" s="15" t="str">
        <f>IFERROR(__xludf.DUMMYFUNCTION("IF(E1677&gt;AVERAGE(INDEX(GOOGLEFINANCE(B1677,""volume"",WORKDAY(TODAY(),-$F$1),TODAY()),,2)),""Breakout"","""")"),"")</f>
        <v/>
      </c>
      <c r="H1677" s="16">
        <f>IFERROR(__xludf.DUMMYFUNCTION("GOOGLEFINANCE(B1677,""price"")"),78.33)</f>
        <v>78.33</v>
      </c>
      <c r="I1677" s="17">
        <f>IFERROR(__xludf.DUMMYFUNCTION("AVERAGE(QUERY(SORT(GOOGLEFINANCE(B1677,""price"",TODAY()-365,TODAY()),1,0),""select Col2 limit 10""))"),80.309)</f>
        <v>80.309</v>
      </c>
      <c r="J1677" s="17">
        <f>IFERROR(__xludf.DUMMYFUNCTION("AVERAGE(QUERY(SORT(GOOGLEFINANCE(B1677,""price"",TODAY()-365,TODAY()),1,0),""select Col2 limit 30""))"),82.95400000000001)</f>
        <v>82.954</v>
      </c>
      <c r="K1677" s="18">
        <f>IFERROR(__xludf.DUMMYFUNCTION("AVERAGE(QUERY(SORT(GOOGLEFINANCE(B1677,""price"",TODAY()-365,TODAY()),1,0),""select Col2 limit 60""))"),81.29616666666665)</f>
        <v>81.29616667</v>
      </c>
      <c r="L1677" s="17">
        <f>IFERROR(__xludf.DUMMYFUNCTION("AVERAGE(QUERY(SORT(GOOGLEFINANCE(B1677,""price"",TODAY()-365,TODAY()),1,0),""select Col2 limit 90""))"),78.55077777777777)</f>
        <v>78.55077778</v>
      </c>
      <c r="M1677" s="17">
        <f>IFERROR(__xludf.DUMMYFUNCTION("AVERAGE(QUERY(SORT(GOOGLEFINANCE(B1677,""price"",TODAY()-365,TODAY()),1,0),""select Col2 limit 120""))"),80.43975)</f>
        <v>80.43975</v>
      </c>
      <c r="N1677" s="19">
        <f>IFERROR(__xludf.DUMMYFUNCTION("AVERAGE(QUERY(SORT(GOOGLEFINANCE(B1677,""price"",TODAY()-365,TODAY()),1,0),""select Col2 limit 200""))"),93.83555)</f>
        <v>93.83555</v>
      </c>
      <c r="O1677" s="20" t="str">
        <f t="shared" si="2"/>
        <v>Avoid</v>
      </c>
      <c r="P1677" s="21" t="str">
        <f t="shared" si="3"/>
        <v>90 DMA</v>
      </c>
      <c r="Q1677" s="21" t="str">
        <f t="shared" si="4"/>
        <v/>
      </c>
      <c r="R1677" s="22">
        <f>IFERROR(__xludf.DUMMYFUNCTION("GOOGLEFINANCE(B1677, ""pe"")
"),19.58)</f>
        <v>19.58</v>
      </c>
    </row>
    <row r="1678">
      <c r="A1678" s="9" t="s">
        <v>1686</v>
      </c>
      <c r="B1678" s="11" t="str">
        <f t="shared" si="1"/>
        <v>NSE:OSWALSEEDS</v>
      </c>
      <c r="C1678" s="12">
        <f>IFERROR(__xludf.DUMMYFUNCTION("GOOGLEFINANCE(B1678,""marketcap"")/10000000"),116.1669109)</f>
        <v>116.1669109</v>
      </c>
      <c r="D1678" s="13">
        <f>IFERROR(__xludf.DUMMYFUNCTION("GOOGLEFINANCE(B1678,""price"")"),12.7)</f>
        <v>12.7</v>
      </c>
      <c r="E1678" s="14">
        <f>IFERROR(__xludf.DUMMYFUNCTION("GOOGLEFINANCE(B1678,""Volume"")"),10301.0)</f>
        <v>10301</v>
      </c>
      <c r="F1678" s="14">
        <f t="array" ref="F1678">F1677</f>
        <v>14</v>
      </c>
      <c r="G1678" s="15" t="str">
        <f>IFERROR(__xludf.DUMMYFUNCTION("IF(E1678&gt;AVERAGE(INDEX(GOOGLEFINANCE(B1678,""volume"",WORKDAY(TODAY(),-$F$1),TODAY()),,2)),""Breakout"","""")"),"")</f>
        <v/>
      </c>
      <c r="H1678" s="16">
        <f>IFERROR(__xludf.DUMMYFUNCTION("GOOGLEFINANCE(B1678,""price"")"),12.7)</f>
        <v>12.7</v>
      </c>
      <c r="I1678" s="17">
        <f>IFERROR(__xludf.DUMMYFUNCTION("AVERAGE(QUERY(SORT(GOOGLEFINANCE(B1678,""price"",TODAY()-365,TODAY()),1,0),""select Col2 limit 10""))"),13.455000000000002)</f>
        <v>13.455</v>
      </c>
      <c r="J1678" s="17">
        <f>IFERROR(__xludf.DUMMYFUNCTION("AVERAGE(QUERY(SORT(GOOGLEFINANCE(B1678,""price"",TODAY()-365,TODAY()),1,0),""select Col2 limit 30""))"),13.891333333333336)</f>
        <v>13.89133333</v>
      </c>
      <c r="K1678" s="18">
        <f>IFERROR(__xludf.DUMMYFUNCTION("AVERAGE(QUERY(SORT(GOOGLEFINANCE(B1678,""price"",TODAY()-365,TODAY()),1,0),""select Col2 limit 60""))"),14.068499999999998)</f>
        <v>14.0685</v>
      </c>
      <c r="L1678" s="17">
        <f>IFERROR(__xludf.DUMMYFUNCTION("AVERAGE(QUERY(SORT(GOOGLEFINANCE(B1678,""price"",TODAY()-365,TODAY()),1,0),""select Col2 limit 90""))"),14.040333333333333)</f>
        <v>14.04033333</v>
      </c>
      <c r="M1678" s="17">
        <f>IFERROR(__xludf.DUMMYFUNCTION("AVERAGE(QUERY(SORT(GOOGLEFINANCE(B1678,""price"",TODAY()-365,TODAY()),1,0),""select Col2 limit 120""))"),14.25233333333333)</f>
        <v>14.25233333</v>
      </c>
      <c r="N1678" s="19">
        <f>IFERROR(__xludf.DUMMYFUNCTION("AVERAGE(QUERY(SORT(GOOGLEFINANCE(B1678,""price"",TODAY()-365,TODAY()),1,0),""select Col2 limit 200""))"),17.044899999999995)</f>
        <v>17.0449</v>
      </c>
      <c r="O1678" s="20" t="str">
        <f t="shared" si="2"/>
        <v>Avoid</v>
      </c>
      <c r="P1678" s="21" t="str">
        <f t="shared" si="3"/>
        <v/>
      </c>
      <c r="Q1678" s="21" t="str">
        <f t="shared" si="4"/>
        <v/>
      </c>
      <c r="R1678" s="22">
        <f>IFERROR(__xludf.DUMMYFUNCTION("GOOGLEFINANCE(B1678, ""pe"")
"),32.44)</f>
        <v>32.44</v>
      </c>
    </row>
    <row r="1679">
      <c r="A1679" s="9" t="s">
        <v>1687</v>
      </c>
      <c r="B1679" s="11" t="str">
        <f t="shared" si="1"/>
        <v>NSE:GVPTECH</v>
      </c>
      <c r="C1679" s="12">
        <f>IFERROR(__xludf.DUMMYFUNCTION("GOOGLEFINANCE(B1679,""marketcap"")/10000000"),198.1396441)</f>
        <v>198.1396441</v>
      </c>
      <c r="D1679" s="13">
        <f>IFERROR(__xludf.DUMMYFUNCTION("GOOGLEFINANCE(B1679,""price"")"),10.51)</f>
        <v>10.51</v>
      </c>
      <c r="E1679" s="14">
        <f>IFERROR(__xludf.DUMMYFUNCTION("GOOGLEFINANCE(B1679,""Volume"")"),56215.0)</f>
        <v>56215</v>
      </c>
      <c r="F1679" s="14">
        <f t="array" ref="F1679">F1678</f>
        <v>14</v>
      </c>
      <c r="G1679" s="15" t="str">
        <f>IFERROR(__xludf.DUMMYFUNCTION("IF(E1679&gt;AVERAGE(INDEX(GOOGLEFINANCE(B1679,""volume"",WORKDAY(TODAY(),-$F$1),TODAY()),,2)),""Breakout"","""")"),"")</f>
        <v/>
      </c>
      <c r="H1679" s="16">
        <f>IFERROR(__xludf.DUMMYFUNCTION("GOOGLEFINANCE(B1679,""price"")"),10.51)</f>
        <v>10.51</v>
      </c>
      <c r="I1679" s="17">
        <f>IFERROR(__xludf.DUMMYFUNCTION("AVERAGE(QUERY(SORT(GOOGLEFINANCE(B1679,""price"",TODAY()-365,TODAY()),1,0),""select Col2 limit 10""))"),10.472)</f>
        <v>10.472</v>
      </c>
      <c r="J1679" s="17">
        <f>IFERROR(__xludf.DUMMYFUNCTION("AVERAGE(QUERY(SORT(GOOGLEFINANCE(B1679,""price"",TODAY()-365,TODAY()),1,0),""select Col2 limit 30""))"),10.419666666666668)</f>
        <v>10.41966667</v>
      </c>
      <c r="K1679" s="18">
        <f>IFERROR(__xludf.DUMMYFUNCTION("AVERAGE(QUERY(SORT(GOOGLEFINANCE(B1679,""price"",TODAY()-365,TODAY()),1,0),""select Col2 limit 60""))"),10.082166666666668)</f>
        <v>10.08216667</v>
      </c>
      <c r="L1679" s="17">
        <f>IFERROR(__xludf.DUMMYFUNCTION("AVERAGE(QUERY(SORT(GOOGLEFINANCE(B1679,""price"",TODAY()-365,TODAY()),1,0),""select Col2 limit 90""))"),10.008222222222223)</f>
        <v>10.00822222</v>
      </c>
      <c r="M1679" s="17">
        <f>IFERROR(__xludf.DUMMYFUNCTION("AVERAGE(QUERY(SORT(GOOGLEFINANCE(B1679,""price"",TODAY()-365,TODAY()),1,0),""select Col2 limit 120""))"),9.890250000000002)</f>
        <v>9.89025</v>
      </c>
      <c r="N1679" s="19">
        <f>IFERROR(__xludf.DUMMYFUNCTION("AVERAGE(QUERY(SORT(GOOGLEFINANCE(B1679,""price"",TODAY()-365,TODAY()),1,0),""select Col2 limit 200""))"),10.567399999999996)</f>
        <v>10.5674</v>
      </c>
      <c r="O1679" s="20" t="str">
        <f t="shared" si="2"/>
        <v>Buy Above 200 DMA</v>
      </c>
      <c r="P1679" s="21" t="str">
        <f t="shared" si="3"/>
        <v>200 DMA</v>
      </c>
      <c r="Q1679" s="21" t="str">
        <f t="shared" si="4"/>
        <v>200 DMA cross best</v>
      </c>
      <c r="R1679" s="22" t="str">
        <f>IFERROR(__xludf.DUMMYFUNCTION("GOOGLEFINANCE(B1679, ""pe"")
"),"#N/A")</f>
        <v>#N/A</v>
      </c>
    </row>
    <row r="1680">
      <c r="A1680" s="9" t="s">
        <v>1688</v>
      </c>
      <c r="B1680" s="11" t="str">
        <f t="shared" si="1"/>
        <v>NSE:DTIL</v>
      </c>
      <c r="C1680" s="12">
        <f>IFERROR(__xludf.DUMMYFUNCTION("GOOGLEFINANCE(B1680,""marketcap"")/10000000"),202.9718302)</f>
        <v>202.9718302</v>
      </c>
      <c r="D1680" s="13">
        <f>IFERROR(__xludf.DUMMYFUNCTION("GOOGLEFINANCE(B1680,""price"")"),193.17)</f>
        <v>193.17</v>
      </c>
      <c r="E1680" s="14">
        <f>IFERROR(__xludf.DUMMYFUNCTION("GOOGLEFINANCE(B1680,""Volume"")"),1337.0)</f>
        <v>1337</v>
      </c>
      <c r="F1680" s="14">
        <f t="array" ref="F1680">F1679</f>
        <v>14</v>
      </c>
      <c r="G1680" s="15" t="str">
        <f>IFERROR(__xludf.DUMMYFUNCTION("IF(E1680&gt;AVERAGE(INDEX(GOOGLEFINANCE(B1680,""volume"",WORKDAY(TODAY(),-$F$1),TODAY()),,2)),""Breakout"","""")"),"")</f>
        <v/>
      </c>
      <c r="H1680" s="16">
        <f>IFERROR(__xludf.DUMMYFUNCTION("GOOGLEFINANCE(B1680,""price"")"),193.17)</f>
        <v>193.17</v>
      </c>
      <c r="I1680" s="17">
        <f>IFERROR(__xludf.DUMMYFUNCTION("AVERAGE(QUERY(SORT(GOOGLEFINANCE(B1680,""price"",TODAY()-365,TODAY()),1,0),""select Col2 limit 10""))"),195.18400000000003)</f>
        <v>195.184</v>
      </c>
      <c r="J1680" s="17">
        <f>IFERROR(__xludf.DUMMYFUNCTION("AVERAGE(QUERY(SORT(GOOGLEFINANCE(B1680,""price"",TODAY()-365,TODAY()),1,0),""select Col2 limit 30""))"),196.06266666666667)</f>
        <v>196.0626667</v>
      </c>
      <c r="K1680" s="18">
        <f>IFERROR(__xludf.DUMMYFUNCTION("AVERAGE(QUERY(SORT(GOOGLEFINANCE(B1680,""price"",TODAY()-365,TODAY()),1,0),""select Col2 limit 60""))"),194.33350000000002)</f>
        <v>194.3335</v>
      </c>
      <c r="L1680" s="17">
        <f>IFERROR(__xludf.DUMMYFUNCTION("AVERAGE(QUERY(SORT(GOOGLEFINANCE(B1680,""price"",TODAY()-365,TODAY()),1,0),""select Col2 limit 90""))"),189.70677777777783)</f>
        <v>189.7067778</v>
      </c>
      <c r="M1680" s="17">
        <f>IFERROR(__xludf.DUMMYFUNCTION("AVERAGE(QUERY(SORT(GOOGLEFINANCE(B1680,""price"",TODAY()-365,TODAY()),1,0),""select Col2 limit 120""))"),192.37191666666666)</f>
        <v>192.3719167</v>
      </c>
      <c r="N1680" s="19">
        <f>IFERROR(__xludf.DUMMYFUNCTION("AVERAGE(QUERY(SORT(GOOGLEFINANCE(B1680,""price"",TODAY()-365,TODAY()),1,0),""select Col2 limit 200""))"),220.40539999999993)</f>
        <v>220.4054</v>
      </c>
      <c r="O1680" s="20" t="str">
        <f t="shared" si="2"/>
        <v>Avoid</v>
      </c>
      <c r="P1680" s="21" t="str">
        <f t="shared" si="3"/>
        <v>60 DMA</v>
      </c>
      <c r="Q1680" s="21" t="str">
        <f t="shared" si="4"/>
        <v/>
      </c>
      <c r="R1680" s="22" t="str">
        <f>IFERROR(__xludf.DUMMYFUNCTION("GOOGLEFINANCE(B1680, ""pe"")
"),"#N/A")</f>
        <v>#N/A</v>
      </c>
    </row>
    <row r="1681">
      <c r="A1681" s="9" t="s">
        <v>1689</v>
      </c>
      <c r="B1681" s="11" t="str">
        <f t="shared" si="1"/>
        <v>NSE:JMA</v>
      </c>
      <c r="C1681" s="12">
        <f>IFERROR(__xludf.DUMMYFUNCTION("GOOGLEFINANCE(B1681,""marketcap"")/10000000"),209.3838094)</f>
        <v>209.3838094</v>
      </c>
      <c r="D1681" s="13">
        <f>IFERROR(__xludf.DUMMYFUNCTION("GOOGLEFINANCE(B1681,""price"")"),91.67)</f>
        <v>91.67</v>
      </c>
      <c r="E1681" s="14">
        <f>IFERROR(__xludf.DUMMYFUNCTION("GOOGLEFINANCE(B1681,""Volume"")"),1084.0)</f>
        <v>1084</v>
      </c>
      <c r="F1681" s="14">
        <f t="array" ref="F1681">F1680</f>
        <v>14</v>
      </c>
      <c r="G1681" s="15" t="str">
        <f>IFERROR(__xludf.DUMMYFUNCTION("IF(E1681&gt;AVERAGE(INDEX(GOOGLEFINANCE(B1681,""volume"",WORKDAY(TODAY(),-$F$1),TODAY()),,2)),""Breakout"","""")"),"")</f>
        <v/>
      </c>
      <c r="H1681" s="16">
        <f>IFERROR(__xludf.DUMMYFUNCTION("GOOGLEFINANCE(B1681,""price"")"),91.67)</f>
        <v>91.67</v>
      </c>
      <c r="I1681" s="17">
        <f>IFERROR(__xludf.DUMMYFUNCTION("AVERAGE(QUERY(SORT(GOOGLEFINANCE(B1681,""price"",TODAY()-365,TODAY()),1,0),""select Col2 limit 10""))"),93.527)</f>
        <v>93.527</v>
      </c>
      <c r="J1681" s="17">
        <f>IFERROR(__xludf.DUMMYFUNCTION("AVERAGE(QUERY(SORT(GOOGLEFINANCE(B1681,""price"",TODAY()-365,TODAY()),1,0),""select Col2 limit 30""))"),94.29333333333331)</f>
        <v>94.29333333</v>
      </c>
      <c r="K1681" s="18">
        <f>IFERROR(__xludf.DUMMYFUNCTION("AVERAGE(QUERY(SORT(GOOGLEFINANCE(B1681,""price"",TODAY()-365,TODAY()),1,0),""select Col2 limit 60""))"),94.81999999999996)</f>
        <v>94.82</v>
      </c>
      <c r="L1681" s="17">
        <f>IFERROR(__xludf.DUMMYFUNCTION("AVERAGE(QUERY(SORT(GOOGLEFINANCE(B1681,""price"",TODAY()-365,TODAY()),1,0),""select Col2 limit 90""))"),89.9972222222222)</f>
        <v>89.99722222</v>
      </c>
      <c r="M1681" s="17">
        <f>IFERROR(__xludf.DUMMYFUNCTION("AVERAGE(QUERY(SORT(GOOGLEFINANCE(B1681,""price"",TODAY()-365,TODAY()),1,0),""select Col2 limit 120""))"),88.61308333333328)</f>
        <v>88.61308333</v>
      </c>
      <c r="N1681" s="19">
        <f>IFERROR(__xludf.DUMMYFUNCTION("AVERAGE(QUERY(SORT(GOOGLEFINANCE(B1681,""price"",TODAY()-365,TODAY()),1,0),""select Col2 limit 200""))"),92.85924999999993)</f>
        <v>92.85925</v>
      </c>
      <c r="O1681" s="20" t="str">
        <f t="shared" si="2"/>
        <v>Avoid</v>
      </c>
      <c r="P1681" s="21" t="str">
        <f t="shared" si="3"/>
        <v/>
      </c>
      <c r="Q1681" s="21" t="str">
        <f t="shared" si="4"/>
        <v/>
      </c>
      <c r="R1681" s="22">
        <f>IFERROR(__xludf.DUMMYFUNCTION("GOOGLEFINANCE(B1681, ""pe"")
"),8.13)</f>
        <v>8.13</v>
      </c>
    </row>
    <row r="1682">
      <c r="A1682" s="9" t="s">
        <v>1690</v>
      </c>
      <c r="B1682" s="11" t="str">
        <f t="shared" si="1"/>
        <v>NSE:MAHAPEXLTD</v>
      </c>
      <c r="C1682" s="12">
        <f>IFERROR(__xludf.DUMMYFUNCTION("GOOGLEFINANCE(B1682,""marketcap"")/10000000"),155.01079)</f>
        <v>155.01079</v>
      </c>
      <c r="D1682" s="13">
        <f>IFERROR(__xludf.DUMMYFUNCTION("GOOGLEFINANCE(B1682,""price"")"),110.0)</f>
        <v>110</v>
      </c>
      <c r="E1682" s="14">
        <f>IFERROR(__xludf.DUMMYFUNCTION("GOOGLEFINANCE(B1682,""Volume"")"),2293.0)</f>
        <v>2293</v>
      </c>
      <c r="F1682" s="14">
        <f t="array" ref="F1682">F1681</f>
        <v>14</v>
      </c>
      <c r="G1682" s="15" t="str">
        <f>IFERROR(__xludf.DUMMYFUNCTION("IF(E1682&gt;AVERAGE(INDEX(GOOGLEFINANCE(B1682,""volume"",WORKDAY(TODAY(),-$F$1),TODAY()),,2)),""Breakout"","""")"),"")</f>
        <v/>
      </c>
      <c r="H1682" s="16">
        <f>IFERROR(__xludf.DUMMYFUNCTION("GOOGLEFINANCE(B1682,""price"")"),110.0)</f>
        <v>110</v>
      </c>
      <c r="I1682" s="17">
        <f>IFERROR(__xludf.DUMMYFUNCTION("AVERAGE(QUERY(SORT(GOOGLEFINANCE(B1682,""price"",TODAY()-365,TODAY()),1,0),""select Col2 limit 10""))"),109.26200000000001)</f>
        <v>109.262</v>
      </c>
      <c r="J1682" s="17">
        <f>IFERROR(__xludf.DUMMYFUNCTION("AVERAGE(QUERY(SORT(GOOGLEFINANCE(B1682,""price"",TODAY()-365,TODAY()),1,0),""select Col2 limit 30""))"),111.48866666666669)</f>
        <v>111.4886667</v>
      </c>
      <c r="K1682" s="18">
        <f>IFERROR(__xludf.DUMMYFUNCTION("AVERAGE(QUERY(SORT(GOOGLEFINANCE(B1682,""price"",TODAY()-365,TODAY()),1,0),""select Col2 limit 60""))"),114.10733333333332)</f>
        <v>114.1073333</v>
      </c>
      <c r="L1682" s="17">
        <f>IFERROR(__xludf.DUMMYFUNCTION("AVERAGE(QUERY(SORT(GOOGLEFINANCE(B1682,""price"",TODAY()-365,TODAY()),1,0),""select Col2 limit 90""))"),114.38522222222218)</f>
        <v>114.3852222</v>
      </c>
      <c r="M1682" s="17">
        <f>IFERROR(__xludf.DUMMYFUNCTION("AVERAGE(QUERY(SORT(GOOGLEFINANCE(B1682,""price"",TODAY()-365,TODAY()),1,0),""select Col2 limit 120""))"),115.63474999999995)</f>
        <v>115.63475</v>
      </c>
      <c r="N1682" s="19">
        <f>IFERROR(__xludf.DUMMYFUNCTION("AVERAGE(QUERY(SORT(GOOGLEFINANCE(B1682,""price"",TODAY()-365,TODAY()),1,0),""select Col2 limit 200""))"),130.3276)</f>
        <v>130.3276</v>
      </c>
      <c r="O1682" s="20" t="str">
        <f t="shared" si="2"/>
        <v>Avoid</v>
      </c>
      <c r="P1682" s="21" t="str">
        <f t="shared" si="3"/>
        <v/>
      </c>
      <c r="Q1682" s="21" t="str">
        <f t="shared" si="4"/>
        <v/>
      </c>
      <c r="R1682" s="22">
        <f>IFERROR(__xludf.DUMMYFUNCTION("GOOGLEFINANCE(B1682, ""pe"")
"),7.89)</f>
        <v>7.89</v>
      </c>
    </row>
    <row r="1683">
      <c r="A1683" s="9" t="s">
        <v>1691</v>
      </c>
      <c r="B1683" s="11" t="str">
        <f t="shared" si="1"/>
        <v>NSE:NOIDATOLL</v>
      </c>
      <c r="C1683" s="12">
        <f>IFERROR(__xludf.DUMMYFUNCTION("GOOGLEFINANCE(B1683,""marketcap"")/10000000"),68.1473715)</f>
        <v>68.1473715</v>
      </c>
      <c r="D1683" s="13">
        <f>IFERROR(__xludf.DUMMYFUNCTION("GOOGLEFINANCE(B1683,""price"")"),3.66)</f>
        <v>3.66</v>
      </c>
      <c r="E1683" s="14">
        <f>IFERROR(__xludf.DUMMYFUNCTION("GOOGLEFINANCE(B1683,""Volume"")"),210471.0)</f>
        <v>210471</v>
      </c>
      <c r="F1683" s="14">
        <f t="array" ref="F1683">F1682</f>
        <v>14</v>
      </c>
      <c r="G1683" s="15" t="str">
        <f>IFERROR(__xludf.DUMMYFUNCTION("IF(E1683&gt;AVERAGE(INDEX(GOOGLEFINANCE(B1683,""volume"",WORKDAY(TODAY(),-$F$1),TODAY()),,2)),""Breakout"","""")"),"Breakout")</f>
        <v>Breakout</v>
      </c>
      <c r="H1683" s="16">
        <f>IFERROR(__xludf.DUMMYFUNCTION("GOOGLEFINANCE(B1683,""price"")"),3.66)</f>
        <v>3.66</v>
      </c>
      <c r="I1683" s="17">
        <f>IFERROR(__xludf.DUMMYFUNCTION("AVERAGE(QUERY(SORT(GOOGLEFINANCE(B1683,""price"",TODAY()-365,TODAY()),1,0),""select Col2 limit 10""))"),4.148000000000001)</f>
        <v>4.148</v>
      </c>
      <c r="J1683" s="17">
        <f>IFERROR(__xludf.DUMMYFUNCTION("AVERAGE(QUERY(SORT(GOOGLEFINANCE(B1683,""price"",TODAY()-365,TODAY()),1,0),""select Col2 limit 30""))"),4.068)</f>
        <v>4.068</v>
      </c>
      <c r="K1683" s="18">
        <f>IFERROR(__xludf.DUMMYFUNCTION("AVERAGE(QUERY(SORT(GOOGLEFINANCE(B1683,""price"",TODAY()-365,TODAY()),1,0),""select Col2 limit 60""))"),4.074166666666667)</f>
        <v>4.074166667</v>
      </c>
      <c r="L1683" s="17">
        <f>IFERROR(__xludf.DUMMYFUNCTION("AVERAGE(QUERY(SORT(GOOGLEFINANCE(B1683,""price"",TODAY()-365,TODAY()),1,0),""select Col2 limit 90""))"),3.784222222222221)</f>
        <v>3.784222222</v>
      </c>
      <c r="M1683" s="17">
        <f>IFERROR(__xludf.DUMMYFUNCTION("AVERAGE(QUERY(SORT(GOOGLEFINANCE(B1683,""price"",TODAY()-365,TODAY()),1,0),""select Col2 limit 120""))"),3.8840833333333316)</f>
        <v>3.884083333</v>
      </c>
      <c r="N1683" s="19">
        <f>IFERROR(__xludf.DUMMYFUNCTION("AVERAGE(QUERY(SORT(GOOGLEFINANCE(B1683,""price"",TODAY()-365,TODAY()),1,0),""select Col2 limit 200""))"),7.970300000000002)</f>
        <v>7.9703</v>
      </c>
      <c r="O1683" s="20" t="str">
        <f t="shared" si="2"/>
        <v>Avoid</v>
      </c>
      <c r="P1683" s="21" t="str">
        <f t="shared" si="3"/>
        <v/>
      </c>
      <c r="Q1683" s="21" t="str">
        <f t="shared" si="4"/>
        <v/>
      </c>
      <c r="R1683" s="22" t="str">
        <f>IFERROR(__xludf.DUMMYFUNCTION("GOOGLEFINANCE(B1683, ""pe"")
"),"#N/A")</f>
        <v>#N/A</v>
      </c>
    </row>
    <row r="1684">
      <c r="A1684" s="9" t="s">
        <v>1692</v>
      </c>
      <c r="B1684" s="11" t="str">
        <f t="shared" si="1"/>
        <v>NSE:CENTEXT</v>
      </c>
      <c r="C1684" s="12">
        <f>IFERROR(__xludf.DUMMYFUNCTION("GOOGLEFINANCE(B1684,""marketcap"")/10000000"),187.6799926)</f>
        <v>187.6799926</v>
      </c>
      <c r="D1684" s="13">
        <f>IFERROR(__xludf.DUMMYFUNCTION("GOOGLEFINANCE(B1684,""price"")"),23.67)</f>
        <v>23.67</v>
      </c>
      <c r="E1684" s="14">
        <f>IFERROR(__xludf.DUMMYFUNCTION("GOOGLEFINANCE(B1684,""Volume"")"),160352.0)</f>
        <v>160352</v>
      </c>
      <c r="F1684" s="14">
        <f t="array" ref="F1684">F1683</f>
        <v>14</v>
      </c>
      <c r="G1684" s="15" t="str">
        <f>IFERROR(__xludf.DUMMYFUNCTION("IF(E1684&gt;AVERAGE(INDEX(GOOGLEFINANCE(B1684,""volume"",WORKDAY(TODAY(),-$F$1),TODAY()),,2)),""Breakout"","""")"),"")</f>
        <v/>
      </c>
      <c r="H1684" s="16">
        <f>IFERROR(__xludf.DUMMYFUNCTION("GOOGLEFINANCE(B1684,""price"")"),23.67)</f>
        <v>23.67</v>
      </c>
      <c r="I1684" s="17">
        <f>IFERROR(__xludf.DUMMYFUNCTION("AVERAGE(QUERY(SORT(GOOGLEFINANCE(B1684,""price"",TODAY()-365,TODAY()),1,0),""select Col2 limit 10""))"),23.904999999999998)</f>
        <v>23.905</v>
      </c>
      <c r="J1684" s="17">
        <f>IFERROR(__xludf.DUMMYFUNCTION("AVERAGE(QUERY(SORT(GOOGLEFINANCE(B1684,""price"",TODAY()-365,TODAY()),1,0),""select Col2 limit 30""))"),22.283)</f>
        <v>22.283</v>
      </c>
      <c r="K1684" s="18">
        <f>IFERROR(__xludf.DUMMYFUNCTION("AVERAGE(QUERY(SORT(GOOGLEFINANCE(B1684,""price"",TODAY()-365,TODAY()),1,0),""select Col2 limit 60""))"),20.797000000000008)</f>
        <v>20.797</v>
      </c>
      <c r="L1684" s="17">
        <f>IFERROR(__xludf.DUMMYFUNCTION("AVERAGE(QUERY(SORT(GOOGLEFINANCE(B1684,""price"",TODAY()-365,TODAY()),1,0),""select Col2 limit 90""))"),19.989777777777782)</f>
        <v>19.98977778</v>
      </c>
      <c r="M1684" s="17">
        <f>IFERROR(__xludf.DUMMYFUNCTION("AVERAGE(QUERY(SORT(GOOGLEFINANCE(B1684,""price"",TODAY()-365,TODAY()),1,0),""select Col2 limit 120""))"),20.116833333333332)</f>
        <v>20.11683333</v>
      </c>
      <c r="N1684" s="19">
        <f>IFERROR(__xludf.DUMMYFUNCTION("AVERAGE(QUERY(SORT(GOOGLEFINANCE(B1684,""price"",TODAY()-365,TODAY()),1,0),""select Col2 limit 200""))"),21.454700000000006)</f>
        <v>21.4547</v>
      </c>
      <c r="O1684" s="20" t="str">
        <f t="shared" si="2"/>
        <v>Avoid</v>
      </c>
      <c r="P1684" s="21" t="str">
        <f t="shared" si="3"/>
        <v>10 DMA</v>
      </c>
      <c r="Q1684" s="21" t="str">
        <f t="shared" si="4"/>
        <v/>
      </c>
      <c r="R1684" s="22">
        <f>IFERROR(__xludf.DUMMYFUNCTION("GOOGLEFINANCE(B1684, ""pe"")
"),19.22)</f>
        <v>19.22</v>
      </c>
    </row>
    <row r="1685">
      <c r="A1685" s="9" t="s">
        <v>1693</v>
      </c>
      <c r="B1685" s="11" t="str">
        <f t="shared" si="1"/>
        <v>NSE:AMJLAND</v>
      </c>
      <c r="C1685" s="12">
        <f>IFERROR(__xludf.DUMMYFUNCTION("GOOGLEFINANCE(B1685,""marketcap"")/10000000"),244.1140037)</f>
        <v>244.1140037</v>
      </c>
      <c r="D1685" s="13">
        <f>IFERROR(__xludf.DUMMYFUNCTION("GOOGLEFINANCE(B1685,""price"")"),59.5)</f>
        <v>59.5</v>
      </c>
      <c r="E1685" s="14">
        <f>IFERROR(__xludf.DUMMYFUNCTION("GOOGLEFINANCE(B1685,""Volume"")"),15687.0)</f>
        <v>15687</v>
      </c>
      <c r="F1685" s="14">
        <f t="array" ref="F1685">F1684</f>
        <v>14</v>
      </c>
      <c r="G1685" s="15" t="str">
        <f>IFERROR(__xludf.DUMMYFUNCTION("IF(E1685&gt;AVERAGE(INDEX(GOOGLEFINANCE(B1685,""volume"",WORKDAY(TODAY(),-$F$1),TODAY()),,2)),""Breakout"","""")"),"")</f>
        <v/>
      </c>
      <c r="H1685" s="16">
        <f>IFERROR(__xludf.DUMMYFUNCTION("GOOGLEFINANCE(B1685,""price"")"),59.5)</f>
        <v>59.5</v>
      </c>
      <c r="I1685" s="17">
        <f>IFERROR(__xludf.DUMMYFUNCTION("AVERAGE(QUERY(SORT(GOOGLEFINANCE(B1685,""price"",TODAY()-365,TODAY()),1,0),""select Col2 limit 10""))"),61.94500000000001)</f>
        <v>61.945</v>
      </c>
      <c r="J1685" s="17">
        <f>IFERROR(__xludf.DUMMYFUNCTION("AVERAGE(QUERY(SORT(GOOGLEFINANCE(B1685,""price"",TODAY()-365,TODAY()),1,0),""select Col2 limit 30""))"),63.174333333333344)</f>
        <v>63.17433333</v>
      </c>
      <c r="K1685" s="18">
        <f>IFERROR(__xludf.DUMMYFUNCTION("AVERAGE(QUERY(SORT(GOOGLEFINANCE(B1685,""price"",TODAY()-365,TODAY()),1,0),""select Col2 limit 60""))"),59.631666666666675)</f>
        <v>59.63166667</v>
      </c>
      <c r="L1685" s="17">
        <f>IFERROR(__xludf.DUMMYFUNCTION("AVERAGE(QUERY(SORT(GOOGLEFINANCE(B1685,""price"",TODAY()-365,TODAY()),1,0),""select Col2 limit 90""))"),55.838444444444455)</f>
        <v>55.83844444</v>
      </c>
      <c r="M1685" s="17">
        <f>IFERROR(__xludf.DUMMYFUNCTION("AVERAGE(QUERY(SORT(GOOGLEFINANCE(B1685,""price"",TODAY()-365,TODAY()),1,0),""select Col2 limit 120""))"),54.903083333333356)</f>
        <v>54.90308333</v>
      </c>
      <c r="N1685" s="19">
        <f>IFERROR(__xludf.DUMMYFUNCTION("AVERAGE(QUERY(SORT(GOOGLEFINANCE(B1685,""price"",TODAY()-365,TODAY()),1,0),""select Col2 limit 200""))"),55.975899999999996)</f>
        <v>55.9759</v>
      </c>
      <c r="O1685" s="20" t="str">
        <f t="shared" si="2"/>
        <v>Avoid</v>
      </c>
      <c r="P1685" s="21" t="str">
        <f t="shared" si="3"/>
        <v>60 DMA</v>
      </c>
      <c r="Q1685" s="21" t="str">
        <f t="shared" si="4"/>
        <v/>
      </c>
      <c r="R1685" s="22">
        <f>IFERROR(__xludf.DUMMYFUNCTION("GOOGLEFINANCE(B1685, ""pe"")
"),11.92)</f>
        <v>11.92</v>
      </c>
    </row>
    <row r="1686">
      <c r="A1686" s="9" t="s">
        <v>1694</v>
      </c>
      <c r="B1686" s="11" t="str">
        <f t="shared" si="1"/>
        <v>NSE:KANPRPLA</v>
      </c>
      <c r="C1686" s="12">
        <f>IFERROR(__xludf.DUMMYFUNCTION("GOOGLEFINANCE(B1686,""marketcap"")/10000000"),456.0126637)</f>
        <v>456.0126637</v>
      </c>
      <c r="D1686" s="13">
        <f>IFERROR(__xludf.DUMMYFUNCTION("GOOGLEFINANCE(B1686,""price"")"),202.98)</f>
        <v>202.98</v>
      </c>
      <c r="E1686" s="14">
        <f>IFERROR(__xludf.DUMMYFUNCTION("GOOGLEFINANCE(B1686,""Volume"")"),16036.0)</f>
        <v>16036</v>
      </c>
      <c r="F1686" s="14">
        <f t="array" ref="F1686">F1685</f>
        <v>14</v>
      </c>
      <c r="G1686" s="15" t="str">
        <f>IFERROR(__xludf.DUMMYFUNCTION("IF(E1686&gt;AVERAGE(INDEX(GOOGLEFINANCE(B1686,""volume"",WORKDAY(TODAY(),-$F$1),TODAY()),,2)),""Breakout"","""")"),"")</f>
        <v/>
      </c>
      <c r="H1686" s="16">
        <f>IFERROR(__xludf.DUMMYFUNCTION("GOOGLEFINANCE(B1686,""price"")"),202.98)</f>
        <v>202.98</v>
      </c>
      <c r="I1686" s="17">
        <f>IFERROR(__xludf.DUMMYFUNCTION("AVERAGE(QUERY(SORT(GOOGLEFINANCE(B1686,""price"",TODAY()-365,TODAY()),1,0),""select Col2 limit 10""))"),209.017)</f>
        <v>209.017</v>
      </c>
      <c r="J1686" s="17">
        <f>IFERROR(__xludf.DUMMYFUNCTION("AVERAGE(QUERY(SORT(GOOGLEFINANCE(B1686,""price"",TODAY()-365,TODAY()),1,0),""select Col2 limit 30""))"),206.07466666666667)</f>
        <v>206.0746667</v>
      </c>
      <c r="K1686" s="18">
        <f>IFERROR(__xludf.DUMMYFUNCTION("AVERAGE(QUERY(SORT(GOOGLEFINANCE(B1686,""price"",TODAY()-365,TODAY()),1,0),""select Col2 limit 60""))"),200.44899999999998)</f>
        <v>200.449</v>
      </c>
      <c r="L1686" s="17">
        <f>IFERROR(__xludf.DUMMYFUNCTION("AVERAGE(QUERY(SORT(GOOGLEFINANCE(B1686,""price"",TODAY()-365,TODAY()),1,0),""select Col2 limit 90""))"),171.9592222222222)</f>
        <v>171.9592222</v>
      </c>
      <c r="M1686" s="17">
        <f>IFERROR(__xludf.DUMMYFUNCTION("AVERAGE(QUERY(SORT(GOOGLEFINANCE(B1686,""price"",TODAY()-365,TODAY()),1,0),""select Col2 limit 120""))"),160.0418333333333)</f>
        <v>160.0418333</v>
      </c>
      <c r="N1686" s="19">
        <f>IFERROR(__xludf.DUMMYFUNCTION("AVERAGE(QUERY(SORT(GOOGLEFINANCE(B1686,""price"",TODAY()-365,TODAY()),1,0),""select Col2 limit 200""))"),145.26365)</f>
        <v>145.26365</v>
      </c>
      <c r="O1686" s="20" t="str">
        <f t="shared" si="2"/>
        <v>Avoid</v>
      </c>
      <c r="P1686" s="21" t="str">
        <f t="shared" si="3"/>
        <v/>
      </c>
      <c r="Q1686" s="21" t="str">
        <f t="shared" si="4"/>
        <v/>
      </c>
      <c r="R1686" s="22">
        <f>IFERROR(__xludf.DUMMYFUNCTION("GOOGLEFINANCE(B1686, ""pe"")
"),39.7)</f>
        <v>39.7</v>
      </c>
    </row>
    <row r="1687">
      <c r="A1687" s="9" t="s">
        <v>1695</v>
      </c>
      <c r="B1687" s="11" t="str">
        <f t="shared" si="1"/>
        <v>NSE:CORALFINAC</v>
      </c>
      <c r="C1687" s="12">
        <f>IFERROR(__xludf.DUMMYFUNCTION("GOOGLEFINANCE(B1687,""marketcap"")/10000000"),193.9745891)</f>
        <v>193.9745891</v>
      </c>
      <c r="D1687" s="13">
        <f>IFERROR(__xludf.DUMMYFUNCTION("GOOGLEFINANCE(B1687,""price"")"),47.71)</f>
        <v>47.71</v>
      </c>
      <c r="E1687" s="14">
        <f>IFERROR(__xludf.DUMMYFUNCTION("GOOGLEFINANCE(B1687,""Volume"")"),13126.0)</f>
        <v>13126</v>
      </c>
      <c r="F1687" s="14">
        <f t="array" ref="F1687">F1686</f>
        <v>14</v>
      </c>
      <c r="G1687" s="15" t="str">
        <f>IFERROR(__xludf.DUMMYFUNCTION("IF(E1687&gt;AVERAGE(INDEX(GOOGLEFINANCE(B1687,""volume"",WORKDAY(TODAY(),-$F$1),TODAY()),,2)),""Breakout"","""")"),"")</f>
        <v/>
      </c>
      <c r="H1687" s="16">
        <f>IFERROR(__xludf.DUMMYFUNCTION("GOOGLEFINANCE(B1687,""price"")"),47.71)</f>
        <v>47.71</v>
      </c>
      <c r="I1687" s="17">
        <f>IFERROR(__xludf.DUMMYFUNCTION("AVERAGE(QUERY(SORT(GOOGLEFINANCE(B1687,""price"",TODAY()-365,TODAY()),1,0),""select Col2 limit 10""))"),46.475)</f>
        <v>46.475</v>
      </c>
      <c r="J1687" s="17">
        <f>IFERROR(__xludf.DUMMYFUNCTION("AVERAGE(QUERY(SORT(GOOGLEFINANCE(B1687,""price"",TODAY()-365,TODAY()),1,0),""select Col2 limit 30""))"),46.02266666666666)</f>
        <v>46.02266667</v>
      </c>
      <c r="K1687" s="18">
        <f>IFERROR(__xludf.DUMMYFUNCTION("AVERAGE(QUERY(SORT(GOOGLEFINANCE(B1687,""price"",TODAY()-365,TODAY()),1,0),""select Col2 limit 60""))"),45.12799999999998)</f>
        <v>45.128</v>
      </c>
      <c r="L1687" s="17">
        <f>IFERROR(__xludf.DUMMYFUNCTION("AVERAGE(QUERY(SORT(GOOGLEFINANCE(B1687,""price"",TODAY()-365,TODAY()),1,0),""select Col2 limit 90""))"),43.31655555555554)</f>
        <v>43.31655556</v>
      </c>
      <c r="M1687" s="17">
        <f>IFERROR(__xludf.DUMMYFUNCTION("AVERAGE(QUERY(SORT(GOOGLEFINANCE(B1687,""price"",TODAY()-365,TODAY()),1,0),""select Col2 limit 120""))"),42.67558333333332)</f>
        <v>42.67558333</v>
      </c>
      <c r="N1687" s="19">
        <f>IFERROR(__xludf.DUMMYFUNCTION("AVERAGE(QUERY(SORT(GOOGLEFINANCE(B1687,""price"",TODAY()-365,TODAY()),1,0),""select Col2 limit 200""))"),46.11185000000001)</f>
        <v>46.11185</v>
      </c>
      <c r="O1687" s="20" t="str">
        <f t="shared" si="2"/>
        <v>Avoid</v>
      </c>
      <c r="P1687" s="21" t="str">
        <f t="shared" si="3"/>
        <v/>
      </c>
      <c r="Q1687" s="21" t="str">
        <f t="shared" si="4"/>
        <v/>
      </c>
      <c r="R1687" s="22">
        <f>IFERROR(__xludf.DUMMYFUNCTION("GOOGLEFINANCE(B1687, ""pe"")
"),11.09)</f>
        <v>11.09</v>
      </c>
    </row>
    <row r="1688">
      <c r="A1688" s="9" t="s">
        <v>1696</v>
      </c>
      <c r="B1688" s="11" t="str">
        <f t="shared" si="1"/>
        <v>NSE:DELPHIFX</v>
      </c>
      <c r="C1688" s="12">
        <f>IFERROR(__xludf.DUMMYFUNCTION("GOOGLEFINANCE(B1688,""marketcap"")/10000000"),247.038936)</f>
        <v>247.038936</v>
      </c>
      <c r="D1688" s="13">
        <f>IFERROR(__xludf.DUMMYFUNCTION("GOOGLEFINANCE(B1688,""price"")"),222.0)</f>
        <v>222</v>
      </c>
      <c r="E1688" s="14">
        <f>IFERROR(__xludf.DUMMYFUNCTION("GOOGLEFINANCE(B1688,""Volume"")"),575.0)</f>
        <v>575</v>
      </c>
      <c r="F1688" s="14">
        <f t="array" ref="F1688">F1687</f>
        <v>14</v>
      </c>
      <c r="G1688" s="15" t="str">
        <f>IFERROR(__xludf.DUMMYFUNCTION("IF(E1688&gt;AVERAGE(INDEX(GOOGLEFINANCE(B1688,""volume"",WORKDAY(TODAY(),-$F$1),TODAY()),,2)),""Breakout"","""")"),"")</f>
        <v/>
      </c>
      <c r="H1688" s="16">
        <f>IFERROR(__xludf.DUMMYFUNCTION("GOOGLEFINANCE(B1688,""price"")"),222.0)</f>
        <v>222</v>
      </c>
      <c r="I1688" s="17">
        <f>IFERROR(__xludf.DUMMYFUNCTION("AVERAGE(QUERY(SORT(GOOGLEFINANCE(B1688,""price"",TODAY()-365,TODAY()),1,0),""select Col2 limit 10""))"),233.289)</f>
        <v>233.289</v>
      </c>
      <c r="J1688" s="17">
        <f>IFERROR(__xludf.DUMMYFUNCTION("AVERAGE(QUERY(SORT(GOOGLEFINANCE(B1688,""price"",TODAY()-365,TODAY()),1,0),""select Col2 limit 30""))"),198.82699999999997)</f>
        <v>198.827</v>
      </c>
      <c r="K1688" s="18">
        <f>IFERROR(__xludf.DUMMYFUNCTION("AVERAGE(QUERY(SORT(GOOGLEFINANCE(B1688,""price"",TODAY()-365,TODAY()),1,0),""select Col2 limit 60""))"),163.4896666666667)</f>
        <v>163.4896667</v>
      </c>
      <c r="L1688" s="17">
        <f>IFERROR(__xludf.DUMMYFUNCTION("AVERAGE(QUERY(SORT(GOOGLEFINANCE(B1688,""price"",TODAY()-365,TODAY()),1,0),""select Col2 limit 90""))"),151.8537777777778)</f>
        <v>151.8537778</v>
      </c>
      <c r="M1688" s="17">
        <f>IFERROR(__xludf.DUMMYFUNCTION("AVERAGE(QUERY(SORT(GOOGLEFINANCE(B1688,""price"",TODAY()-365,TODAY()),1,0),""select Col2 limit 120""))"),155.3405000000001)</f>
        <v>155.3405</v>
      </c>
      <c r="N1688" s="19">
        <f>IFERROR(__xludf.DUMMYFUNCTION("AVERAGE(QUERY(SORT(GOOGLEFINANCE(B1688,""price"",TODAY()-365,TODAY()),1,0),""select Col2 limit 200""))"),187.61280000000005)</f>
        <v>187.6128</v>
      </c>
      <c r="O1688" s="20" t="str">
        <f t="shared" si="2"/>
        <v>Avoid</v>
      </c>
      <c r="P1688" s="21" t="str">
        <f t="shared" si="3"/>
        <v/>
      </c>
      <c r="Q1688" s="21" t="str">
        <f t="shared" si="4"/>
        <v/>
      </c>
      <c r="R1688" s="22">
        <f>IFERROR(__xludf.DUMMYFUNCTION("GOOGLEFINANCE(B1688, ""pe"")
"),126.36)</f>
        <v>126.36</v>
      </c>
    </row>
    <row r="1689">
      <c r="A1689" s="9" t="s">
        <v>1697</v>
      </c>
      <c r="B1689" s="11" t="str">
        <f t="shared" si="1"/>
        <v>NSE:INDBANK</v>
      </c>
      <c r="C1689" s="12">
        <f>IFERROR(__xludf.DUMMYFUNCTION("GOOGLEFINANCE(B1689,""marketcap"")/10000000"),149.0220373)</f>
        <v>149.0220373</v>
      </c>
      <c r="D1689" s="13">
        <f>IFERROR(__xludf.DUMMYFUNCTION("GOOGLEFINANCE(B1689,""price"")"),33.6)</f>
        <v>33.6</v>
      </c>
      <c r="E1689" s="14">
        <f>IFERROR(__xludf.DUMMYFUNCTION("GOOGLEFINANCE(B1689,""Volume"")"),14187.0)</f>
        <v>14187</v>
      </c>
      <c r="F1689" s="14">
        <f t="array" ref="F1689">F1688</f>
        <v>14</v>
      </c>
      <c r="G1689" s="15" t="str">
        <f>IFERROR(__xludf.DUMMYFUNCTION("IF(E1689&gt;AVERAGE(INDEX(GOOGLEFINANCE(B1689,""volume"",WORKDAY(TODAY(),-$F$1),TODAY()),,2)),""Breakout"","""")"),"")</f>
        <v/>
      </c>
      <c r="H1689" s="16">
        <f>IFERROR(__xludf.DUMMYFUNCTION("GOOGLEFINANCE(B1689,""price"")"),33.6)</f>
        <v>33.6</v>
      </c>
      <c r="I1689" s="17">
        <f>IFERROR(__xludf.DUMMYFUNCTION("AVERAGE(QUERY(SORT(GOOGLEFINANCE(B1689,""price"",TODAY()-365,TODAY()),1,0),""select Col2 limit 10""))"),34.445)</f>
        <v>34.445</v>
      </c>
      <c r="J1689" s="17">
        <f>IFERROR(__xludf.DUMMYFUNCTION("AVERAGE(QUERY(SORT(GOOGLEFINANCE(B1689,""price"",TODAY()-365,TODAY()),1,0),""select Col2 limit 30""))"),34.629666666666665)</f>
        <v>34.62966667</v>
      </c>
      <c r="K1689" s="18">
        <f>IFERROR(__xludf.DUMMYFUNCTION("AVERAGE(QUERY(SORT(GOOGLEFINANCE(B1689,""price"",TODAY()-365,TODAY()),1,0),""select Col2 limit 60""))"),34.425333333333334)</f>
        <v>34.42533333</v>
      </c>
      <c r="L1689" s="17">
        <f>IFERROR(__xludf.DUMMYFUNCTION("AVERAGE(QUERY(SORT(GOOGLEFINANCE(B1689,""price"",TODAY()-365,TODAY()),1,0),""select Col2 limit 90""))"),33.30444444444445)</f>
        <v>33.30444444</v>
      </c>
      <c r="M1689" s="17">
        <f>IFERROR(__xludf.DUMMYFUNCTION("AVERAGE(QUERY(SORT(GOOGLEFINANCE(B1689,""price"",TODAY()-365,TODAY()),1,0),""select Col2 limit 120""))"),33.50408333333334)</f>
        <v>33.50408333</v>
      </c>
      <c r="N1689" s="19">
        <f>IFERROR(__xludf.DUMMYFUNCTION("AVERAGE(QUERY(SORT(GOOGLEFINANCE(B1689,""price"",TODAY()-365,TODAY()),1,0),""select Col2 limit 200""))"),37.88330000000002)</f>
        <v>37.8833</v>
      </c>
      <c r="O1689" s="20" t="str">
        <f t="shared" si="2"/>
        <v>Avoid</v>
      </c>
      <c r="P1689" s="21" t="str">
        <f t="shared" si="3"/>
        <v/>
      </c>
      <c r="Q1689" s="21" t="str">
        <f t="shared" si="4"/>
        <v/>
      </c>
      <c r="R1689" s="22">
        <f>IFERROR(__xludf.DUMMYFUNCTION("GOOGLEFINANCE(B1689, ""pe"")
"),19.3)</f>
        <v>19.3</v>
      </c>
    </row>
    <row r="1690">
      <c r="A1690" s="9" t="s">
        <v>1698</v>
      </c>
      <c r="B1690" s="11" t="str">
        <f t="shared" si="1"/>
        <v>NSE:BROOKS</v>
      </c>
      <c r="C1690" s="12">
        <f>IFERROR(__xludf.DUMMYFUNCTION("GOOGLEFINANCE(B1690,""marketcap"")/10000000"),447.750048)</f>
        <v>447.750048</v>
      </c>
      <c r="D1690" s="13">
        <f>IFERROR(__xludf.DUMMYFUNCTION("GOOGLEFINANCE(B1690,""price"")"),152.0)</f>
        <v>152</v>
      </c>
      <c r="E1690" s="14">
        <f>IFERROR(__xludf.DUMMYFUNCTION("GOOGLEFINANCE(B1690,""Volume"")"),11140.0)</f>
        <v>11140</v>
      </c>
      <c r="F1690" s="14">
        <f t="array" ref="F1690">F1689</f>
        <v>14</v>
      </c>
      <c r="G1690" s="15" t="str">
        <f>IFERROR(__xludf.DUMMYFUNCTION("IF(E1690&gt;AVERAGE(INDEX(GOOGLEFINANCE(B1690,""volume"",WORKDAY(TODAY(),-$F$1),TODAY()),,2)),""Breakout"","""")"),"")</f>
        <v/>
      </c>
      <c r="H1690" s="16">
        <f>IFERROR(__xludf.DUMMYFUNCTION("GOOGLEFINANCE(B1690,""price"")"),152.0)</f>
        <v>152</v>
      </c>
      <c r="I1690" s="17">
        <f>IFERROR(__xludf.DUMMYFUNCTION("AVERAGE(QUERY(SORT(GOOGLEFINANCE(B1690,""price"",TODAY()-365,TODAY()),1,0),""select Col2 limit 10""))"),157.11100000000005)</f>
        <v>157.111</v>
      </c>
      <c r="J1690" s="17">
        <f>IFERROR(__xludf.DUMMYFUNCTION("AVERAGE(QUERY(SORT(GOOGLEFINANCE(B1690,""price"",TODAY()-365,TODAY()),1,0),""select Col2 limit 30""))"),146.1596666666667)</f>
        <v>146.1596667</v>
      </c>
      <c r="K1690" s="18">
        <f>IFERROR(__xludf.DUMMYFUNCTION("AVERAGE(QUERY(SORT(GOOGLEFINANCE(B1690,""price"",TODAY()-365,TODAY()),1,0),""select Col2 limit 60""))"),140.29200000000003)</f>
        <v>140.292</v>
      </c>
      <c r="L1690" s="17">
        <f>IFERROR(__xludf.DUMMYFUNCTION("AVERAGE(QUERY(SORT(GOOGLEFINANCE(B1690,""price"",TODAY()-365,TODAY()),1,0),""select Col2 limit 90""))"),135.26988888888897)</f>
        <v>135.2698889</v>
      </c>
      <c r="M1690" s="17">
        <f>IFERROR(__xludf.DUMMYFUNCTION("AVERAGE(QUERY(SORT(GOOGLEFINANCE(B1690,""price"",TODAY()-365,TODAY()),1,0),""select Col2 limit 120""))"),133.74300000000008)</f>
        <v>133.743</v>
      </c>
      <c r="N1690" s="19">
        <f>IFERROR(__xludf.DUMMYFUNCTION("AVERAGE(QUERY(SORT(GOOGLEFINANCE(B1690,""price"",TODAY()-365,TODAY()),1,0),""select Col2 limit 200""))"),141.26830000000007)</f>
        <v>141.2683</v>
      </c>
      <c r="O1690" s="20" t="str">
        <f t="shared" si="2"/>
        <v>Avoid</v>
      </c>
      <c r="P1690" s="21" t="str">
        <f t="shared" si="3"/>
        <v/>
      </c>
      <c r="Q1690" s="21" t="str">
        <f t="shared" si="4"/>
        <v/>
      </c>
      <c r="R1690" s="22" t="str">
        <f>IFERROR(__xludf.DUMMYFUNCTION("GOOGLEFINANCE(B1690, ""pe"")
"),"#N/A")</f>
        <v>#N/A</v>
      </c>
    </row>
    <row r="1691">
      <c r="A1691" s="9" t="s">
        <v>1699</v>
      </c>
      <c r="B1691" s="11" t="str">
        <f t="shared" si="1"/>
        <v>NSE:AHLEAST</v>
      </c>
      <c r="C1691" s="12">
        <f>IFERROR(__xludf.DUMMYFUNCTION("GOOGLEFINANCE(B1691,""marketcap"")/10000000"),276.9782777)</f>
        <v>276.9782777</v>
      </c>
      <c r="D1691" s="13">
        <f>IFERROR(__xludf.DUMMYFUNCTION("GOOGLEFINANCE(B1691,""price"")"),160.18)</f>
        <v>160.18</v>
      </c>
      <c r="E1691" s="14">
        <f>IFERROR(__xludf.DUMMYFUNCTION("GOOGLEFINANCE(B1691,""Volume"")"),1084.0)</f>
        <v>1084</v>
      </c>
      <c r="F1691" s="14">
        <f t="array" ref="F1691">F1690</f>
        <v>14</v>
      </c>
      <c r="G1691" s="15" t="str">
        <f>IFERROR(__xludf.DUMMYFUNCTION("IF(E1691&gt;AVERAGE(INDEX(GOOGLEFINANCE(B1691,""volume"",WORKDAY(TODAY(),-$F$1),TODAY()),,2)),""Breakout"","""")"),"")</f>
        <v/>
      </c>
      <c r="H1691" s="16">
        <f>IFERROR(__xludf.DUMMYFUNCTION("GOOGLEFINANCE(B1691,""price"")"),160.18)</f>
        <v>160.18</v>
      </c>
      <c r="I1691" s="17">
        <f>IFERROR(__xludf.DUMMYFUNCTION("AVERAGE(QUERY(SORT(GOOGLEFINANCE(B1691,""price"",TODAY()-365,TODAY()),1,0),""select Col2 limit 10""))"),161.72600000000003)</f>
        <v>161.726</v>
      </c>
      <c r="J1691" s="17">
        <f>IFERROR(__xludf.DUMMYFUNCTION("AVERAGE(QUERY(SORT(GOOGLEFINANCE(B1691,""price"",TODAY()-365,TODAY()),1,0),""select Col2 limit 30""))"),155.204)</f>
        <v>155.204</v>
      </c>
      <c r="K1691" s="18">
        <f>IFERROR(__xludf.DUMMYFUNCTION("AVERAGE(QUERY(SORT(GOOGLEFINANCE(B1691,""price"",TODAY()-365,TODAY()),1,0),""select Col2 limit 60""))"),147.93066666666667)</f>
        <v>147.9306667</v>
      </c>
      <c r="L1691" s="17">
        <f>IFERROR(__xludf.DUMMYFUNCTION("AVERAGE(QUERY(SORT(GOOGLEFINANCE(B1691,""price"",TODAY()-365,TODAY()),1,0),""select Col2 limit 90""))"),144.439)</f>
        <v>144.439</v>
      </c>
      <c r="M1691" s="17">
        <f>IFERROR(__xludf.DUMMYFUNCTION("AVERAGE(QUERY(SORT(GOOGLEFINANCE(B1691,""price"",TODAY()-365,TODAY()),1,0),""select Col2 limit 120""))"),141.8348333333334)</f>
        <v>141.8348333</v>
      </c>
      <c r="N1691" s="19">
        <f>IFERROR(__xludf.DUMMYFUNCTION("AVERAGE(QUERY(SORT(GOOGLEFINANCE(B1691,""price"",TODAY()-365,TODAY()),1,0),""select Col2 limit 200""))"),150.32560000000015)</f>
        <v>150.3256</v>
      </c>
      <c r="O1691" s="20" t="str">
        <f t="shared" si="2"/>
        <v>Avoid</v>
      </c>
      <c r="P1691" s="21" t="str">
        <f t="shared" si="3"/>
        <v>10 DMA</v>
      </c>
      <c r="Q1691" s="21" t="str">
        <f t="shared" si="4"/>
        <v/>
      </c>
      <c r="R1691" s="22">
        <f>IFERROR(__xludf.DUMMYFUNCTION("GOOGLEFINANCE(B1691, ""pe"")
"),15.81)</f>
        <v>15.81</v>
      </c>
    </row>
    <row r="1692">
      <c r="A1692" s="9" t="s">
        <v>1700</v>
      </c>
      <c r="B1692" s="11" t="str">
        <f t="shared" si="1"/>
        <v>NSE:MODTHREAD</v>
      </c>
      <c r="C1692" s="12">
        <f>IFERROR(__xludf.DUMMYFUNCTION("GOOGLEFINANCE(B1692,""marketcap"")/10000000"),180.1352743)</f>
        <v>180.1352743</v>
      </c>
      <c r="D1692" s="13">
        <f>IFERROR(__xludf.DUMMYFUNCTION("GOOGLEFINANCE(B1692,""price"")"),51.8)</f>
        <v>51.8</v>
      </c>
      <c r="E1692" s="14">
        <f>IFERROR(__xludf.DUMMYFUNCTION("GOOGLEFINANCE(B1692,""Volume"")"),2426.0)</f>
        <v>2426</v>
      </c>
      <c r="F1692" s="14">
        <f t="array" ref="F1692">F1691</f>
        <v>14</v>
      </c>
      <c r="G1692" s="15" t="str">
        <f>IFERROR(__xludf.DUMMYFUNCTION("IF(E1692&gt;AVERAGE(INDEX(GOOGLEFINANCE(B1692,""volume"",WORKDAY(TODAY(),-$F$1),TODAY()),,2)),""Breakout"","""")"),"")</f>
        <v/>
      </c>
      <c r="H1692" s="16">
        <f>IFERROR(__xludf.DUMMYFUNCTION("GOOGLEFINANCE(B1692,""price"")"),51.8)</f>
        <v>51.8</v>
      </c>
      <c r="I1692" s="17">
        <f>IFERROR(__xludf.DUMMYFUNCTION("AVERAGE(QUERY(SORT(GOOGLEFINANCE(B1692,""price"",TODAY()-365,TODAY()),1,0),""select Col2 limit 10""))"),46.991)</f>
        <v>46.991</v>
      </c>
      <c r="J1692" s="17">
        <f>IFERROR(__xludf.DUMMYFUNCTION("AVERAGE(QUERY(SORT(GOOGLEFINANCE(B1692,""price"",TODAY()-365,TODAY()),1,0),""select Col2 limit 30""))"),45.86233333333333)</f>
        <v>45.86233333</v>
      </c>
      <c r="K1692" s="18">
        <f>IFERROR(__xludf.DUMMYFUNCTION("AVERAGE(QUERY(SORT(GOOGLEFINANCE(B1692,""price"",TODAY()-365,TODAY()),1,0),""select Col2 limit 60""))"),44.82983333333335)</f>
        <v>44.82983333</v>
      </c>
      <c r="L1692" s="17">
        <f>IFERROR(__xludf.DUMMYFUNCTION("AVERAGE(QUERY(SORT(GOOGLEFINANCE(B1692,""price"",TODAY()-365,TODAY()),1,0),""select Col2 limit 90""))"),42.70255555555557)</f>
        <v>42.70255556</v>
      </c>
      <c r="M1692" s="17">
        <f>IFERROR(__xludf.DUMMYFUNCTION("AVERAGE(QUERY(SORT(GOOGLEFINANCE(B1692,""price"",TODAY()-365,TODAY()),1,0),""select Col2 limit 120""))"),42.91375000000002)</f>
        <v>42.91375</v>
      </c>
      <c r="N1692" s="19">
        <f>IFERROR(__xludf.DUMMYFUNCTION("AVERAGE(QUERY(SORT(GOOGLEFINANCE(B1692,""price"",TODAY()-365,TODAY()),1,0),""select Col2 limit 200""))"),47.18344999999999)</f>
        <v>47.18345</v>
      </c>
      <c r="O1692" s="20" t="str">
        <f t="shared" si="2"/>
        <v>Avoid</v>
      </c>
      <c r="P1692" s="21" t="str">
        <f t="shared" si="3"/>
        <v/>
      </c>
      <c r="Q1692" s="21" t="str">
        <f t="shared" si="4"/>
        <v/>
      </c>
      <c r="R1692" s="22">
        <f>IFERROR(__xludf.DUMMYFUNCTION("GOOGLEFINANCE(B1692, ""pe"")
"),53.4)</f>
        <v>53.4</v>
      </c>
    </row>
    <row r="1693">
      <c r="A1693" s="9" t="s">
        <v>1701</v>
      </c>
      <c r="B1693" s="11" t="str">
        <f t="shared" si="1"/>
        <v>NSE:IEL</v>
      </c>
      <c r="C1693" s="12">
        <f>IFERROR(__xludf.DUMMYFUNCTION("GOOGLEFINANCE(B1693,""marketcap"")/10000000"),332.0279994)</f>
        <v>332.0279994</v>
      </c>
      <c r="D1693" s="13">
        <f>IFERROR(__xludf.DUMMYFUNCTION("GOOGLEFINANCE(B1693,""price"")"),16.81)</f>
        <v>16.81</v>
      </c>
      <c r="E1693" s="14">
        <f>IFERROR(__xludf.DUMMYFUNCTION("GOOGLEFINANCE(B1693,""Volume"")"),44030.0)</f>
        <v>44030</v>
      </c>
      <c r="F1693" s="14">
        <f t="array" ref="F1693">F1692</f>
        <v>14</v>
      </c>
      <c r="G1693" s="15" t="str">
        <f>IFERROR(__xludf.DUMMYFUNCTION("IF(E1693&gt;AVERAGE(INDEX(GOOGLEFINANCE(B1693,""volume"",WORKDAY(TODAY(),-$F$1),TODAY()),,2)),""Breakout"","""")"),"")</f>
        <v/>
      </c>
      <c r="H1693" s="16">
        <f>IFERROR(__xludf.DUMMYFUNCTION("GOOGLEFINANCE(B1693,""price"")"),16.81)</f>
        <v>16.81</v>
      </c>
      <c r="I1693" s="17">
        <f>IFERROR(__xludf.DUMMYFUNCTION("AVERAGE(QUERY(SORT(GOOGLEFINANCE(B1693,""price"",TODAY()-365,TODAY()),1,0),""select Col2 limit 10""))"),18.208999999999996)</f>
        <v>18.209</v>
      </c>
      <c r="J1693" s="17">
        <f>IFERROR(__xludf.DUMMYFUNCTION("AVERAGE(QUERY(SORT(GOOGLEFINANCE(B1693,""price"",TODAY()-365,TODAY()),1,0),""select Col2 limit 30""))"),20.724000000000004)</f>
        <v>20.724</v>
      </c>
      <c r="K1693" s="18">
        <f>IFERROR(__xludf.DUMMYFUNCTION("AVERAGE(QUERY(SORT(GOOGLEFINANCE(B1693,""price"",TODAY()-365,TODAY()),1,0),""select Col2 limit 60""))"),19.16383333333334)</f>
        <v>19.16383333</v>
      </c>
      <c r="L1693" s="17">
        <f>IFERROR(__xludf.DUMMYFUNCTION("AVERAGE(QUERY(SORT(GOOGLEFINANCE(B1693,""price"",TODAY()-365,TODAY()),1,0),""select Col2 limit 90""))"),18.378666666666668)</f>
        <v>18.37866667</v>
      </c>
      <c r="M1693" s="17">
        <f>IFERROR(__xludf.DUMMYFUNCTION("AVERAGE(QUERY(SORT(GOOGLEFINANCE(B1693,""price"",TODAY()-365,TODAY()),1,0),""select Col2 limit 120""))"),18.46699999999999)</f>
        <v>18.467</v>
      </c>
      <c r="N1693" s="19">
        <f>IFERROR(__xludf.DUMMYFUNCTION("AVERAGE(QUERY(SORT(GOOGLEFINANCE(B1693,""price"",TODAY()-365,TODAY()),1,0),""select Col2 limit 200""))"),18.163549999999997)</f>
        <v>18.16355</v>
      </c>
      <c r="O1693" s="20" t="str">
        <f t="shared" si="2"/>
        <v>Avoid</v>
      </c>
      <c r="P1693" s="21" t="str">
        <f t="shared" si="3"/>
        <v/>
      </c>
      <c r="Q1693" s="21" t="str">
        <f t="shared" si="4"/>
        <v/>
      </c>
      <c r="R1693" s="22" t="str">
        <f>IFERROR(__xludf.DUMMYFUNCTION("GOOGLEFINANCE(B1693, ""pe"")
"),"#N/A")</f>
        <v>#N/A</v>
      </c>
    </row>
    <row r="1694">
      <c r="A1694" s="9" t="s">
        <v>1702</v>
      </c>
      <c r="B1694" s="11" t="str">
        <f t="shared" si="1"/>
        <v>NSE:SURANASOL</v>
      </c>
      <c r="C1694" s="12">
        <f>IFERROR(__xludf.DUMMYFUNCTION("GOOGLEFINANCE(B1694,""marketcap"")/10000000"),161.2499649)</f>
        <v>161.2499649</v>
      </c>
      <c r="D1694" s="13">
        <f>IFERROR(__xludf.DUMMYFUNCTION("GOOGLEFINANCE(B1694,""price"")"),32.78)</f>
        <v>32.78</v>
      </c>
      <c r="E1694" s="14">
        <f>IFERROR(__xludf.DUMMYFUNCTION("GOOGLEFINANCE(B1694,""Volume"")"),70613.0)</f>
        <v>70613</v>
      </c>
      <c r="F1694" s="14">
        <f t="array" ref="F1694">F1693</f>
        <v>14</v>
      </c>
      <c r="G1694" s="15" t="str">
        <f>IFERROR(__xludf.DUMMYFUNCTION("IF(E1694&gt;AVERAGE(INDEX(GOOGLEFINANCE(B1694,""volume"",WORKDAY(TODAY(),-$F$1),TODAY()),,2)),""Breakout"","""")"),"#N/A")</f>
        <v>#N/A</v>
      </c>
      <c r="H1694" s="16">
        <f>IFERROR(__xludf.DUMMYFUNCTION("GOOGLEFINANCE(B1694,""price"")"),32.78)</f>
        <v>32.78</v>
      </c>
      <c r="I1694" s="17">
        <f>IFERROR(__xludf.DUMMYFUNCTION("AVERAGE(QUERY(SORT(GOOGLEFINANCE(B1694,""price"",TODAY()-365,TODAY()),1,0),""select Col2 limit 10""))"),33.323)</f>
        <v>33.323</v>
      </c>
      <c r="J1694" s="17">
        <f>IFERROR(__xludf.DUMMYFUNCTION("AVERAGE(QUERY(SORT(GOOGLEFINANCE(B1694,""price"",TODAY()-365,TODAY()),1,0),""select Col2 limit 30""))"),34.12300000000001)</f>
        <v>34.123</v>
      </c>
      <c r="K1694" s="18">
        <f>IFERROR(__xludf.DUMMYFUNCTION("AVERAGE(QUERY(SORT(GOOGLEFINANCE(B1694,""price"",TODAY()-365,TODAY()),1,0),""select Col2 limit 60""))"),34.8425)</f>
        <v>34.8425</v>
      </c>
      <c r="L1694" s="17">
        <f>IFERROR(__xludf.DUMMYFUNCTION("AVERAGE(QUERY(SORT(GOOGLEFINANCE(B1694,""price"",TODAY()-365,TODAY()),1,0),""select Col2 limit 90""))"),34.492111111111114)</f>
        <v>34.49211111</v>
      </c>
      <c r="M1694" s="17">
        <f>IFERROR(__xludf.DUMMYFUNCTION("AVERAGE(QUERY(SORT(GOOGLEFINANCE(B1694,""price"",TODAY()-365,TODAY()),1,0),""select Col2 limit 120""))"),34.61383333333333)</f>
        <v>34.61383333</v>
      </c>
      <c r="N1694" s="19">
        <f>IFERROR(__xludf.DUMMYFUNCTION("AVERAGE(QUERY(SORT(GOOGLEFINANCE(B1694,""price"",TODAY()-365,TODAY()),1,0),""select Col2 limit 200""))"),40.49635)</f>
        <v>40.49635</v>
      </c>
      <c r="O1694" s="20" t="str">
        <f t="shared" si="2"/>
        <v>Avoid</v>
      </c>
      <c r="P1694" s="21" t="str">
        <f t="shared" si="3"/>
        <v/>
      </c>
      <c r="Q1694" s="21" t="str">
        <f t="shared" si="4"/>
        <v/>
      </c>
      <c r="R1694" s="22">
        <f>IFERROR(__xludf.DUMMYFUNCTION("GOOGLEFINANCE(B1694, ""pe"")
"),3407.0)</f>
        <v>3407</v>
      </c>
    </row>
    <row r="1695">
      <c r="A1695" s="9" t="s">
        <v>1703</v>
      </c>
      <c r="B1695" s="11" t="str">
        <f t="shared" si="1"/>
        <v>NSE:ISFT</v>
      </c>
      <c r="C1695" s="12">
        <f>IFERROR(__xludf.DUMMYFUNCTION("GOOGLEFINANCE(B1695,""marketcap"")/10000000"),169.7229313)</f>
        <v>169.7229313</v>
      </c>
      <c r="D1695" s="13">
        <f>IFERROR(__xludf.DUMMYFUNCTION("GOOGLEFINANCE(B1695,""price"")"),104.05)</f>
        <v>104.05</v>
      </c>
      <c r="E1695" s="14">
        <f>IFERROR(__xludf.DUMMYFUNCTION("GOOGLEFINANCE(B1695,""Volume"")"),8002.0)</f>
        <v>8002</v>
      </c>
      <c r="F1695" s="14">
        <f t="array" ref="F1695">F1694</f>
        <v>14</v>
      </c>
      <c r="G1695" s="15" t="str">
        <f>IFERROR(__xludf.DUMMYFUNCTION("IF(E1695&gt;AVERAGE(INDEX(GOOGLEFINANCE(B1695,""volume"",WORKDAY(TODAY(),-$F$1),TODAY()),,2)),""Breakout"","""")"),"")</f>
        <v/>
      </c>
      <c r="H1695" s="16">
        <f>IFERROR(__xludf.DUMMYFUNCTION("GOOGLEFINANCE(B1695,""price"")"),104.05)</f>
        <v>104.05</v>
      </c>
      <c r="I1695" s="17">
        <f>IFERROR(__xludf.DUMMYFUNCTION("AVERAGE(QUERY(SORT(GOOGLEFINANCE(B1695,""price"",TODAY()-365,TODAY()),1,0),""select Col2 limit 10""))"),106.982)</f>
        <v>106.982</v>
      </c>
      <c r="J1695" s="17">
        <f>IFERROR(__xludf.DUMMYFUNCTION("AVERAGE(QUERY(SORT(GOOGLEFINANCE(B1695,""price"",TODAY()-365,TODAY()),1,0),""select Col2 limit 30""))"),110.02299999999998)</f>
        <v>110.023</v>
      </c>
      <c r="K1695" s="18">
        <f>IFERROR(__xludf.DUMMYFUNCTION("AVERAGE(QUERY(SORT(GOOGLEFINANCE(B1695,""price"",TODAY()-365,TODAY()),1,0),""select Col2 limit 60""))"),108.36766666666662)</f>
        <v>108.3676667</v>
      </c>
      <c r="L1695" s="17">
        <f>IFERROR(__xludf.DUMMYFUNCTION("AVERAGE(QUERY(SORT(GOOGLEFINANCE(B1695,""price"",TODAY()-365,TODAY()),1,0),""select Col2 limit 90""))"),106.0511111111111)</f>
        <v>106.0511111</v>
      </c>
      <c r="M1695" s="17">
        <f>IFERROR(__xludf.DUMMYFUNCTION("AVERAGE(QUERY(SORT(GOOGLEFINANCE(B1695,""price"",TODAY()-365,TODAY()),1,0),""select Col2 limit 120""))"),108.7318333333333)</f>
        <v>108.7318333</v>
      </c>
      <c r="N1695" s="19">
        <f>IFERROR(__xludf.DUMMYFUNCTION("AVERAGE(QUERY(SORT(GOOGLEFINANCE(B1695,""price"",TODAY()-365,TODAY()),1,0),""select Col2 limit 200""))"),123.01070000000003)</f>
        <v>123.0107</v>
      </c>
      <c r="O1695" s="20" t="str">
        <f t="shared" si="2"/>
        <v>Avoid</v>
      </c>
      <c r="P1695" s="21" t="str">
        <f t="shared" si="3"/>
        <v/>
      </c>
      <c r="Q1695" s="21" t="str">
        <f t="shared" si="4"/>
        <v/>
      </c>
      <c r="R1695" s="22">
        <f>IFERROR(__xludf.DUMMYFUNCTION("GOOGLEFINANCE(B1695, ""pe"")
"),13.37)</f>
        <v>13.37</v>
      </c>
    </row>
    <row r="1696">
      <c r="A1696" s="9" t="s">
        <v>1704</v>
      </c>
      <c r="B1696" s="11" t="str">
        <f t="shared" si="1"/>
        <v>NSE:MANAKALUCO</v>
      </c>
      <c r="C1696" s="12">
        <f>IFERROR(__xludf.DUMMYFUNCTION("GOOGLEFINANCE(B1696,""marketcap"")/10000000"),194.6361334)</f>
        <v>194.6361334</v>
      </c>
      <c r="D1696" s="13">
        <f>IFERROR(__xludf.DUMMYFUNCTION("GOOGLEFINANCE(B1696,""price"")"),29.59)</f>
        <v>29.59</v>
      </c>
      <c r="E1696" s="14">
        <f>IFERROR(__xludf.DUMMYFUNCTION("GOOGLEFINANCE(B1696,""Volume"")"),70119.0)</f>
        <v>70119</v>
      </c>
      <c r="F1696" s="14">
        <f t="array" ref="F1696">F1695</f>
        <v>14</v>
      </c>
      <c r="G1696" s="15" t="str">
        <f>IFERROR(__xludf.DUMMYFUNCTION("IF(E1696&gt;AVERAGE(INDEX(GOOGLEFINANCE(B1696,""volume"",WORKDAY(TODAY(),-$F$1),TODAY()),,2)),""Breakout"","""")"),"")</f>
        <v/>
      </c>
      <c r="H1696" s="16">
        <f>IFERROR(__xludf.DUMMYFUNCTION("GOOGLEFINANCE(B1696,""price"")"),29.59)</f>
        <v>29.59</v>
      </c>
      <c r="I1696" s="17">
        <f>IFERROR(__xludf.DUMMYFUNCTION("AVERAGE(QUERY(SORT(GOOGLEFINANCE(B1696,""price"",TODAY()-365,TODAY()),1,0),""select Col2 limit 10""))"),28.829)</f>
        <v>28.829</v>
      </c>
      <c r="J1696" s="17">
        <f>IFERROR(__xludf.DUMMYFUNCTION("AVERAGE(QUERY(SORT(GOOGLEFINANCE(B1696,""price"",TODAY()-365,TODAY()),1,0),""select Col2 limit 30""))"),26.952333333333332)</f>
        <v>26.95233333</v>
      </c>
      <c r="K1696" s="18">
        <f>IFERROR(__xludf.DUMMYFUNCTION("AVERAGE(QUERY(SORT(GOOGLEFINANCE(B1696,""price"",TODAY()-365,TODAY()),1,0),""select Col2 limit 60""))"),26.922166666666662)</f>
        <v>26.92216667</v>
      </c>
      <c r="L1696" s="17">
        <f>IFERROR(__xludf.DUMMYFUNCTION("AVERAGE(QUERY(SORT(GOOGLEFINANCE(B1696,""price"",TODAY()-365,TODAY()),1,0),""select Col2 limit 90""))"),25.824999999999996)</f>
        <v>25.825</v>
      </c>
      <c r="M1696" s="17">
        <f>IFERROR(__xludf.DUMMYFUNCTION("AVERAGE(QUERY(SORT(GOOGLEFINANCE(B1696,""price"",TODAY()-365,TODAY()),1,0),""select Col2 limit 120""))"),25.337166666666675)</f>
        <v>25.33716667</v>
      </c>
      <c r="N1696" s="19">
        <f>IFERROR(__xludf.DUMMYFUNCTION("AVERAGE(QUERY(SORT(GOOGLEFINANCE(B1696,""price"",TODAY()-365,TODAY()),1,0),""select Col2 limit 200""))"),26.93215)</f>
        <v>26.93215</v>
      </c>
      <c r="O1696" s="20" t="str">
        <f t="shared" si="2"/>
        <v>Avoid</v>
      </c>
      <c r="P1696" s="21" t="str">
        <f t="shared" si="3"/>
        <v/>
      </c>
      <c r="Q1696" s="21" t="str">
        <f t="shared" si="4"/>
        <v/>
      </c>
      <c r="R1696" s="22">
        <f>IFERROR(__xludf.DUMMYFUNCTION("GOOGLEFINANCE(B1696, ""pe"")
"),32.16)</f>
        <v>32.16</v>
      </c>
    </row>
    <row r="1697">
      <c r="A1697" s="9" t="s">
        <v>1705</v>
      </c>
      <c r="B1697" s="11" t="str">
        <f t="shared" si="1"/>
        <v>NSE:LOVABLE</v>
      </c>
      <c r="C1697" s="12">
        <f>IFERROR(__xludf.DUMMYFUNCTION("GOOGLEFINANCE(B1697,""marketcap"")/10000000"),141.177199)</f>
        <v>141.177199</v>
      </c>
      <c r="D1697" s="13">
        <f>IFERROR(__xludf.DUMMYFUNCTION("GOOGLEFINANCE(B1697,""price"")"),95.25)</f>
        <v>95.25</v>
      </c>
      <c r="E1697" s="14">
        <f>IFERROR(__xludf.DUMMYFUNCTION("GOOGLEFINANCE(B1697,""Volume"")"),3837.0)</f>
        <v>3837</v>
      </c>
      <c r="F1697" s="14">
        <f t="array" ref="F1697">F1696</f>
        <v>14</v>
      </c>
      <c r="G1697" s="15" t="str">
        <f>IFERROR(__xludf.DUMMYFUNCTION("IF(E1697&gt;AVERAGE(INDEX(GOOGLEFINANCE(B1697,""volume"",WORKDAY(TODAY(),-$F$1),TODAY()),,2)),""Breakout"","""")"),"")</f>
        <v/>
      </c>
      <c r="H1697" s="16">
        <f>IFERROR(__xludf.DUMMYFUNCTION("GOOGLEFINANCE(B1697,""price"")"),95.25)</f>
        <v>95.25</v>
      </c>
      <c r="I1697" s="17">
        <f>IFERROR(__xludf.DUMMYFUNCTION("AVERAGE(QUERY(SORT(GOOGLEFINANCE(B1697,""price"",TODAY()-365,TODAY()),1,0),""select Col2 limit 10""))"),99.06400000000001)</f>
        <v>99.064</v>
      </c>
      <c r="J1697" s="17">
        <f>IFERROR(__xludf.DUMMYFUNCTION("AVERAGE(QUERY(SORT(GOOGLEFINANCE(B1697,""price"",TODAY()-365,TODAY()),1,0),""select Col2 limit 30""))"),99.025)</f>
        <v>99.025</v>
      </c>
      <c r="K1697" s="18">
        <f>IFERROR(__xludf.DUMMYFUNCTION("AVERAGE(QUERY(SORT(GOOGLEFINANCE(B1697,""price"",TODAY()-365,TODAY()),1,0),""select Col2 limit 60""))"),97.92233333333337)</f>
        <v>97.92233333</v>
      </c>
      <c r="L1697" s="17">
        <f>IFERROR(__xludf.DUMMYFUNCTION("AVERAGE(QUERY(SORT(GOOGLEFINANCE(B1697,""price"",TODAY()-365,TODAY()),1,0),""select Col2 limit 90""))"),94.25733333333335)</f>
        <v>94.25733333</v>
      </c>
      <c r="M1697" s="17">
        <f>IFERROR(__xludf.DUMMYFUNCTION("AVERAGE(QUERY(SORT(GOOGLEFINANCE(B1697,""price"",TODAY()-365,TODAY()),1,0),""select Col2 limit 120""))"),94.63325000000003)</f>
        <v>94.63325</v>
      </c>
      <c r="N1697" s="19">
        <f>IFERROR(__xludf.DUMMYFUNCTION("AVERAGE(QUERY(SORT(GOOGLEFINANCE(B1697,""price"",TODAY()-365,TODAY()),1,0),""select Col2 limit 200""))"),107.62750000000005)</f>
        <v>107.6275</v>
      </c>
      <c r="O1697" s="20" t="str">
        <f t="shared" si="2"/>
        <v>Avoid</v>
      </c>
      <c r="P1697" s="21" t="str">
        <f t="shared" si="3"/>
        <v/>
      </c>
      <c r="Q1697" s="21" t="str">
        <f t="shared" si="4"/>
        <v/>
      </c>
      <c r="R1697" s="22">
        <f>IFERROR(__xludf.DUMMYFUNCTION("GOOGLEFINANCE(B1697, ""pe"")
"),78.83)</f>
        <v>78.83</v>
      </c>
    </row>
    <row r="1698">
      <c r="A1698" s="9" t="s">
        <v>1706</v>
      </c>
      <c r="B1698" s="11" t="str">
        <f t="shared" si="1"/>
        <v>NSE:KALYANIFRG</v>
      </c>
      <c r="C1698" s="12">
        <f>IFERROR(__xludf.DUMMYFUNCTION("GOOGLEFINANCE(B1698,""marketcap"")/10000000"),266.2834144)</f>
        <v>266.2834144</v>
      </c>
      <c r="D1698" s="13">
        <f>IFERROR(__xludf.DUMMYFUNCTION("GOOGLEFINANCE(B1698,""price"")"),731.95)</f>
        <v>731.95</v>
      </c>
      <c r="E1698" s="14">
        <f>IFERROR(__xludf.DUMMYFUNCTION("GOOGLEFINANCE(B1698,""Volume"")"),882.0)</f>
        <v>882</v>
      </c>
      <c r="F1698" s="14">
        <f t="array" ref="F1698">F1697</f>
        <v>14</v>
      </c>
      <c r="G1698" s="15" t="str">
        <f>IFERROR(__xludf.DUMMYFUNCTION("IF(E1698&gt;AVERAGE(INDEX(GOOGLEFINANCE(B1698,""volume"",WORKDAY(TODAY(),-$F$1),TODAY()),,2)),""Breakout"","""")"),"")</f>
        <v/>
      </c>
      <c r="H1698" s="16">
        <f>IFERROR(__xludf.DUMMYFUNCTION("GOOGLEFINANCE(B1698,""price"")"),731.95)</f>
        <v>731.95</v>
      </c>
      <c r="I1698" s="17">
        <f>IFERROR(__xludf.DUMMYFUNCTION("AVERAGE(QUERY(SORT(GOOGLEFINANCE(B1698,""price"",TODAY()-365,TODAY()),1,0),""select Col2 limit 10""))"),735.79)</f>
        <v>735.79</v>
      </c>
      <c r="J1698" s="17">
        <f>IFERROR(__xludf.DUMMYFUNCTION("AVERAGE(QUERY(SORT(GOOGLEFINANCE(B1698,""price"",TODAY()-365,TODAY()),1,0),""select Col2 limit 30""))"),739.245)</f>
        <v>739.245</v>
      </c>
      <c r="K1698" s="18">
        <f>IFERROR(__xludf.DUMMYFUNCTION("AVERAGE(QUERY(SORT(GOOGLEFINANCE(B1698,""price"",TODAY()-365,TODAY()),1,0),""select Col2 limit 60""))"),744.1991666666662)</f>
        <v>744.1991667</v>
      </c>
      <c r="L1698" s="17">
        <f>IFERROR(__xludf.DUMMYFUNCTION("AVERAGE(QUERY(SORT(GOOGLEFINANCE(B1698,""price"",TODAY()-365,TODAY()),1,0),""select Col2 limit 90""))"),674.8627777777775)</f>
        <v>674.8627778</v>
      </c>
      <c r="M1698" s="17">
        <f>IFERROR(__xludf.DUMMYFUNCTION("AVERAGE(QUERY(SORT(GOOGLEFINANCE(B1698,""price"",TODAY()-365,TODAY()),1,0),""select Col2 limit 120""))"),650.1762500000001)</f>
        <v>650.17625</v>
      </c>
      <c r="N1698" s="19">
        <f>IFERROR(__xludf.DUMMYFUNCTION("AVERAGE(QUERY(SORT(GOOGLEFINANCE(B1698,""price"",TODAY()-365,TODAY()),1,0),""select Col2 limit 200""))"),627.9402500000001)</f>
        <v>627.94025</v>
      </c>
      <c r="O1698" s="20" t="str">
        <f t="shared" si="2"/>
        <v>Avoid</v>
      </c>
      <c r="P1698" s="21" t="str">
        <f t="shared" si="3"/>
        <v>10 DMA</v>
      </c>
      <c r="Q1698" s="21" t="str">
        <f t="shared" si="4"/>
        <v/>
      </c>
      <c r="R1698" s="22">
        <f>IFERROR(__xludf.DUMMYFUNCTION("GOOGLEFINANCE(B1698, ""pe"")
"),32.02)</f>
        <v>32.02</v>
      </c>
    </row>
    <row r="1699">
      <c r="A1699" s="9" t="s">
        <v>1707</v>
      </c>
      <c r="B1699" s="11" t="str">
        <f t="shared" si="1"/>
        <v>NSE:UNITEDTEA</v>
      </c>
      <c r="C1699" s="12">
        <f>IFERROR(__xludf.DUMMYFUNCTION("GOOGLEFINANCE(B1699,""marketcap"")/10000000"),235.2132973)</f>
        <v>235.2132973</v>
      </c>
      <c r="D1699" s="13">
        <f>IFERROR(__xludf.DUMMYFUNCTION("GOOGLEFINANCE(B1699,""price"")"),472.15)</f>
        <v>472.15</v>
      </c>
      <c r="E1699" s="14">
        <f>IFERROR(__xludf.DUMMYFUNCTION("GOOGLEFINANCE(B1699,""Volume"")"),264.0)</f>
        <v>264</v>
      </c>
      <c r="F1699" s="14">
        <f t="array" ref="F1699">F1698</f>
        <v>14</v>
      </c>
      <c r="G1699" s="15" t="str">
        <f>IFERROR(__xludf.DUMMYFUNCTION("IF(E1699&gt;AVERAGE(INDEX(GOOGLEFINANCE(B1699,""volume"",WORKDAY(TODAY(),-$F$1),TODAY()),,2)),""Breakout"","""")"),"")</f>
        <v/>
      </c>
      <c r="H1699" s="16">
        <f>IFERROR(__xludf.DUMMYFUNCTION("GOOGLEFINANCE(B1699,""price"")"),472.15)</f>
        <v>472.15</v>
      </c>
      <c r="I1699" s="17">
        <f>IFERROR(__xludf.DUMMYFUNCTION("AVERAGE(QUERY(SORT(GOOGLEFINANCE(B1699,""price"",TODAY()-365,TODAY()),1,0),""select Col2 limit 10""))"),476.6)</f>
        <v>476.6</v>
      </c>
      <c r="J1699" s="17">
        <f>IFERROR(__xludf.DUMMYFUNCTION("AVERAGE(QUERY(SORT(GOOGLEFINANCE(B1699,""price"",TODAY()-365,TODAY()),1,0),""select Col2 limit 30""))"),451.6283333333332)</f>
        <v>451.6283333</v>
      </c>
      <c r="K1699" s="18">
        <f>IFERROR(__xludf.DUMMYFUNCTION("AVERAGE(QUERY(SORT(GOOGLEFINANCE(B1699,""price"",TODAY()-365,TODAY()),1,0),""select Col2 limit 60""))"),436.5508333333334)</f>
        <v>436.5508333</v>
      </c>
      <c r="L1699" s="17">
        <f>IFERROR(__xludf.DUMMYFUNCTION("AVERAGE(QUERY(SORT(GOOGLEFINANCE(B1699,""price"",TODAY()-365,TODAY()),1,0),""select Col2 limit 90""))"),424.0755555555555)</f>
        <v>424.0755556</v>
      </c>
      <c r="M1699" s="17">
        <f>IFERROR(__xludf.DUMMYFUNCTION("AVERAGE(QUERY(SORT(GOOGLEFINANCE(B1699,""price"",TODAY()-365,TODAY()),1,0),""select Col2 limit 120""))"),419.87125000000015)</f>
        <v>419.87125</v>
      </c>
      <c r="N1699" s="19">
        <f>IFERROR(__xludf.DUMMYFUNCTION("AVERAGE(QUERY(SORT(GOOGLEFINANCE(B1699,""price"",TODAY()-365,TODAY()),1,0),""select Col2 limit 200""))"),447.9122499999999)</f>
        <v>447.91225</v>
      </c>
      <c r="O1699" s="20" t="str">
        <f t="shared" si="2"/>
        <v>Avoid</v>
      </c>
      <c r="P1699" s="21" t="str">
        <f t="shared" si="3"/>
        <v>10 DMA</v>
      </c>
      <c r="Q1699" s="21" t="str">
        <f t="shared" si="4"/>
        <v/>
      </c>
      <c r="R1699" s="22">
        <f>IFERROR(__xludf.DUMMYFUNCTION("GOOGLEFINANCE(B1699, ""pe"")
"),12.71)</f>
        <v>12.71</v>
      </c>
    </row>
    <row r="1700">
      <c r="A1700" s="9" t="s">
        <v>1708</v>
      </c>
      <c r="B1700" s="11" t="str">
        <f t="shared" si="1"/>
        <v>NSE:TEXMOPIPES</v>
      </c>
      <c r="C1700" s="12">
        <f>IFERROR(__xludf.DUMMYFUNCTION("GOOGLEFINANCE(B1700,""marketcap"")/10000000"),180.454299)</f>
        <v>180.454299</v>
      </c>
      <c r="D1700" s="13">
        <f>IFERROR(__xludf.DUMMYFUNCTION("GOOGLEFINANCE(B1700,""price"")"),61.9)</f>
        <v>61.9</v>
      </c>
      <c r="E1700" s="14">
        <f>IFERROR(__xludf.DUMMYFUNCTION("GOOGLEFINANCE(B1700,""Volume"")"),25776.0)</f>
        <v>25776</v>
      </c>
      <c r="F1700" s="14">
        <f t="array" ref="F1700">F1699</f>
        <v>14</v>
      </c>
      <c r="G1700" s="15" t="str">
        <f>IFERROR(__xludf.DUMMYFUNCTION("IF(E1700&gt;AVERAGE(INDEX(GOOGLEFINANCE(B1700,""volume"",WORKDAY(TODAY(),-$F$1),TODAY()),,2)),""Breakout"","""")"),"")</f>
        <v/>
      </c>
      <c r="H1700" s="16">
        <f>IFERROR(__xludf.DUMMYFUNCTION("GOOGLEFINANCE(B1700,""price"")"),61.9)</f>
        <v>61.9</v>
      </c>
      <c r="I1700" s="17">
        <f>IFERROR(__xludf.DUMMYFUNCTION("AVERAGE(QUERY(SORT(GOOGLEFINANCE(B1700,""price"",TODAY()-365,TODAY()),1,0),""select Col2 limit 10""))"),63.52)</f>
        <v>63.52</v>
      </c>
      <c r="J1700" s="17">
        <f>IFERROR(__xludf.DUMMYFUNCTION("AVERAGE(QUERY(SORT(GOOGLEFINANCE(B1700,""price"",TODAY()-365,TODAY()),1,0),""select Col2 limit 30""))"),63.66933333333335)</f>
        <v>63.66933333</v>
      </c>
      <c r="K1700" s="18">
        <f>IFERROR(__xludf.DUMMYFUNCTION("AVERAGE(QUERY(SORT(GOOGLEFINANCE(B1700,""price"",TODAY()-365,TODAY()),1,0),""select Col2 limit 60""))"),62.84416666666666)</f>
        <v>62.84416667</v>
      </c>
      <c r="L1700" s="17">
        <f>IFERROR(__xludf.DUMMYFUNCTION("AVERAGE(QUERY(SORT(GOOGLEFINANCE(B1700,""price"",TODAY()-365,TODAY()),1,0),""select Col2 limit 90""))"),60.03844444444446)</f>
        <v>60.03844444</v>
      </c>
      <c r="M1700" s="17">
        <f>IFERROR(__xludf.DUMMYFUNCTION("AVERAGE(QUERY(SORT(GOOGLEFINANCE(B1700,""price"",TODAY()-365,TODAY()),1,0),""select Col2 limit 120""))"),58.92708333333335)</f>
        <v>58.92708333</v>
      </c>
      <c r="N1700" s="19">
        <f>IFERROR(__xludf.DUMMYFUNCTION("AVERAGE(QUERY(SORT(GOOGLEFINANCE(B1700,""price"",TODAY()-365,TODAY()),1,0),""select Col2 limit 200""))"),62.13919999999998)</f>
        <v>62.1392</v>
      </c>
      <c r="O1700" s="20" t="str">
        <f t="shared" si="2"/>
        <v>Avoid</v>
      </c>
      <c r="P1700" s="21" t="str">
        <f t="shared" si="3"/>
        <v>200 DMA</v>
      </c>
      <c r="Q1700" s="21" t="str">
        <f t="shared" si="4"/>
        <v/>
      </c>
      <c r="R1700" s="22">
        <f>IFERROR(__xludf.DUMMYFUNCTION("GOOGLEFINANCE(B1700, ""pe"")
"),10.04)</f>
        <v>10.04</v>
      </c>
    </row>
    <row r="1701">
      <c r="A1701" s="9" t="s">
        <v>1709</v>
      </c>
      <c r="B1701" s="11" t="str">
        <f t="shared" si="1"/>
        <v>NSE:BSL</v>
      </c>
      <c r="C1701" s="12">
        <f>IFERROR(__xludf.DUMMYFUNCTION("GOOGLEFINANCE(B1701,""marketcap"")/10000000"),154.7008703)</f>
        <v>154.7008703</v>
      </c>
      <c r="D1701" s="13">
        <f>IFERROR(__xludf.DUMMYFUNCTION("GOOGLEFINANCE(B1701,""price"")"),151.0)</f>
        <v>151</v>
      </c>
      <c r="E1701" s="14">
        <f>IFERROR(__xludf.DUMMYFUNCTION("GOOGLEFINANCE(B1701,""Volume"")"),177.0)</f>
        <v>177</v>
      </c>
      <c r="F1701" s="14">
        <f t="array" ref="F1701">F1700</f>
        <v>14</v>
      </c>
      <c r="G1701" s="15" t="str">
        <f>IFERROR(__xludf.DUMMYFUNCTION("IF(E1701&gt;AVERAGE(INDEX(GOOGLEFINANCE(B1701,""volume"",WORKDAY(TODAY(),-$F$1),TODAY()),,2)),""Breakout"","""")"),"")</f>
        <v/>
      </c>
      <c r="H1701" s="16">
        <f>IFERROR(__xludf.DUMMYFUNCTION("GOOGLEFINANCE(B1701,""price"")"),151.0)</f>
        <v>151</v>
      </c>
      <c r="I1701" s="17">
        <f>IFERROR(__xludf.DUMMYFUNCTION("AVERAGE(QUERY(SORT(GOOGLEFINANCE(B1701,""price"",TODAY()-365,TODAY()),1,0),""select Col2 limit 10""))"),157.961)</f>
        <v>157.961</v>
      </c>
      <c r="J1701" s="17">
        <f>IFERROR(__xludf.DUMMYFUNCTION("AVERAGE(QUERY(SORT(GOOGLEFINANCE(B1701,""price"",TODAY()-365,TODAY()),1,0),""select Col2 limit 30""))"),151.83666666666667)</f>
        <v>151.8366667</v>
      </c>
      <c r="K1701" s="18">
        <f>IFERROR(__xludf.DUMMYFUNCTION("AVERAGE(QUERY(SORT(GOOGLEFINANCE(B1701,""price"",TODAY()-365,TODAY()),1,0),""select Col2 limit 60""))"),150.3298333333333)</f>
        <v>150.3298333</v>
      </c>
      <c r="L1701" s="17">
        <f>IFERROR(__xludf.DUMMYFUNCTION("AVERAGE(QUERY(SORT(GOOGLEFINANCE(B1701,""price"",TODAY()-365,TODAY()),1,0),""select Col2 limit 90""))"),155.90222222222218)</f>
        <v>155.9022222</v>
      </c>
      <c r="M1701" s="17">
        <f>IFERROR(__xludf.DUMMYFUNCTION("AVERAGE(QUERY(SORT(GOOGLEFINANCE(B1701,""price"",TODAY()-365,TODAY()),1,0),""select Col2 limit 120""))"),162.50633333333326)</f>
        <v>162.5063333</v>
      </c>
      <c r="N1701" s="19">
        <f>IFERROR(__xludf.DUMMYFUNCTION("AVERAGE(QUERY(SORT(GOOGLEFINANCE(B1701,""price"",TODAY()-365,TODAY()),1,0),""select Col2 limit 200""))"),195.33005)</f>
        <v>195.33005</v>
      </c>
      <c r="O1701" s="20" t="str">
        <f t="shared" si="2"/>
        <v>Avoid</v>
      </c>
      <c r="P1701" s="21" t="str">
        <f t="shared" si="3"/>
        <v>30 DMA</v>
      </c>
      <c r="Q1701" s="21" t="str">
        <f t="shared" si="4"/>
        <v/>
      </c>
      <c r="R1701" s="22">
        <f>IFERROR(__xludf.DUMMYFUNCTION("GOOGLEFINANCE(B1701, ""pe"")
"),19.05)</f>
        <v>19.05</v>
      </c>
    </row>
    <row r="1702">
      <c r="A1702" s="9" t="s">
        <v>1710</v>
      </c>
      <c r="B1702" s="11" t="str">
        <f t="shared" si="1"/>
        <v>NSE:BAIDFIN</v>
      </c>
      <c r="C1702" s="12">
        <f>IFERROR(__xludf.DUMMYFUNCTION("GOOGLEFINANCE(B1702,""marketcap"")/10000000"),150.4455766)</f>
        <v>150.4455766</v>
      </c>
      <c r="D1702" s="13">
        <f>IFERROR(__xludf.DUMMYFUNCTION("GOOGLEFINANCE(B1702,""price"")"),12.48)</f>
        <v>12.48</v>
      </c>
      <c r="E1702" s="14">
        <f>IFERROR(__xludf.DUMMYFUNCTION("GOOGLEFINANCE(B1702,""Volume"")"),80615.0)</f>
        <v>80615</v>
      </c>
      <c r="F1702" s="14">
        <f t="array" ref="F1702">F1701</f>
        <v>14</v>
      </c>
      <c r="G1702" s="15" t="str">
        <f>IFERROR(__xludf.DUMMYFUNCTION("IF(E1702&gt;AVERAGE(INDEX(GOOGLEFINANCE(B1702,""volume"",WORKDAY(TODAY(),-$F$1),TODAY()),,2)),""Breakout"","""")"),"")</f>
        <v/>
      </c>
      <c r="H1702" s="16">
        <f>IFERROR(__xludf.DUMMYFUNCTION("GOOGLEFINANCE(B1702,""price"")"),12.48)</f>
        <v>12.48</v>
      </c>
      <c r="I1702" s="17">
        <f>IFERROR(__xludf.DUMMYFUNCTION("AVERAGE(QUERY(SORT(GOOGLEFINANCE(B1702,""price"",TODAY()-365,TODAY()),1,0),""select Col2 limit 10""))"),12.722)</f>
        <v>12.722</v>
      </c>
      <c r="J1702" s="17">
        <f>IFERROR(__xludf.DUMMYFUNCTION("AVERAGE(QUERY(SORT(GOOGLEFINANCE(B1702,""price"",TODAY()-365,TODAY()),1,0),""select Col2 limit 30""))"),12.015666666666668)</f>
        <v>12.01566667</v>
      </c>
      <c r="K1702" s="18">
        <f>IFERROR(__xludf.DUMMYFUNCTION("AVERAGE(QUERY(SORT(GOOGLEFINANCE(B1702,""price"",TODAY()-365,TODAY()),1,0),""select Col2 limit 60""))"),11.459333333333332)</f>
        <v>11.45933333</v>
      </c>
      <c r="L1702" s="17">
        <f>IFERROR(__xludf.DUMMYFUNCTION("AVERAGE(QUERY(SORT(GOOGLEFINANCE(B1702,""price"",TODAY()-365,TODAY()),1,0),""select Col2 limit 90""))"),11.083000000000002)</f>
        <v>11.083</v>
      </c>
      <c r="M1702" s="17">
        <f>IFERROR(__xludf.DUMMYFUNCTION("AVERAGE(QUERY(SORT(GOOGLEFINANCE(B1702,""price"",TODAY()-365,TODAY()),1,0),""select Col2 limit 120""))"),11.065083333333332)</f>
        <v>11.06508333</v>
      </c>
      <c r="N1702" s="19">
        <f>IFERROR(__xludf.DUMMYFUNCTION("AVERAGE(QUERY(SORT(GOOGLEFINANCE(B1702,""price"",TODAY()-365,TODAY()),1,0),""select Col2 limit 200""))"),12.632150000000003)</f>
        <v>12.63215</v>
      </c>
      <c r="O1702" s="20" t="str">
        <f t="shared" si="2"/>
        <v>Avoid</v>
      </c>
      <c r="P1702" s="21" t="str">
        <f t="shared" si="3"/>
        <v/>
      </c>
      <c r="Q1702" s="21" t="str">
        <f t="shared" si="4"/>
        <v/>
      </c>
      <c r="R1702" s="22">
        <f>IFERROR(__xludf.DUMMYFUNCTION("GOOGLEFINANCE(B1702, ""pe"")
"),11.14)</f>
        <v>11.14</v>
      </c>
    </row>
    <row r="1703">
      <c r="A1703" s="9" t="s">
        <v>1711</v>
      </c>
      <c r="B1703" s="11" t="str">
        <f t="shared" si="1"/>
        <v>NSE:MHLXMIRU</v>
      </c>
      <c r="C1703" s="12">
        <f>IFERROR(__xludf.DUMMYFUNCTION("GOOGLEFINANCE(B1703,""marketcap"")/10000000"),231.4296902)</f>
        <v>231.4296902</v>
      </c>
      <c r="D1703" s="13">
        <f>IFERROR(__xludf.DUMMYFUNCTION("GOOGLEFINANCE(B1703,""price"")"),217.01)</f>
        <v>217.01</v>
      </c>
      <c r="E1703" s="14">
        <f>IFERROR(__xludf.DUMMYFUNCTION("GOOGLEFINANCE(B1703,""Volume"")"),1385.0)</f>
        <v>1385</v>
      </c>
      <c r="F1703" s="14">
        <f t="array" ref="F1703">F1702</f>
        <v>14</v>
      </c>
      <c r="G1703" s="15" t="str">
        <f>IFERROR(__xludf.DUMMYFUNCTION("IF(E1703&gt;AVERAGE(INDEX(GOOGLEFINANCE(B1703,""volume"",WORKDAY(TODAY(),-$F$1),TODAY()),,2)),""Breakout"","""")"),"")</f>
        <v/>
      </c>
      <c r="H1703" s="16">
        <f>IFERROR(__xludf.DUMMYFUNCTION("GOOGLEFINANCE(B1703,""price"")"),217.01)</f>
        <v>217.01</v>
      </c>
      <c r="I1703" s="17">
        <f>IFERROR(__xludf.DUMMYFUNCTION("AVERAGE(QUERY(SORT(GOOGLEFINANCE(B1703,""price"",TODAY()-365,TODAY()),1,0),""select Col2 limit 10""))"),224.27999999999997)</f>
        <v>224.28</v>
      </c>
      <c r="J1703" s="17">
        <f>IFERROR(__xludf.DUMMYFUNCTION("AVERAGE(QUERY(SORT(GOOGLEFINANCE(B1703,""price"",TODAY()-365,TODAY()),1,0),""select Col2 limit 30""))"),222.07499999999993)</f>
        <v>222.075</v>
      </c>
      <c r="K1703" s="18">
        <f>IFERROR(__xludf.DUMMYFUNCTION("AVERAGE(QUERY(SORT(GOOGLEFINANCE(B1703,""price"",TODAY()-365,TODAY()),1,0),""select Col2 limit 60""))"),222.94349999999991)</f>
        <v>222.9435</v>
      </c>
      <c r="L1703" s="17">
        <f>IFERROR(__xludf.DUMMYFUNCTION("AVERAGE(QUERY(SORT(GOOGLEFINANCE(B1703,""price"",TODAY()-365,TODAY()),1,0),""select Col2 limit 90""))"),223.62344444444446)</f>
        <v>223.6234444</v>
      </c>
      <c r="M1703" s="17">
        <f>IFERROR(__xludf.DUMMYFUNCTION("AVERAGE(QUERY(SORT(GOOGLEFINANCE(B1703,""price"",TODAY()-365,TODAY()),1,0),""select Col2 limit 120""))"),224.52975)</f>
        <v>224.52975</v>
      </c>
      <c r="N1703" s="19">
        <f>IFERROR(__xludf.DUMMYFUNCTION("AVERAGE(QUERY(SORT(GOOGLEFINANCE(B1703,""price"",TODAY()-365,TODAY()),1,0),""select Col2 limit 200""))"),212.65680000000003)</f>
        <v>212.6568</v>
      </c>
      <c r="O1703" s="20" t="str">
        <f t="shared" si="2"/>
        <v>Sell Below 200 DMA</v>
      </c>
      <c r="P1703" s="21" t="str">
        <f t="shared" si="3"/>
        <v/>
      </c>
      <c r="Q1703" s="21" t="str">
        <f t="shared" si="4"/>
        <v/>
      </c>
      <c r="R1703" s="22">
        <f>IFERROR(__xludf.DUMMYFUNCTION("GOOGLEFINANCE(B1703, ""pe"")
"),13.73)</f>
        <v>13.73</v>
      </c>
    </row>
    <row r="1704">
      <c r="A1704" s="9" t="s">
        <v>1712</v>
      </c>
      <c r="B1704" s="11" t="str">
        <f t="shared" si="1"/>
        <v>NSE:AIROLAM</v>
      </c>
      <c r="C1704" s="12">
        <f>IFERROR(__xludf.DUMMYFUNCTION("GOOGLEFINANCE(B1704,""marketcap"")/10000000"),168.0973025)</f>
        <v>168.0973025</v>
      </c>
      <c r="D1704" s="13">
        <f>IFERROR(__xludf.DUMMYFUNCTION("GOOGLEFINANCE(B1704,""price"")"),112.05)</f>
        <v>112.05</v>
      </c>
      <c r="E1704" s="14">
        <f>IFERROR(__xludf.DUMMYFUNCTION("GOOGLEFINANCE(B1704,""Volume"")"),4219.0)</f>
        <v>4219</v>
      </c>
      <c r="F1704" s="14">
        <f t="array" ref="F1704">F1703</f>
        <v>14</v>
      </c>
      <c r="G1704" s="15" t="str">
        <f>IFERROR(__xludf.DUMMYFUNCTION("IF(E1704&gt;AVERAGE(INDEX(GOOGLEFINANCE(B1704,""volume"",WORKDAY(TODAY(),-$F$1),TODAY()),,2)),""Breakout"","""")"),"")</f>
        <v/>
      </c>
      <c r="H1704" s="16">
        <f>IFERROR(__xludf.DUMMYFUNCTION("GOOGLEFINANCE(B1704,""price"")"),112.05)</f>
        <v>112.05</v>
      </c>
      <c r="I1704" s="17">
        <f>IFERROR(__xludf.DUMMYFUNCTION("AVERAGE(QUERY(SORT(GOOGLEFINANCE(B1704,""price"",TODAY()-365,TODAY()),1,0),""select Col2 limit 10""))"),115.33700000000002)</f>
        <v>115.337</v>
      </c>
      <c r="J1704" s="17">
        <f>IFERROR(__xludf.DUMMYFUNCTION("AVERAGE(QUERY(SORT(GOOGLEFINANCE(B1704,""price"",TODAY()-365,TODAY()),1,0),""select Col2 limit 30""))"),113.75166666666668)</f>
        <v>113.7516667</v>
      </c>
      <c r="K1704" s="18">
        <f>IFERROR(__xludf.DUMMYFUNCTION("AVERAGE(QUERY(SORT(GOOGLEFINANCE(B1704,""price"",TODAY()-365,TODAY()),1,0),""select Col2 limit 60""))"),104.88833333333332)</f>
        <v>104.8883333</v>
      </c>
      <c r="L1704" s="17">
        <f>IFERROR(__xludf.DUMMYFUNCTION("AVERAGE(QUERY(SORT(GOOGLEFINANCE(B1704,""price"",TODAY()-365,TODAY()),1,0),""select Col2 limit 90""))"),101.08377777777777)</f>
        <v>101.0837778</v>
      </c>
      <c r="M1704" s="17">
        <f>IFERROR(__xludf.DUMMYFUNCTION("AVERAGE(QUERY(SORT(GOOGLEFINANCE(B1704,""price"",TODAY()-365,TODAY()),1,0),""select Col2 limit 120""))"),102.98775)</f>
        <v>102.98775</v>
      </c>
      <c r="N1704" s="19">
        <f>IFERROR(__xludf.DUMMYFUNCTION("AVERAGE(QUERY(SORT(GOOGLEFINANCE(B1704,""price"",TODAY()-365,TODAY()),1,0),""select Col2 limit 200""))"),112.10579999999995)</f>
        <v>112.1058</v>
      </c>
      <c r="O1704" s="20" t="str">
        <f t="shared" si="2"/>
        <v>Avoid</v>
      </c>
      <c r="P1704" s="21" t="str">
        <f t="shared" si="3"/>
        <v>200 DMA</v>
      </c>
      <c r="Q1704" s="21" t="str">
        <f t="shared" si="4"/>
        <v/>
      </c>
      <c r="R1704" s="22">
        <f>IFERROR(__xludf.DUMMYFUNCTION("GOOGLEFINANCE(B1704, ""pe"")
"),62.5)</f>
        <v>62.5</v>
      </c>
    </row>
    <row r="1705">
      <c r="A1705" s="9" t="s">
        <v>1713</v>
      </c>
      <c r="B1705" s="11" t="str">
        <f t="shared" si="1"/>
        <v>NSE:ATAM</v>
      </c>
      <c r="C1705" s="12">
        <f>IFERROR(__xludf.DUMMYFUNCTION("GOOGLEFINANCE(B1705,""marketcap"")/10000000"),115.6844929)</f>
        <v>115.6844929</v>
      </c>
      <c r="D1705" s="13">
        <f>IFERROR(__xludf.DUMMYFUNCTION("GOOGLEFINANCE(B1705,""price"")"),100.92)</f>
        <v>100.92</v>
      </c>
      <c r="E1705" s="14">
        <f>IFERROR(__xludf.DUMMYFUNCTION("GOOGLEFINANCE(B1705,""Volume"")"),5940.0)</f>
        <v>5940</v>
      </c>
      <c r="F1705" s="14">
        <f t="array" ref="F1705">F1704</f>
        <v>14</v>
      </c>
      <c r="G1705" s="15" t="str">
        <f>IFERROR(__xludf.DUMMYFUNCTION("IF(E1705&gt;AVERAGE(INDEX(GOOGLEFINANCE(B1705,""volume"",WORKDAY(TODAY(),-$F$1),TODAY()),,2)),""Breakout"","""")"),"")</f>
        <v/>
      </c>
      <c r="H1705" s="16">
        <f>IFERROR(__xludf.DUMMYFUNCTION("GOOGLEFINANCE(B1705,""price"")"),100.92)</f>
        <v>100.92</v>
      </c>
      <c r="I1705" s="17">
        <f>IFERROR(__xludf.DUMMYFUNCTION("AVERAGE(QUERY(SORT(GOOGLEFINANCE(B1705,""price"",TODAY()-365,TODAY()),1,0),""select Col2 limit 10""))"),104.852)</f>
        <v>104.852</v>
      </c>
      <c r="J1705" s="17">
        <f>IFERROR(__xludf.DUMMYFUNCTION("AVERAGE(QUERY(SORT(GOOGLEFINANCE(B1705,""price"",TODAY()-365,TODAY()),1,0),""select Col2 limit 30""))"),107.05366666666666)</f>
        <v>107.0536667</v>
      </c>
      <c r="K1705" s="18">
        <f>IFERROR(__xludf.DUMMYFUNCTION("AVERAGE(QUERY(SORT(GOOGLEFINANCE(B1705,""price"",TODAY()-365,TODAY()),1,0),""select Col2 limit 60""))"),105.02299999999997)</f>
        <v>105.023</v>
      </c>
      <c r="L1705" s="17">
        <f>IFERROR(__xludf.DUMMYFUNCTION("AVERAGE(QUERY(SORT(GOOGLEFINANCE(B1705,""price"",TODAY()-365,TODAY()),1,0),""select Col2 limit 90""))"),100.19788888888887)</f>
        <v>100.1978889</v>
      </c>
      <c r="M1705" s="17">
        <f>IFERROR(__xludf.DUMMYFUNCTION("AVERAGE(QUERY(SORT(GOOGLEFINANCE(B1705,""price"",TODAY()-365,TODAY()),1,0),""select Col2 limit 120""))"),101.04049999999997)</f>
        <v>101.0405</v>
      </c>
      <c r="N1705" s="19">
        <f>IFERROR(__xludf.DUMMYFUNCTION("AVERAGE(QUERY(SORT(GOOGLEFINANCE(B1705,""price"",TODAY()-365,TODAY()),1,0),""select Col2 limit 200""))"),115.84124999999995)</f>
        <v>115.84125</v>
      </c>
      <c r="O1705" s="20" t="str">
        <f t="shared" si="2"/>
        <v>Avoid</v>
      </c>
      <c r="P1705" s="21" t="str">
        <f t="shared" si="3"/>
        <v>120 DMA</v>
      </c>
      <c r="Q1705" s="21" t="str">
        <f t="shared" si="4"/>
        <v/>
      </c>
      <c r="R1705" s="22">
        <f>IFERROR(__xludf.DUMMYFUNCTION("GOOGLEFINANCE(B1705, ""pe"")
"),18.35)</f>
        <v>18.35</v>
      </c>
    </row>
    <row r="1706">
      <c r="A1706" s="9" t="s">
        <v>1714</v>
      </c>
      <c r="B1706" s="11" t="str">
        <f t="shared" si="1"/>
        <v>NSE:KBCGLOBAL</v>
      </c>
      <c r="C1706" s="12" t="str">
        <f>IFERROR(__xludf.DUMMYFUNCTION("GOOGLEFINANCE(B1706,""marketcap"")/10000000"),"#N/A")</f>
        <v>#N/A</v>
      </c>
      <c r="D1706" s="13" t="str">
        <f>IFERROR(__xludf.DUMMYFUNCTION("GOOGLEFINANCE(B1706,""price"")"),"#N/A")</f>
        <v>#N/A</v>
      </c>
      <c r="E1706" s="14" t="str">
        <f>IFERROR(__xludf.DUMMYFUNCTION("GOOGLEFINANCE(B1706,""Volume"")"),"#N/A")</f>
        <v>#N/A</v>
      </c>
      <c r="F1706" s="14">
        <f t="array" ref="F1706">F1705</f>
        <v>14</v>
      </c>
      <c r="G1706" s="15" t="str">
        <f>IFERROR(__xludf.DUMMYFUNCTION("IF(E1706&gt;AVERAGE(INDEX(GOOGLEFINANCE(B1706,""volume"",WORKDAY(TODAY(),-$F$1),TODAY()),,2)),""Breakout"","""")"),"#N/A")</f>
        <v>#N/A</v>
      </c>
      <c r="H1706" s="16" t="str">
        <f>IFERROR(__xludf.DUMMYFUNCTION("GOOGLEFINANCE(B1706,""price"")"),"#N/A")</f>
        <v>#N/A</v>
      </c>
      <c r="I1706" s="17" t="str">
        <f>IFERROR(__xludf.DUMMYFUNCTION("AVERAGE(QUERY(SORT(GOOGLEFINANCE(B1706,""price"",TODAY()-365,TODAY()),1,0),""select Col2 limit 10""))"),"#N/A")</f>
        <v>#N/A</v>
      </c>
      <c r="J1706" s="17" t="str">
        <f>IFERROR(__xludf.DUMMYFUNCTION("AVERAGE(QUERY(SORT(GOOGLEFINANCE(B1706,""price"",TODAY()-365,TODAY()),1,0),""select Col2 limit 30""))"),"#N/A")</f>
        <v>#N/A</v>
      </c>
      <c r="K1706" s="18" t="str">
        <f>IFERROR(__xludf.DUMMYFUNCTION("AVERAGE(QUERY(SORT(GOOGLEFINANCE(B1706,""price"",TODAY()-365,TODAY()),1,0),""select Col2 limit 60""))"),"#N/A")</f>
        <v>#N/A</v>
      </c>
      <c r="L1706" s="17" t="str">
        <f>IFERROR(__xludf.DUMMYFUNCTION("AVERAGE(QUERY(SORT(GOOGLEFINANCE(B1706,""price"",TODAY()-365,TODAY()),1,0),""select Col2 limit 90""))"),"#N/A")</f>
        <v>#N/A</v>
      </c>
      <c r="M1706" s="17" t="str">
        <f>IFERROR(__xludf.DUMMYFUNCTION("AVERAGE(QUERY(SORT(GOOGLEFINANCE(B1706,""price"",TODAY()-365,TODAY()),1,0),""select Col2 limit 120""))"),"#N/A")</f>
        <v>#N/A</v>
      </c>
      <c r="N1706" s="19" t="str">
        <f>IFERROR(__xludf.DUMMYFUNCTION("AVERAGE(QUERY(SORT(GOOGLEFINANCE(B1706,""price"",TODAY()-365,TODAY()),1,0),""select Col2 limit 200""))"),"#N/A")</f>
        <v>#N/A</v>
      </c>
      <c r="O1706" s="20" t="str">
        <f t="shared" si="2"/>
        <v>#N/A</v>
      </c>
      <c r="P1706" s="21" t="str">
        <f t="shared" si="3"/>
        <v>#N/A</v>
      </c>
      <c r="Q1706" s="21" t="str">
        <f t="shared" si="4"/>
        <v>#N/A</v>
      </c>
      <c r="R1706" s="22" t="str">
        <f>IFERROR(__xludf.DUMMYFUNCTION("GOOGLEFINANCE(B1706, ""pe"")
"),"#N/A")</f>
        <v>#N/A</v>
      </c>
    </row>
    <row r="1707">
      <c r="A1707" s="9" t="s">
        <v>1715</v>
      </c>
      <c r="B1707" s="11" t="str">
        <f t="shared" si="1"/>
        <v>NSE:AKI</v>
      </c>
      <c r="C1707" s="12">
        <f>IFERROR(__xludf.DUMMYFUNCTION("GOOGLEFINANCE(B1707,""marketcap"")/10000000"),128.90475)</f>
        <v>128.90475</v>
      </c>
      <c r="D1707" s="13">
        <f>IFERROR(__xludf.DUMMYFUNCTION("GOOGLEFINANCE(B1707,""price"")"),12.4)</f>
        <v>12.4</v>
      </c>
      <c r="E1707" s="14">
        <f>IFERROR(__xludf.DUMMYFUNCTION("GOOGLEFINANCE(B1707,""Volume"")"),277653.0)</f>
        <v>277653</v>
      </c>
      <c r="F1707" s="14">
        <f t="array" ref="F1707">F1706</f>
        <v>14</v>
      </c>
      <c r="G1707" s="15" t="str">
        <f>IFERROR(__xludf.DUMMYFUNCTION("IF(E1707&gt;AVERAGE(INDEX(GOOGLEFINANCE(B1707,""volume"",WORKDAY(TODAY(),-$F$1),TODAY()),,2)),""Breakout"","""")"),"Breakout")</f>
        <v>Breakout</v>
      </c>
      <c r="H1707" s="16">
        <f>IFERROR(__xludf.DUMMYFUNCTION("GOOGLEFINANCE(B1707,""price"")"),12.4)</f>
        <v>12.4</v>
      </c>
      <c r="I1707" s="17">
        <f>IFERROR(__xludf.DUMMYFUNCTION("AVERAGE(QUERY(SORT(GOOGLEFINANCE(B1707,""price"",TODAY()-365,TODAY()),1,0),""select Col2 limit 10""))"),12.522)</f>
        <v>12.522</v>
      </c>
      <c r="J1707" s="17">
        <f>IFERROR(__xludf.DUMMYFUNCTION("AVERAGE(QUERY(SORT(GOOGLEFINANCE(B1707,""price"",TODAY()-365,TODAY()),1,0),""select Col2 limit 30""))"),10.483666666666666)</f>
        <v>10.48366667</v>
      </c>
      <c r="K1707" s="18">
        <f>IFERROR(__xludf.DUMMYFUNCTION("AVERAGE(QUERY(SORT(GOOGLEFINANCE(B1707,""price"",TODAY()-365,TODAY()),1,0),""select Col2 limit 60""))"),9.192333333333332)</f>
        <v>9.192333333</v>
      </c>
      <c r="L1707" s="17">
        <f>IFERROR(__xludf.DUMMYFUNCTION("AVERAGE(QUERY(SORT(GOOGLEFINANCE(B1707,""price"",TODAY()-365,TODAY()),1,0),""select Col2 limit 90""))"),8.742222222222225)</f>
        <v>8.742222222</v>
      </c>
      <c r="M1707" s="17">
        <f>IFERROR(__xludf.DUMMYFUNCTION("AVERAGE(QUERY(SORT(GOOGLEFINANCE(B1707,""price"",TODAY()-365,TODAY()),1,0),""select Col2 limit 120""))"),9.076666666666672)</f>
        <v>9.076666667</v>
      </c>
      <c r="N1707" s="19">
        <f>IFERROR(__xludf.DUMMYFUNCTION("AVERAGE(QUERY(SORT(GOOGLEFINANCE(B1707,""price"",TODAY()-365,TODAY()),1,0),""select Col2 limit 200""))"),11.825700000000007)</f>
        <v>11.8257</v>
      </c>
      <c r="O1707" s="20" t="str">
        <f t="shared" si="2"/>
        <v>Avoid</v>
      </c>
      <c r="P1707" s="21" t="str">
        <f t="shared" si="3"/>
        <v>10 DMA</v>
      </c>
      <c r="Q1707" s="21" t="str">
        <f t="shared" si="4"/>
        <v/>
      </c>
      <c r="R1707" s="22">
        <f>IFERROR(__xludf.DUMMYFUNCTION("GOOGLEFINANCE(B1707, ""pe"")
"),65.26)</f>
        <v>65.26</v>
      </c>
    </row>
    <row r="1708">
      <c r="A1708" s="9" t="s">
        <v>1716</v>
      </c>
      <c r="B1708" s="11" t="str">
        <f t="shared" si="1"/>
        <v>NSE:BAFNAPH</v>
      </c>
      <c r="C1708" s="12">
        <f>IFERROR(__xludf.DUMMYFUNCTION("GOOGLEFINANCE(B1708,""marketcap"")/10000000"),212.9779361)</f>
        <v>212.9779361</v>
      </c>
      <c r="D1708" s="13">
        <f>IFERROR(__xludf.DUMMYFUNCTION("GOOGLEFINANCE(B1708,""price"")"),89.29)</f>
        <v>89.29</v>
      </c>
      <c r="E1708" s="14">
        <f>IFERROR(__xludf.DUMMYFUNCTION("GOOGLEFINANCE(B1708,""Volume"")"),4158.0)</f>
        <v>4158</v>
      </c>
      <c r="F1708" s="14">
        <f t="array" ref="F1708">F1707</f>
        <v>14</v>
      </c>
      <c r="G1708" s="15" t="str">
        <f>IFERROR(__xludf.DUMMYFUNCTION("IF(E1708&gt;AVERAGE(INDEX(GOOGLEFINANCE(B1708,""volume"",WORKDAY(TODAY(),-$F$1),TODAY()),,2)),""Breakout"","""")"),"")</f>
        <v/>
      </c>
      <c r="H1708" s="16">
        <f>IFERROR(__xludf.DUMMYFUNCTION("GOOGLEFINANCE(B1708,""price"")"),89.29)</f>
        <v>89.29</v>
      </c>
      <c r="I1708" s="17">
        <f>IFERROR(__xludf.DUMMYFUNCTION("AVERAGE(QUERY(SORT(GOOGLEFINANCE(B1708,""price"",TODAY()-365,TODAY()),1,0),""select Col2 limit 10""))"),88.824)</f>
        <v>88.824</v>
      </c>
      <c r="J1708" s="17">
        <f>IFERROR(__xludf.DUMMYFUNCTION("AVERAGE(QUERY(SORT(GOOGLEFINANCE(B1708,""price"",TODAY()-365,TODAY()),1,0),""select Col2 limit 30""))"),84.05366666666667)</f>
        <v>84.05366667</v>
      </c>
      <c r="K1708" s="18">
        <f>IFERROR(__xludf.DUMMYFUNCTION("AVERAGE(QUERY(SORT(GOOGLEFINANCE(B1708,""price"",TODAY()-365,TODAY()),1,0),""select Col2 limit 60""))"),79.29416666666665)</f>
        <v>79.29416667</v>
      </c>
      <c r="L1708" s="17">
        <f>IFERROR(__xludf.DUMMYFUNCTION("AVERAGE(QUERY(SORT(GOOGLEFINANCE(B1708,""price"",TODAY()-365,TODAY()),1,0),""select Col2 limit 90""))"),78.49833333333333)</f>
        <v>78.49833333</v>
      </c>
      <c r="M1708" s="17">
        <f>IFERROR(__xludf.DUMMYFUNCTION("AVERAGE(QUERY(SORT(GOOGLEFINANCE(B1708,""price"",TODAY()-365,TODAY()),1,0),""select Col2 limit 120""))"),78.14466666666667)</f>
        <v>78.14466667</v>
      </c>
      <c r="N1708" s="19">
        <f>IFERROR(__xludf.DUMMYFUNCTION("AVERAGE(QUERY(SORT(GOOGLEFINANCE(B1708,""price"",TODAY()-365,TODAY()),1,0),""select Col2 limit 200""))"),79.25134999999996)</f>
        <v>79.25135</v>
      </c>
      <c r="O1708" s="20" t="str">
        <f t="shared" si="2"/>
        <v>Avoid</v>
      </c>
      <c r="P1708" s="21" t="str">
        <f t="shared" si="3"/>
        <v/>
      </c>
      <c r="Q1708" s="21" t="str">
        <f t="shared" si="4"/>
        <v/>
      </c>
      <c r="R1708" s="22">
        <f>IFERROR(__xludf.DUMMYFUNCTION("GOOGLEFINANCE(B1708, ""pe"")
"),50.73)</f>
        <v>50.73</v>
      </c>
    </row>
    <row r="1709">
      <c r="A1709" s="9" t="s">
        <v>1717</v>
      </c>
      <c r="B1709" s="11" t="str">
        <f t="shared" si="1"/>
        <v>NSE:IVP</v>
      </c>
      <c r="C1709" s="12">
        <f>IFERROR(__xludf.DUMMYFUNCTION("GOOGLEFINANCE(B1709,""marketcap"")/10000000"),198.6256174)</f>
        <v>198.6256174</v>
      </c>
      <c r="D1709" s="13">
        <f>IFERROR(__xludf.DUMMYFUNCTION("GOOGLEFINANCE(B1709,""price"")"),195.52)</f>
        <v>195.52</v>
      </c>
      <c r="E1709" s="14">
        <f>IFERROR(__xludf.DUMMYFUNCTION("GOOGLEFINANCE(B1709,""Volume"")"),10280.0)</f>
        <v>10280</v>
      </c>
      <c r="F1709" s="14">
        <f t="array" ref="F1709">F1708</f>
        <v>14</v>
      </c>
      <c r="G1709" s="15" t="str">
        <f>IFERROR(__xludf.DUMMYFUNCTION("IF(E1709&gt;AVERAGE(INDEX(GOOGLEFINANCE(B1709,""volume"",WORKDAY(TODAY(),-$F$1),TODAY()),,2)),""Breakout"","""")"),"")</f>
        <v/>
      </c>
      <c r="H1709" s="16">
        <f>IFERROR(__xludf.DUMMYFUNCTION("GOOGLEFINANCE(B1709,""price"")"),195.52)</f>
        <v>195.52</v>
      </c>
      <c r="I1709" s="17">
        <f>IFERROR(__xludf.DUMMYFUNCTION("AVERAGE(QUERY(SORT(GOOGLEFINANCE(B1709,""price"",TODAY()-365,TODAY()),1,0),""select Col2 limit 10""))"),188.58999999999997)</f>
        <v>188.59</v>
      </c>
      <c r="J1709" s="17">
        <f>IFERROR(__xludf.DUMMYFUNCTION("AVERAGE(QUERY(SORT(GOOGLEFINANCE(B1709,""price"",TODAY()-365,TODAY()),1,0),""select Col2 limit 30""))"),187.429)</f>
        <v>187.429</v>
      </c>
      <c r="K1709" s="18">
        <f>IFERROR(__xludf.DUMMYFUNCTION("AVERAGE(QUERY(SORT(GOOGLEFINANCE(B1709,""price"",TODAY()-365,TODAY()),1,0),""select Col2 limit 60""))"),183.62549999999996)</f>
        <v>183.6255</v>
      </c>
      <c r="L1709" s="17">
        <f>IFERROR(__xludf.DUMMYFUNCTION("AVERAGE(QUERY(SORT(GOOGLEFINANCE(B1709,""price"",TODAY()-365,TODAY()),1,0),""select Col2 limit 90""))"),175.02166666666662)</f>
        <v>175.0216667</v>
      </c>
      <c r="M1709" s="17">
        <f>IFERROR(__xludf.DUMMYFUNCTION("AVERAGE(QUERY(SORT(GOOGLEFINANCE(B1709,""price"",TODAY()-365,TODAY()),1,0),""select Col2 limit 120""))"),172.74958333333333)</f>
        <v>172.7495833</v>
      </c>
      <c r="N1709" s="19">
        <f>IFERROR(__xludf.DUMMYFUNCTION("AVERAGE(QUERY(SORT(GOOGLEFINANCE(B1709,""price"",TODAY()-365,TODAY()),1,0),""select Col2 limit 200""))"),190.75425000000007)</f>
        <v>190.75425</v>
      </c>
      <c r="O1709" s="20" t="str">
        <f t="shared" si="2"/>
        <v>Avoid</v>
      </c>
      <c r="P1709" s="21" t="str">
        <f t="shared" si="3"/>
        <v/>
      </c>
      <c r="Q1709" s="21" t="str">
        <f t="shared" si="4"/>
        <v/>
      </c>
      <c r="R1709" s="22">
        <f>IFERROR(__xludf.DUMMYFUNCTION("GOOGLEFINANCE(B1709, ""pe"")
"),17.59)</f>
        <v>17.59</v>
      </c>
    </row>
    <row r="1710">
      <c r="A1710" s="9" t="s">
        <v>1718</v>
      </c>
      <c r="B1710" s="11" t="str">
        <f t="shared" si="1"/>
        <v>NSE:ARVEE</v>
      </c>
      <c r="C1710" s="12">
        <f>IFERROR(__xludf.DUMMYFUNCTION("GOOGLEFINANCE(B1710,""marketcap"")/10000000"),180.1329273)</f>
        <v>180.1329273</v>
      </c>
      <c r="D1710" s="13">
        <f>IFERROR(__xludf.DUMMYFUNCTION("GOOGLEFINANCE(B1710,""price"")"),163.46)</f>
        <v>163.46</v>
      </c>
      <c r="E1710" s="14">
        <f>IFERROR(__xludf.DUMMYFUNCTION("GOOGLEFINANCE(B1710,""Volume"")"),1218.0)</f>
        <v>1218</v>
      </c>
      <c r="F1710" s="14">
        <f t="array" ref="F1710">F1709</f>
        <v>14</v>
      </c>
      <c r="G1710" s="15" t="str">
        <f>IFERROR(__xludf.DUMMYFUNCTION("IF(E1710&gt;AVERAGE(INDEX(GOOGLEFINANCE(B1710,""volume"",WORKDAY(TODAY(),-$F$1),TODAY()),,2)),""Breakout"","""")"),"Breakout")</f>
        <v>Breakout</v>
      </c>
      <c r="H1710" s="16">
        <f>IFERROR(__xludf.DUMMYFUNCTION("GOOGLEFINANCE(B1710,""price"")"),163.46)</f>
        <v>163.46</v>
      </c>
      <c r="I1710" s="17">
        <f>IFERROR(__xludf.DUMMYFUNCTION("AVERAGE(QUERY(SORT(GOOGLEFINANCE(B1710,""price"",TODAY()-365,TODAY()),1,0),""select Col2 limit 10""))"),178.838)</f>
        <v>178.838</v>
      </c>
      <c r="J1710" s="17">
        <f>IFERROR(__xludf.DUMMYFUNCTION("AVERAGE(QUERY(SORT(GOOGLEFINANCE(B1710,""price"",TODAY()-365,TODAY()),1,0),""select Col2 limit 30""))"),178.79799999999997)</f>
        <v>178.798</v>
      </c>
      <c r="K1710" s="18">
        <f>IFERROR(__xludf.DUMMYFUNCTION("AVERAGE(QUERY(SORT(GOOGLEFINANCE(B1710,""price"",TODAY()-365,TODAY()),1,0),""select Col2 limit 60""))"),171.77383333333336)</f>
        <v>171.7738333</v>
      </c>
      <c r="L1710" s="17">
        <f>IFERROR(__xludf.DUMMYFUNCTION("AVERAGE(QUERY(SORT(GOOGLEFINANCE(B1710,""price"",TODAY()-365,TODAY()),1,0),""select Col2 limit 90""))"),163.0800000000001)</f>
        <v>163.08</v>
      </c>
      <c r="M1710" s="17">
        <f>IFERROR(__xludf.DUMMYFUNCTION("AVERAGE(QUERY(SORT(GOOGLEFINANCE(B1710,""price"",TODAY()-365,TODAY()),1,0),""select Col2 limit 120""))"),158.26075000000006)</f>
        <v>158.26075</v>
      </c>
      <c r="N1710" s="19">
        <f>IFERROR(__xludf.DUMMYFUNCTION("AVERAGE(QUERY(SORT(GOOGLEFINANCE(B1710,""price"",TODAY()-365,TODAY()),1,0),""select Col2 limit 200""))"),164.02975000000004)</f>
        <v>164.02975</v>
      </c>
      <c r="O1710" s="20" t="str">
        <f t="shared" si="2"/>
        <v>Avoid</v>
      </c>
      <c r="P1710" s="21" t="str">
        <f t="shared" si="3"/>
        <v>200 DMA</v>
      </c>
      <c r="Q1710" s="21" t="str">
        <f t="shared" si="4"/>
        <v/>
      </c>
      <c r="R1710" s="22">
        <f>IFERROR(__xludf.DUMMYFUNCTION("GOOGLEFINANCE(B1710, ""pe"")
"),83.83)</f>
        <v>83.83</v>
      </c>
    </row>
    <row r="1711">
      <c r="A1711" s="9" t="s">
        <v>1719</v>
      </c>
      <c r="B1711" s="11" t="str">
        <f t="shared" si="1"/>
        <v>NSE:SAH</v>
      </c>
      <c r="C1711" s="12">
        <f>IFERROR(__xludf.DUMMYFUNCTION("GOOGLEFINANCE(B1711,""marketcap"")/10000000"),309.552)</f>
        <v>309.552</v>
      </c>
      <c r="D1711" s="13">
        <f>IFERROR(__xludf.DUMMYFUNCTION("GOOGLEFINANCE(B1711,""price"")"),120.0)</f>
        <v>120</v>
      </c>
      <c r="E1711" s="14">
        <f>IFERROR(__xludf.DUMMYFUNCTION("GOOGLEFINANCE(B1711,""Volume"")"),5188.0)</f>
        <v>5188</v>
      </c>
      <c r="F1711" s="14">
        <f t="array" ref="F1711">F1710</f>
        <v>14</v>
      </c>
      <c r="G1711" s="15" t="str">
        <f>IFERROR(__xludf.DUMMYFUNCTION("IF(E1711&gt;AVERAGE(INDEX(GOOGLEFINANCE(B1711,""volume"",WORKDAY(TODAY(),-$F$1),TODAY()),,2)),""Breakout"","""")"),"")</f>
        <v/>
      </c>
      <c r="H1711" s="16">
        <f>IFERROR(__xludf.DUMMYFUNCTION("GOOGLEFINANCE(B1711,""price"")"),120.0)</f>
        <v>120</v>
      </c>
      <c r="I1711" s="17">
        <f>IFERROR(__xludf.DUMMYFUNCTION("AVERAGE(QUERY(SORT(GOOGLEFINANCE(B1711,""price"",TODAY()-365,TODAY()),1,0),""select Col2 limit 10""))"),118.82399999999998)</f>
        <v>118.824</v>
      </c>
      <c r="J1711" s="17">
        <f>IFERROR(__xludf.DUMMYFUNCTION("AVERAGE(QUERY(SORT(GOOGLEFINANCE(B1711,""price"",TODAY()-365,TODAY()),1,0),""select Col2 limit 30""))"),117.50833333333334)</f>
        <v>117.5083333</v>
      </c>
      <c r="K1711" s="18">
        <f>IFERROR(__xludf.DUMMYFUNCTION("AVERAGE(QUERY(SORT(GOOGLEFINANCE(B1711,""price"",TODAY()-365,TODAY()),1,0),""select Col2 limit 60""))"),108.64033333333333)</f>
        <v>108.6403333</v>
      </c>
      <c r="L1711" s="17">
        <f>IFERROR(__xludf.DUMMYFUNCTION("AVERAGE(QUERY(SORT(GOOGLEFINANCE(B1711,""price"",TODAY()-365,TODAY()),1,0),""select Col2 limit 90""))"),100.27577777777778)</f>
        <v>100.2757778</v>
      </c>
      <c r="M1711" s="17">
        <f>IFERROR(__xludf.DUMMYFUNCTION("AVERAGE(QUERY(SORT(GOOGLEFINANCE(B1711,""price"",TODAY()-365,TODAY()),1,0),""select Col2 limit 120""))"),95.06675000000001)</f>
        <v>95.06675</v>
      </c>
      <c r="N1711" s="19">
        <f>IFERROR(__xludf.DUMMYFUNCTION("AVERAGE(QUERY(SORT(GOOGLEFINANCE(B1711,""price"",TODAY()-365,TODAY()),1,0),""select Col2 limit 200""))"),94.4113)</f>
        <v>94.4113</v>
      </c>
      <c r="O1711" s="20" t="str">
        <f t="shared" si="2"/>
        <v>Avoid</v>
      </c>
      <c r="P1711" s="21" t="str">
        <f t="shared" si="3"/>
        <v/>
      </c>
      <c r="Q1711" s="21" t="str">
        <f t="shared" si="4"/>
        <v/>
      </c>
      <c r="R1711" s="22">
        <f>IFERROR(__xludf.DUMMYFUNCTION("GOOGLEFINANCE(B1711, ""pe"")
"),1333.33)</f>
        <v>1333.33</v>
      </c>
    </row>
    <row r="1712">
      <c r="A1712" s="9" t="s">
        <v>1720</v>
      </c>
      <c r="B1712" s="11" t="str">
        <f t="shared" si="1"/>
        <v>NSE:DGCONTENT</v>
      </c>
      <c r="C1712" s="12">
        <f>IFERROR(__xludf.DUMMYFUNCTION("GOOGLEFINANCE(B1712,""marketcap"")/10000000"),244.7857119)</f>
        <v>244.7857119</v>
      </c>
      <c r="D1712" s="13">
        <f>IFERROR(__xludf.DUMMYFUNCTION("GOOGLEFINANCE(B1712,""price"")"),42.18)</f>
        <v>42.18</v>
      </c>
      <c r="E1712" s="14">
        <f>IFERROR(__xludf.DUMMYFUNCTION("GOOGLEFINANCE(B1712,""Volume"")"),5450.0)</f>
        <v>5450</v>
      </c>
      <c r="F1712" s="14">
        <f t="array" ref="F1712">F1711</f>
        <v>14</v>
      </c>
      <c r="G1712" s="15" t="str">
        <f>IFERROR(__xludf.DUMMYFUNCTION("IF(E1712&gt;AVERAGE(INDEX(GOOGLEFINANCE(B1712,""volume"",WORKDAY(TODAY(),-$F$1),TODAY()),,2)),""Breakout"","""")"),"")</f>
        <v/>
      </c>
      <c r="H1712" s="16">
        <f>IFERROR(__xludf.DUMMYFUNCTION("GOOGLEFINANCE(B1712,""price"")"),42.18)</f>
        <v>42.18</v>
      </c>
      <c r="I1712" s="17">
        <f>IFERROR(__xludf.DUMMYFUNCTION("AVERAGE(QUERY(SORT(GOOGLEFINANCE(B1712,""price"",TODAY()-365,TODAY()),1,0),""select Col2 limit 10""))"),45.006)</f>
        <v>45.006</v>
      </c>
      <c r="J1712" s="17">
        <f>IFERROR(__xludf.DUMMYFUNCTION("AVERAGE(QUERY(SORT(GOOGLEFINANCE(B1712,""price"",TODAY()-365,TODAY()),1,0),""select Col2 limit 30""))"),45.145)</f>
        <v>45.145</v>
      </c>
      <c r="K1712" s="18">
        <f>IFERROR(__xludf.DUMMYFUNCTION("AVERAGE(QUERY(SORT(GOOGLEFINANCE(B1712,""price"",TODAY()-365,TODAY()),1,0),""select Col2 limit 60""))"),44.05116666666665)</f>
        <v>44.05116667</v>
      </c>
      <c r="L1712" s="17">
        <f>IFERROR(__xludf.DUMMYFUNCTION("AVERAGE(QUERY(SORT(GOOGLEFINANCE(B1712,""price"",TODAY()-365,TODAY()),1,0),""select Col2 limit 90""))"),42.7872222222222)</f>
        <v>42.78722222</v>
      </c>
      <c r="M1712" s="17">
        <f>IFERROR(__xludf.DUMMYFUNCTION("AVERAGE(QUERY(SORT(GOOGLEFINANCE(B1712,""price"",TODAY()-365,TODAY()),1,0),""select Col2 limit 120""))"),44.4383333333333)</f>
        <v>44.43833333</v>
      </c>
      <c r="N1712" s="19">
        <f>IFERROR(__xludf.DUMMYFUNCTION("AVERAGE(QUERY(SORT(GOOGLEFINANCE(B1712,""price"",TODAY()-365,TODAY()),1,0),""select Col2 limit 200""))"),47.29225)</f>
        <v>47.29225</v>
      </c>
      <c r="O1712" s="20" t="str">
        <f t="shared" si="2"/>
        <v>Avoid</v>
      </c>
      <c r="P1712" s="21" t="str">
        <f t="shared" si="3"/>
        <v/>
      </c>
      <c r="Q1712" s="21" t="str">
        <f t="shared" si="4"/>
        <v/>
      </c>
      <c r="R1712" s="22">
        <f>IFERROR(__xludf.DUMMYFUNCTION("GOOGLEFINANCE(B1712, ""pe"")
"),10.09)</f>
        <v>10.09</v>
      </c>
    </row>
    <row r="1713">
      <c r="A1713" s="9" t="s">
        <v>1721</v>
      </c>
      <c r="B1713" s="11" t="str">
        <f t="shared" si="1"/>
        <v>NSE:DHRUV</v>
      </c>
      <c r="C1713" s="12">
        <f>IFERROR(__xludf.DUMMYFUNCTION("GOOGLEFINANCE(B1713,""marketcap"")/10000000"),132.4245213)</f>
        <v>132.4245213</v>
      </c>
      <c r="D1713" s="13">
        <f>IFERROR(__xludf.DUMMYFUNCTION("GOOGLEFINANCE(B1713,""price"")"),69.82)</f>
        <v>69.82</v>
      </c>
      <c r="E1713" s="14">
        <f>IFERROR(__xludf.DUMMYFUNCTION("GOOGLEFINANCE(B1713,""Volume"")"),144.0)</f>
        <v>144</v>
      </c>
      <c r="F1713" s="14">
        <f t="array" ref="F1713">F1712</f>
        <v>14</v>
      </c>
      <c r="G1713" s="15" t="str">
        <f>IFERROR(__xludf.DUMMYFUNCTION("IF(E1713&gt;AVERAGE(INDEX(GOOGLEFINANCE(B1713,""volume"",WORKDAY(TODAY(),-$F$1),TODAY()),,2)),""Breakout"","""")"),"")</f>
        <v/>
      </c>
      <c r="H1713" s="16">
        <f>IFERROR(__xludf.DUMMYFUNCTION("GOOGLEFINANCE(B1713,""price"")"),69.82)</f>
        <v>69.82</v>
      </c>
      <c r="I1713" s="17">
        <f>IFERROR(__xludf.DUMMYFUNCTION("AVERAGE(QUERY(SORT(GOOGLEFINANCE(B1713,""price"",TODAY()-365,TODAY()),1,0),""select Col2 limit 10""))"),68.77)</f>
        <v>68.77</v>
      </c>
      <c r="J1713" s="17">
        <f>IFERROR(__xludf.DUMMYFUNCTION("AVERAGE(QUERY(SORT(GOOGLEFINANCE(B1713,""price"",TODAY()-365,TODAY()),1,0),""select Col2 limit 30""))"),67.40433333333334)</f>
        <v>67.40433333</v>
      </c>
      <c r="K1713" s="18">
        <f>IFERROR(__xludf.DUMMYFUNCTION("AVERAGE(QUERY(SORT(GOOGLEFINANCE(B1713,""price"",TODAY()-365,TODAY()),1,0),""select Col2 limit 60""))"),67.8955)</f>
        <v>67.8955</v>
      </c>
      <c r="L1713" s="17">
        <f>IFERROR(__xludf.DUMMYFUNCTION("AVERAGE(QUERY(SORT(GOOGLEFINANCE(B1713,""price"",TODAY()-365,TODAY()),1,0),""select Col2 limit 90""))"),69.0501111111111)</f>
        <v>69.05011111</v>
      </c>
      <c r="M1713" s="17">
        <f>IFERROR(__xludf.DUMMYFUNCTION("AVERAGE(QUERY(SORT(GOOGLEFINANCE(B1713,""price"",TODAY()-365,TODAY()),1,0),""select Col2 limit 120""))"),77.20866666666666)</f>
        <v>77.20866667</v>
      </c>
      <c r="N1713" s="19">
        <f>IFERROR(__xludf.DUMMYFUNCTION("AVERAGE(QUERY(SORT(GOOGLEFINANCE(B1713,""price"",TODAY()-365,TODAY()),1,0),""select Col2 limit 200""))"),95.99070000000003)</f>
        <v>95.9907</v>
      </c>
      <c r="O1713" s="20" t="str">
        <f t="shared" si="2"/>
        <v>Avoid</v>
      </c>
      <c r="P1713" s="21" t="str">
        <f t="shared" si="3"/>
        <v/>
      </c>
      <c r="Q1713" s="21" t="str">
        <f t="shared" si="4"/>
        <v/>
      </c>
      <c r="R1713" s="22">
        <f>IFERROR(__xludf.DUMMYFUNCTION("GOOGLEFINANCE(B1713, ""pe"")
"),16.86)</f>
        <v>16.86</v>
      </c>
    </row>
    <row r="1714">
      <c r="A1714" s="9" t="s">
        <v>1722</v>
      </c>
      <c r="B1714" s="11" t="str">
        <f t="shared" si="1"/>
        <v>NSE:CAPTRUST</v>
      </c>
      <c r="C1714" s="12">
        <f>IFERROR(__xludf.DUMMYFUNCTION("GOOGLEFINANCE(B1714,""marketcap"")/10000000"),148.2196702)</f>
        <v>148.2196702</v>
      </c>
      <c r="D1714" s="13">
        <f>IFERROR(__xludf.DUMMYFUNCTION("GOOGLEFINANCE(B1714,""price"")"),64.61)</f>
        <v>64.61</v>
      </c>
      <c r="E1714" s="14">
        <f>IFERROR(__xludf.DUMMYFUNCTION("GOOGLEFINANCE(B1714,""Volume"")"),12220.0)</f>
        <v>12220</v>
      </c>
      <c r="F1714" s="14">
        <f t="array" ref="F1714">F1713</f>
        <v>14</v>
      </c>
      <c r="G1714" s="15" t="str">
        <f>IFERROR(__xludf.DUMMYFUNCTION("IF(E1714&gt;AVERAGE(INDEX(GOOGLEFINANCE(B1714,""volume"",WORKDAY(TODAY(),-$F$1),TODAY()),,2)),""Breakout"","""")"),"")</f>
        <v/>
      </c>
      <c r="H1714" s="16">
        <f>IFERROR(__xludf.DUMMYFUNCTION("GOOGLEFINANCE(B1714,""price"")"),64.61)</f>
        <v>64.61</v>
      </c>
      <c r="I1714" s="17">
        <f>IFERROR(__xludf.DUMMYFUNCTION("AVERAGE(QUERY(SORT(GOOGLEFINANCE(B1714,""price"",TODAY()-365,TODAY()),1,0),""select Col2 limit 10""))"),69.608)</f>
        <v>69.608</v>
      </c>
      <c r="J1714" s="17">
        <f>IFERROR(__xludf.DUMMYFUNCTION("AVERAGE(QUERY(SORT(GOOGLEFINANCE(B1714,""price"",TODAY()-365,TODAY()),1,0),""select Col2 limit 30""))"),73.92033333333333)</f>
        <v>73.92033333</v>
      </c>
      <c r="K1714" s="18">
        <f>IFERROR(__xludf.DUMMYFUNCTION("AVERAGE(QUERY(SORT(GOOGLEFINANCE(B1714,""price"",TODAY()-365,TODAY()),1,0),""select Col2 limit 60""))"),82.33666666666667)</f>
        <v>82.33666667</v>
      </c>
      <c r="L1714" s="17">
        <f>IFERROR(__xludf.DUMMYFUNCTION("AVERAGE(QUERY(SORT(GOOGLEFINANCE(B1714,""price"",TODAY()-365,TODAY()),1,0),""select Col2 limit 90""))"),84.44244444444445)</f>
        <v>84.44244444</v>
      </c>
      <c r="M1714" s="17">
        <f>IFERROR(__xludf.DUMMYFUNCTION("AVERAGE(QUERY(SORT(GOOGLEFINANCE(B1714,""price"",TODAY()-365,TODAY()),1,0),""select Col2 limit 120""))"),86.43741666666666)</f>
        <v>86.43741667</v>
      </c>
      <c r="N1714" s="19">
        <f>IFERROR(__xludf.DUMMYFUNCTION("AVERAGE(QUERY(SORT(GOOGLEFINANCE(B1714,""price"",TODAY()-365,TODAY()),1,0),""select Col2 limit 200""))"),94.87760000000002)</f>
        <v>94.8776</v>
      </c>
      <c r="O1714" s="20" t="str">
        <f t="shared" si="2"/>
        <v>Avoid</v>
      </c>
      <c r="P1714" s="21" t="str">
        <f t="shared" si="3"/>
        <v/>
      </c>
      <c r="Q1714" s="21" t="str">
        <f t="shared" si="4"/>
        <v/>
      </c>
      <c r="R1714" s="22">
        <f>IFERROR(__xludf.DUMMYFUNCTION("GOOGLEFINANCE(B1714, ""pe"")
"),104.42)</f>
        <v>104.42</v>
      </c>
    </row>
    <row r="1715">
      <c r="A1715" s="9" t="s">
        <v>1723</v>
      </c>
      <c r="B1715" s="11" t="str">
        <f t="shared" si="1"/>
        <v>NSE:UNIVASTU</v>
      </c>
      <c r="C1715" s="12">
        <f>IFERROR(__xludf.DUMMYFUNCTION("GOOGLEFINANCE(B1715,""marketcap"")/10000000"),316.1195182)</f>
        <v>316.1195182</v>
      </c>
      <c r="D1715" s="13">
        <f>IFERROR(__xludf.DUMMYFUNCTION("GOOGLEFINANCE(B1715,""price"")"),266.16)</f>
        <v>266.16</v>
      </c>
      <c r="E1715" s="14">
        <f>IFERROR(__xludf.DUMMYFUNCTION("GOOGLEFINANCE(B1715,""Volume"")"),6355.0)</f>
        <v>6355</v>
      </c>
      <c r="F1715" s="14">
        <f t="array" ref="F1715">F1714</f>
        <v>14</v>
      </c>
      <c r="G1715" s="15" t="str">
        <f>IFERROR(__xludf.DUMMYFUNCTION("IF(E1715&gt;AVERAGE(INDEX(GOOGLEFINANCE(B1715,""volume"",WORKDAY(TODAY(),-$F$1),TODAY()),,2)),""Breakout"","""")"),"")</f>
        <v/>
      </c>
      <c r="H1715" s="16">
        <f>IFERROR(__xludf.DUMMYFUNCTION("GOOGLEFINANCE(B1715,""price"")"),266.16)</f>
        <v>266.16</v>
      </c>
      <c r="I1715" s="17">
        <f>IFERROR(__xludf.DUMMYFUNCTION("AVERAGE(QUERY(SORT(GOOGLEFINANCE(B1715,""price"",TODAY()-365,TODAY()),1,0),""select Col2 limit 10""))"),282.12300000000005)</f>
        <v>282.123</v>
      </c>
      <c r="J1715" s="17">
        <f>IFERROR(__xludf.DUMMYFUNCTION("AVERAGE(QUERY(SORT(GOOGLEFINANCE(B1715,""price"",TODAY()-365,TODAY()),1,0),""select Col2 limit 30""))"),254.41500000000002)</f>
        <v>254.415</v>
      </c>
      <c r="K1715" s="18">
        <f>IFERROR(__xludf.DUMMYFUNCTION("AVERAGE(QUERY(SORT(GOOGLEFINANCE(B1715,""price"",TODAY()-365,TODAY()),1,0),""select Col2 limit 60""))"),249.62516666666662)</f>
        <v>249.6251667</v>
      </c>
      <c r="L1715" s="17">
        <f>IFERROR(__xludf.DUMMYFUNCTION("AVERAGE(QUERY(SORT(GOOGLEFINANCE(B1715,""price"",TODAY()-365,TODAY()),1,0),""select Col2 limit 90""))"),244.9266666666666)</f>
        <v>244.9266667</v>
      </c>
      <c r="M1715" s="17">
        <f>IFERROR(__xludf.DUMMYFUNCTION("AVERAGE(QUERY(SORT(GOOGLEFINANCE(B1715,""price"",TODAY()-365,TODAY()),1,0),""select Col2 limit 120""))"),246.58883333333327)</f>
        <v>246.5888333</v>
      </c>
      <c r="N1715" s="19">
        <f>IFERROR(__xludf.DUMMYFUNCTION("AVERAGE(QUERY(SORT(GOOGLEFINANCE(B1715,""price"",TODAY()-365,TODAY()),1,0),""select Col2 limit 200""))"),248.53924999999998)</f>
        <v>248.53925</v>
      </c>
      <c r="O1715" s="20" t="str">
        <f t="shared" si="2"/>
        <v>Avoid</v>
      </c>
      <c r="P1715" s="21" t="str">
        <f t="shared" si="3"/>
        <v/>
      </c>
      <c r="Q1715" s="21" t="str">
        <f t="shared" si="4"/>
        <v/>
      </c>
      <c r="R1715" s="22">
        <f>IFERROR(__xludf.DUMMYFUNCTION("GOOGLEFINANCE(B1715, ""pe"")
"),30.41)</f>
        <v>30.41</v>
      </c>
    </row>
    <row r="1716">
      <c r="A1716" s="9" t="s">
        <v>1724</v>
      </c>
      <c r="B1716" s="11" t="str">
        <f t="shared" si="1"/>
        <v>NSE:WEIZMANIND</v>
      </c>
      <c r="C1716" s="12">
        <f>IFERROR(__xludf.DUMMYFUNCTION("GOOGLEFINANCE(B1716,""marketcap"")/10000000"),186.375523)</f>
        <v>186.375523</v>
      </c>
      <c r="D1716" s="13">
        <f>IFERROR(__xludf.DUMMYFUNCTION("GOOGLEFINANCE(B1716,""price"")"),120.29)</f>
        <v>120.29</v>
      </c>
      <c r="E1716" s="14">
        <f>IFERROR(__xludf.DUMMYFUNCTION("GOOGLEFINANCE(B1716,""Volume"")"),2108.0)</f>
        <v>2108</v>
      </c>
      <c r="F1716" s="14">
        <f t="array" ref="F1716">F1715</f>
        <v>14</v>
      </c>
      <c r="G1716" s="15" t="str">
        <f>IFERROR(__xludf.DUMMYFUNCTION("IF(E1716&gt;AVERAGE(INDEX(GOOGLEFINANCE(B1716,""volume"",WORKDAY(TODAY(),-$F$1),TODAY()),,2)),""Breakout"","""")"),"")</f>
        <v/>
      </c>
      <c r="H1716" s="16">
        <f>IFERROR(__xludf.DUMMYFUNCTION("GOOGLEFINANCE(B1716,""price"")"),120.29)</f>
        <v>120.29</v>
      </c>
      <c r="I1716" s="17">
        <f>IFERROR(__xludf.DUMMYFUNCTION("AVERAGE(QUERY(SORT(GOOGLEFINANCE(B1716,""price"",TODAY()-365,TODAY()),1,0),""select Col2 limit 10""))"),119.23200000000001)</f>
        <v>119.232</v>
      </c>
      <c r="J1716" s="17">
        <f>IFERROR(__xludf.DUMMYFUNCTION("AVERAGE(QUERY(SORT(GOOGLEFINANCE(B1716,""price"",TODAY()-365,TODAY()),1,0),""select Col2 limit 30""))"),119.32566666666669)</f>
        <v>119.3256667</v>
      </c>
      <c r="K1716" s="18">
        <f>IFERROR(__xludf.DUMMYFUNCTION("AVERAGE(QUERY(SORT(GOOGLEFINANCE(B1716,""price"",TODAY()-365,TODAY()),1,0),""select Col2 limit 60""))"),118.51583333333336)</f>
        <v>118.5158333</v>
      </c>
      <c r="L1716" s="17">
        <f>IFERROR(__xludf.DUMMYFUNCTION("AVERAGE(QUERY(SORT(GOOGLEFINANCE(B1716,""price"",TODAY()-365,TODAY()),1,0),""select Col2 limit 90""))"),115.58911111111112)</f>
        <v>115.5891111</v>
      </c>
      <c r="M1716" s="17">
        <f>IFERROR(__xludf.DUMMYFUNCTION("AVERAGE(QUERY(SORT(GOOGLEFINANCE(B1716,""price"",TODAY()-365,TODAY()),1,0),""select Col2 limit 120""))"),115.60291666666667)</f>
        <v>115.6029167</v>
      </c>
      <c r="N1716" s="19">
        <f>IFERROR(__xludf.DUMMYFUNCTION("AVERAGE(QUERY(SORT(GOOGLEFINANCE(B1716,""price"",TODAY()-365,TODAY()),1,0),""select Col2 limit 200""))"),121.67119999999997)</f>
        <v>121.6712</v>
      </c>
      <c r="O1716" s="20" t="str">
        <f t="shared" si="2"/>
        <v>Buy Above 200 DMA</v>
      </c>
      <c r="P1716" s="21" t="str">
        <f t="shared" si="3"/>
        <v/>
      </c>
      <c r="Q1716" s="21" t="str">
        <f t="shared" si="4"/>
        <v/>
      </c>
      <c r="R1716" s="22" t="str">
        <f>IFERROR(__xludf.DUMMYFUNCTION("GOOGLEFINANCE(B1716, ""pe"")
"),"#N/A")</f>
        <v>#N/A</v>
      </c>
    </row>
    <row r="1717">
      <c r="A1717" s="9" t="s">
        <v>1725</v>
      </c>
      <c r="B1717" s="11" t="str">
        <f t="shared" si="1"/>
        <v>NSE:ANIKINDS</v>
      </c>
      <c r="C1717" s="12">
        <f>IFERROR(__xludf.DUMMYFUNCTION("GOOGLEFINANCE(B1717,""marketcap"")/10000000"),265.045734)</f>
        <v>265.045734</v>
      </c>
      <c r="D1717" s="13">
        <f>IFERROR(__xludf.DUMMYFUNCTION("GOOGLEFINANCE(B1717,""price"")"),95.5)</f>
        <v>95.5</v>
      </c>
      <c r="E1717" s="14">
        <f>IFERROR(__xludf.DUMMYFUNCTION("GOOGLEFINANCE(B1717,""Volume"")"),3430.0)</f>
        <v>3430</v>
      </c>
      <c r="F1717" s="14">
        <f t="array" ref="F1717">F1716</f>
        <v>14</v>
      </c>
      <c r="G1717" s="15" t="str">
        <f>IFERROR(__xludf.DUMMYFUNCTION("IF(E1717&gt;AVERAGE(INDEX(GOOGLEFINANCE(B1717,""volume"",WORKDAY(TODAY(),-$F$1),TODAY()),,2)),""Breakout"","""")"),"")</f>
        <v/>
      </c>
      <c r="H1717" s="16">
        <f>IFERROR(__xludf.DUMMYFUNCTION("GOOGLEFINANCE(B1717,""price"")"),95.5)</f>
        <v>95.5</v>
      </c>
      <c r="I1717" s="17">
        <f>IFERROR(__xludf.DUMMYFUNCTION("AVERAGE(QUERY(SORT(GOOGLEFINANCE(B1717,""price"",TODAY()-365,TODAY()),1,0),""select Col2 limit 10""))"),100.853)</f>
        <v>100.853</v>
      </c>
      <c r="J1717" s="17">
        <f>IFERROR(__xludf.DUMMYFUNCTION("AVERAGE(QUERY(SORT(GOOGLEFINANCE(B1717,""price"",TODAY()-365,TODAY()),1,0),""select Col2 limit 30""))"),105.64399999999999)</f>
        <v>105.644</v>
      </c>
      <c r="K1717" s="18">
        <f>IFERROR(__xludf.DUMMYFUNCTION("AVERAGE(QUERY(SORT(GOOGLEFINANCE(B1717,""price"",TODAY()-365,TODAY()),1,0),""select Col2 limit 60""))"),107.56549999999999)</f>
        <v>107.5655</v>
      </c>
      <c r="L1717" s="17">
        <f>IFERROR(__xludf.DUMMYFUNCTION("AVERAGE(QUERY(SORT(GOOGLEFINANCE(B1717,""price"",TODAY()-365,TODAY()),1,0),""select Col2 limit 90""))"),109.00966666666663)</f>
        <v>109.0096667</v>
      </c>
      <c r="M1717" s="17">
        <f>IFERROR(__xludf.DUMMYFUNCTION("AVERAGE(QUERY(SORT(GOOGLEFINANCE(B1717,""price"",TODAY()-365,TODAY()),1,0),""select Col2 limit 120""))"),105.67924999999997)</f>
        <v>105.67925</v>
      </c>
      <c r="N1717" s="19">
        <f>IFERROR(__xludf.DUMMYFUNCTION("AVERAGE(QUERY(SORT(GOOGLEFINANCE(B1717,""price"",TODAY()-365,TODAY()),1,0),""select Col2 limit 200""))"),103.36604999999997)</f>
        <v>103.36605</v>
      </c>
      <c r="O1717" s="20" t="str">
        <f t="shared" si="2"/>
        <v>Avoid</v>
      </c>
      <c r="P1717" s="21" t="str">
        <f t="shared" si="3"/>
        <v/>
      </c>
      <c r="Q1717" s="21" t="str">
        <f t="shared" si="4"/>
        <v/>
      </c>
      <c r="R1717" s="22">
        <f>IFERROR(__xludf.DUMMYFUNCTION("GOOGLEFINANCE(B1717, ""pe"")
"),86.82)</f>
        <v>86.82</v>
      </c>
    </row>
    <row r="1718">
      <c r="A1718" s="9" t="s">
        <v>1726</v>
      </c>
      <c r="B1718" s="11" t="str">
        <f t="shared" si="1"/>
        <v>NSE:GTL</v>
      </c>
      <c r="C1718" s="12">
        <f>IFERROR(__xludf.DUMMYFUNCTION("GOOGLEFINANCE(B1718,""marketcap"")/10000000"),148.8026788)</f>
        <v>148.8026788</v>
      </c>
      <c r="D1718" s="13">
        <f>IFERROR(__xludf.DUMMYFUNCTION("GOOGLEFINANCE(B1718,""price"")"),9.44)</f>
        <v>9.44</v>
      </c>
      <c r="E1718" s="14">
        <f>IFERROR(__xludf.DUMMYFUNCTION("GOOGLEFINANCE(B1718,""Volume"")"),207637.0)</f>
        <v>207637</v>
      </c>
      <c r="F1718" s="14">
        <f t="array" ref="F1718">F1717</f>
        <v>14</v>
      </c>
      <c r="G1718" s="15" t="str">
        <f>IFERROR(__xludf.DUMMYFUNCTION("IF(E1718&gt;AVERAGE(INDEX(GOOGLEFINANCE(B1718,""volume"",WORKDAY(TODAY(),-$F$1),TODAY()),,2)),""Breakout"","""")"),"")</f>
        <v/>
      </c>
      <c r="H1718" s="16">
        <f>IFERROR(__xludf.DUMMYFUNCTION("GOOGLEFINANCE(B1718,""price"")"),9.44)</f>
        <v>9.44</v>
      </c>
      <c r="I1718" s="17">
        <f>IFERROR(__xludf.DUMMYFUNCTION("AVERAGE(QUERY(SORT(GOOGLEFINANCE(B1718,""price"",TODAY()-365,TODAY()),1,0),""select Col2 limit 10""))"),10.075)</f>
        <v>10.075</v>
      </c>
      <c r="J1718" s="17">
        <f>IFERROR(__xludf.DUMMYFUNCTION("AVERAGE(QUERY(SORT(GOOGLEFINANCE(B1718,""price"",TODAY()-365,TODAY()),1,0),""select Col2 limit 30""))"),10.374333333333333)</f>
        <v>10.37433333</v>
      </c>
      <c r="K1718" s="18">
        <f>IFERROR(__xludf.DUMMYFUNCTION("AVERAGE(QUERY(SORT(GOOGLEFINANCE(B1718,""price"",TODAY()-365,TODAY()),1,0),""select Col2 limit 60""))"),9.633666666666668)</f>
        <v>9.633666667</v>
      </c>
      <c r="L1718" s="17">
        <f>IFERROR(__xludf.DUMMYFUNCTION("AVERAGE(QUERY(SORT(GOOGLEFINANCE(B1718,""price"",TODAY()-365,TODAY()),1,0),""select Col2 limit 90""))"),9.231444444444444)</f>
        <v>9.231444444</v>
      </c>
      <c r="M1718" s="17">
        <f>IFERROR(__xludf.DUMMYFUNCTION("AVERAGE(QUERY(SORT(GOOGLEFINANCE(B1718,""price"",TODAY()-365,TODAY()),1,0),""select Col2 limit 120""))"),9.337166666666667)</f>
        <v>9.337166667</v>
      </c>
      <c r="N1718" s="19">
        <f>IFERROR(__xludf.DUMMYFUNCTION("AVERAGE(QUERY(SORT(GOOGLEFINANCE(B1718,""price"",TODAY()-365,TODAY()),1,0),""select Col2 limit 200""))"),10.66755)</f>
        <v>10.66755</v>
      </c>
      <c r="O1718" s="20" t="str">
        <f t="shared" si="2"/>
        <v>Avoid</v>
      </c>
      <c r="P1718" s="21" t="str">
        <f t="shared" si="3"/>
        <v/>
      </c>
      <c r="Q1718" s="21" t="str">
        <f t="shared" si="4"/>
        <v/>
      </c>
      <c r="R1718" s="22" t="str">
        <f>IFERROR(__xludf.DUMMYFUNCTION("GOOGLEFINANCE(B1718, ""pe"")
"),"#N/A")</f>
        <v>#N/A</v>
      </c>
    </row>
    <row r="1719">
      <c r="A1719" s="9" t="s">
        <v>1727</v>
      </c>
      <c r="B1719" s="11" t="str">
        <f t="shared" si="1"/>
        <v>NSE:DUCON</v>
      </c>
      <c r="C1719" s="12">
        <f>IFERROR(__xludf.DUMMYFUNCTION("GOOGLEFINANCE(B1719,""marketcap"")/10000000"),191.706048)</f>
        <v>191.706048</v>
      </c>
      <c r="D1719" s="13">
        <f>IFERROR(__xludf.DUMMYFUNCTION("GOOGLEFINANCE(B1719,""price"")"),5.89)</f>
        <v>5.89</v>
      </c>
      <c r="E1719" s="14">
        <f>IFERROR(__xludf.DUMMYFUNCTION("GOOGLEFINANCE(B1719,""Volume"")"),111055.0)</f>
        <v>111055</v>
      </c>
      <c r="F1719" s="14">
        <f t="array" ref="F1719">F1718</f>
        <v>14</v>
      </c>
      <c r="G1719" s="15" t="str">
        <f>IFERROR(__xludf.DUMMYFUNCTION("IF(E1719&gt;AVERAGE(INDEX(GOOGLEFINANCE(B1719,""volume"",WORKDAY(TODAY(),-$F$1),TODAY()),,2)),""Breakout"","""")"),"")</f>
        <v/>
      </c>
      <c r="H1719" s="16">
        <f>IFERROR(__xludf.DUMMYFUNCTION("GOOGLEFINANCE(B1719,""price"")"),5.89)</f>
        <v>5.89</v>
      </c>
      <c r="I1719" s="17">
        <f>IFERROR(__xludf.DUMMYFUNCTION("AVERAGE(QUERY(SORT(GOOGLEFINANCE(B1719,""price"",TODAY()-365,TODAY()),1,0),""select Col2 limit 10""))"),6.15)</f>
        <v>6.15</v>
      </c>
      <c r="J1719" s="17">
        <f>IFERROR(__xludf.DUMMYFUNCTION("AVERAGE(QUERY(SORT(GOOGLEFINANCE(B1719,""price"",TODAY()-365,TODAY()),1,0),""select Col2 limit 30""))"),6.177999999999999)</f>
        <v>6.178</v>
      </c>
      <c r="K1719" s="18">
        <f>IFERROR(__xludf.DUMMYFUNCTION("AVERAGE(QUERY(SORT(GOOGLEFINANCE(B1719,""price"",TODAY()-365,TODAY()),1,0),""select Col2 limit 60""))"),6.145333333333332)</f>
        <v>6.145333333</v>
      </c>
      <c r="L1719" s="17">
        <f>IFERROR(__xludf.DUMMYFUNCTION("AVERAGE(QUERY(SORT(GOOGLEFINANCE(B1719,""price"",TODAY()-365,TODAY()),1,0),""select Col2 limit 90""))"),5.991666666666666)</f>
        <v>5.991666667</v>
      </c>
      <c r="M1719" s="17">
        <f>IFERROR(__xludf.DUMMYFUNCTION("AVERAGE(QUERY(SORT(GOOGLEFINANCE(B1719,""price"",TODAY()-365,TODAY()),1,0),""select Col2 limit 120""))"),6.053583333333334)</f>
        <v>6.053583333</v>
      </c>
      <c r="N1719" s="19">
        <f>IFERROR(__xludf.DUMMYFUNCTION("AVERAGE(QUERY(SORT(GOOGLEFINANCE(B1719,""price"",TODAY()-365,TODAY()),1,0),""select Col2 limit 200""))"),6.834099999999999)</f>
        <v>6.8341</v>
      </c>
      <c r="O1719" s="20" t="str">
        <f t="shared" si="2"/>
        <v>Avoid</v>
      </c>
      <c r="P1719" s="21" t="str">
        <f t="shared" si="3"/>
        <v/>
      </c>
      <c r="Q1719" s="21" t="str">
        <f t="shared" si="4"/>
        <v/>
      </c>
      <c r="R1719" s="22">
        <f>IFERROR(__xludf.DUMMYFUNCTION("GOOGLEFINANCE(B1719, ""pe"")
"),14.05)</f>
        <v>14.05</v>
      </c>
    </row>
    <row r="1720">
      <c r="A1720" s="9" t="s">
        <v>1728</v>
      </c>
      <c r="B1720" s="11" t="str">
        <f t="shared" si="1"/>
        <v>NSE:AARTECH</v>
      </c>
      <c r="C1720" s="12">
        <f>IFERROR(__xludf.DUMMYFUNCTION("GOOGLEFINANCE(B1720,""marketcap"")/10000000"),217.7223417)</f>
        <v>217.7223417</v>
      </c>
      <c r="D1720" s="13">
        <f>IFERROR(__xludf.DUMMYFUNCTION("GOOGLEFINANCE(B1720,""price"")"),68.54)</f>
        <v>68.54</v>
      </c>
      <c r="E1720" s="14">
        <f>IFERROR(__xludf.DUMMYFUNCTION("GOOGLEFINANCE(B1720,""Volume"")"),20521.0)</f>
        <v>20521</v>
      </c>
      <c r="F1720" s="14">
        <f t="array" ref="F1720">F1719</f>
        <v>14</v>
      </c>
      <c r="G1720" s="15" t="str">
        <f>IFERROR(__xludf.DUMMYFUNCTION("IF(E1720&gt;AVERAGE(INDEX(GOOGLEFINANCE(B1720,""volume"",WORKDAY(TODAY(),-$F$1),TODAY()),,2)),""Breakout"","""")"),"")</f>
        <v/>
      </c>
      <c r="H1720" s="16">
        <f>IFERROR(__xludf.DUMMYFUNCTION("GOOGLEFINANCE(B1720,""price"")"),68.54)</f>
        <v>68.54</v>
      </c>
      <c r="I1720" s="17">
        <f>IFERROR(__xludf.DUMMYFUNCTION("AVERAGE(QUERY(SORT(GOOGLEFINANCE(B1720,""price"",TODAY()-365,TODAY()),1,0),""select Col2 limit 10""))"),69.73)</f>
        <v>69.73</v>
      </c>
      <c r="J1720" s="17">
        <f>IFERROR(__xludf.DUMMYFUNCTION("AVERAGE(QUERY(SORT(GOOGLEFINANCE(B1720,""price"",TODAY()-365,TODAY()),1,0),""select Col2 limit 30""))"),69.70666666666666)</f>
        <v>69.70666667</v>
      </c>
      <c r="K1720" s="18">
        <f>IFERROR(__xludf.DUMMYFUNCTION("AVERAGE(QUERY(SORT(GOOGLEFINANCE(B1720,""price"",TODAY()-365,TODAY()),1,0),""select Col2 limit 60""))"),64.62416666666667)</f>
        <v>64.62416667</v>
      </c>
      <c r="L1720" s="17">
        <f>IFERROR(__xludf.DUMMYFUNCTION("AVERAGE(QUERY(SORT(GOOGLEFINANCE(B1720,""price"",TODAY()-365,TODAY()),1,0),""select Col2 limit 90""))"),61.86988888888889)</f>
        <v>61.86988889</v>
      </c>
      <c r="M1720" s="17">
        <f>IFERROR(__xludf.DUMMYFUNCTION("AVERAGE(QUERY(SORT(GOOGLEFINANCE(B1720,""price"",TODAY()-365,TODAY()),1,0),""select Col2 limit 120""))"),62.400166666666685)</f>
        <v>62.40016667</v>
      </c>
      <c r="N1720" s="19">
        <f>IFERROR(__xludf.DUMMYFUNCTION("AVERAGE(QUERY(SORT(GOOGLEFINANCE(B1720,""price"",TODAY()-365,TODAY()),1,0),""select Col2 limit 200""))"),66.61890000000001)</f>
        <v>66.6189</v>
      </c>
      <c r="O1720" s="20" t="str">
        <f t="shared" si="2"/>
        <v>Avoid</v>
      </c>
      <c r="P1720" s="21" t="str">
        <f t="shared" si="3"/>
        <v/>
      </c>
      <c r="Q1720" s="21" t="str">
        <f t="shared" si="4"/>
        <v/>
      </c>
      <c r="R1720" s="22">
        <f>IFERROR(__xludf.DUMMYFUNCTION("GOOGLEFINANCE(B1720, ""pe"")
"),78.78)</f>
        <v>78.78</v>
      </c>
    </row>
    <row r="1721">
      <c r="A1721" s="9" t="s">
        <v>1729</v>
      </c>
      <c r="B1721" s="11" t="str">
        <f t="shared" si="1"/>
        <v>NSE:UNITEDPOLY</v>
      </c>
      <c r="C1721" s="12">
        <f>IFERROR(__xludf.DUMMYFUNCTION("GOOGLEFINANCE(B1721,""marketcap"")/10000000"),300.6651827)</f>
        <v>300.6651827</v>
      </c>
      <c r="D1721" s="13">
        <f>IFERROR(__xludf.DUMMYFUNCTION("GOOGLEFINANCE(B1721,""price"")"),26.21)</f>
        <v>26.21</v>
      </c>
      <c r="E1721" s="14">
        <f>IFERROR(__xludf.DUMMYFUNCTION("GOOGLEFINANCE(B1721,""Volume"")"),758033.0)</f>
        <v>758033</v>
      </c>
      <c r="F1721" s="14">
        <f t="array" ref="F1721">F1720</f>
        <v>14</v>
      </c>
      <c r="G1721" s="15" t="str">
        <f>IFERROR(__xludf.DUMMYFUNCTION("IF(E1721&gt;AVERAGE(INDEX(GOOGLEFINANCE(B1721,""volume"",WORKDAY(TODAY(),-$F$1),TODAY()),,2)),""Breakout"","""")"),"Breakout")</f>
        <v>Breakout</v>
      </c>
      <c r="H1721" s="16">
        <f>IFERROR(__xludf.DUMMYFUNCTION("GOOGLEFINANCE(B1721,""price"")"),26.21)</f>
        <v>26.21</v>
      </c>
      <c r="I1721" s="17">
        <f>IFERROR(__xludf.DUMMYFUNCTION("AVERAGE(QUERY(SORT(GOOGLEFINANCE(B1721,""price"",TODAY()-365,TODAY()),1,0),""select Col2 limit 10""))"),21.588)</f>
        <v>21.588</v>
      </c>
      <c r="J1721" s="17">
        <f>IFERROR(__xludf.DUMMYFUNCTION("AVERAGE(QUERY(SORT(GOOGLEFINANCE(B1721,""price"",TODAY()-365,TODAY()),1,0),""select Col2 limit 30""))"),20.582)</f>
        <v>20.582</v>
      </c>
      <c r="K1721" s="18">
        <f>IFERROR(__xludf.DUMMYFUNCTION("AVERAGE(QUERY(SORT(GOOGLEFINANCE(B1721,""price"",TODAY()-365,TODAY()),1,0),""select Col2 limit 60""))"),18.81633333333333)</f>
        <v>18.81633333</v>
      </c>
      <c r="L1721" s="17">
        <f>IFERROR(__xludf.DUMMYFUNCTION("AVERAGE(QUERY(SORT(GOOGLEFINANCE(B1721,""price"",TODAY()-365,TODAY()),1,0),""select Col2 limit 90""))"),17.846111111111107)</f>
        <v>17.84611111</v>
      </c>
      <c r="M1721" s="17">
        <f>IFERROR(__xludf.DUMMYFUNCTION("AVERAGE(QUERY(SORT(GOOGLEFINANCE(B1721,""price"",TODAY()-365,TODAY()),1,0),""select Col2 limit 120""))"),17.185416666666665)</f>
        <v>17.18541667</v>
      </c>
      <c r="N1721" s="19">
        <f>IFERROR(__xludf.DUMMYFUNCTION("AVERAGE(QUERY(SORT(GOOGLEFINANCE(B1721,""price"",TODAY()-365,TODAY()),1,0),""select Col2 limit 200""))"),15.947700000000003)</f>
        <v>15.9477</v>
      </c>
      <c r="O1721" s="20" t="str">
        <f t="shared" si="2"/>
        <v>Avoid</v>
      </c>
      <c r="P1721" s="21" t="str">
        <f t="shared" si="3"/>
        <v/>
      </c>
      <c r="Q1721" s="21" t="str">
        <f t="shared" si="4"/>
        <v/>
      </c>
      <c r="R1721" s="22">
        <f>IFERROR(__xludf.DUMMYFUNCTION("GOOGLEFINANCE(B1721, ""pe"")
"),16.99)</f>
        <v>16.99</v>
      </c>
    </row>
    <row r="1722">
      <c r="A1722" s="9" t="s">
        <v>1730</v>
      </c>
      <c r="B1722" s="11" t="str">
        <f t="shared" si="1"/>
        <v>NSE:KEYFINSERV</v>
      </c>
      <c r="C1722" s="12">
        <f>IFERROR(__xludf.DUMMYFUNCTION("GOOGLEFINANCE(B1722,""marketcap"")/10000000"),143.1461)</f>
        <v>143.1461</v>
      </c>
      <c r="D1722" s="13">
        <f>IFERROR(__xludf.DUMMYFUNCTION("GOOGLEFINANCE(B1722,""price"")"),257.1)</f>
        <v>257.1</v>
      </c>
      <c r="E1722" s="14">
        <f>IFERROR(__xludf.DUMMYFUNCTION("GOOGLEFINANCE(B1722,""Volume"")"),464.0)</f>
        <v>464</v>
      </c>
      <c r="F1722" s="14">
        <f t="array" ref="F1722">F1721</f>
        <v>14</v>
      </c>
      <c r="G1722" s="15" t="str">
        <f>IFERROR(__xludf.DUMMYFUNCTION("IF(E1722&gt;AVERAGE(INDEX(GOOGLEFINANCE(B1722,""volume"",WORKDAY(TODAY(),-$F$1),TODAY()),,2)),""Breakout"","""")"),"")</f>
        <v/>
      </c>
      <c r="H1722" s="16">
        <f>IFERROR(__xludf.DUMMYFUNCTION("GOOGLEFINANCE(B1722,""price"")"),257.1)</f>
        <v>257.1</v>
      </c>
      <c r="I1722" s="17">
        <f>IFERROR(__xludf.DUMMYFUNCTION("AVERAGE(QUERY(SORT(GOOGLEFINANCE(B1722,""price"",TODAY()-365,TODAY()),1,0),""select Col2 limit 10""))"),270.22)</f>
        <v>270.22</v>
      </c>
      <c r="J1722" s="17">
        <f>IFERROR(__xludf.DUMMYFUNCTION("AVERAGE(QUERY(SORT(GOOGLEFINANCE(B1722,""price"",TODAY()-365,TODAY()),1,0),""select Col2 limit 30""))"),272.2866666666667)</f>
        <v>272.2866667</v>
      </c>
      <c r="K1722" s="18">
        <f>IFERROR(__xludf.DUMMYFUNCTION("AVERAGE(QUERY(SORT(GOOGLEFINANCE(B1722,""price"",TODAY()-365,TODAY()),1,0),""select Col2 limit 60""))"),292.45916666666665)</f>
        <v>292.4591667</v>
      </c>
      <c r="L1722" s="17">
        <f>IFERROR(__xludf.DUMMYFUNCTION("AVERAGE(QUERY(SORT(GOOGLEFINANCE(B1722,""price"",TODAY()-365,TODAY()),1,0),""select Col2 limit 90""))"),307.74000000000007)</f>
        <v>307.74</v>
      </c>
      <c r="M1722" s="17">
        <f>IFERROR(__xludf.DUMMYFUNCTION("AVERAGE(QUERY(SORT(GOOGLEFINANCE(B1722,""price"",TODAY()-365,TODAY()),1,0),""select Col2 limit 120""))"),285.65333333333336)</f>
        <v>285.6533333</v>
      </c>
      <c r="N1722" s="19">
        <f>IFERROR(__xludf.DUMMYFUNCTION("AVERAGE(QUERY(SORT(GOOGLEFINANCE(B1722,""price"",TODAY()-365,TODAY()),1,0),""select Col2 limit 200""))"),276.56594999999993)</f>
        <v>276.56595</v>
      </c>
      <c r="O1722" s="20" t="str">
        <f t="shared" si="2"/>
        <v>Avoid</v>
      </c>
      <c r="P1722" s="21" t="str">
        <f t="shared" si="3"/>
        <v/>
      </c>
      <c r="Q1722" s="21" t="str">
        <f t="shared" si="4"/>
        <v/>
      </c>
      <c r="R1722" s="22">
        <f>IFERROR(__xludf.DUMMYFUNCTION("GOOGLEFINANCE(B1722, ""pe"")
"),3.92)</f>
        <v>3.92</v>
      </c>
    </row>
    <row r="1723">
      <c r="A1723" s="9" t="s">
        <v>1731</v>
      </c>
      <c r="B1723" s="11" t="str">
        <f t="shared" si="1"/>
        <v>NSE:SELMC</v>
      </c>
      <c r="C1723" s="12">
        <f>IFERROR(__xludf.DUMMYFUNCTION("GOOGLEFINANCE(B1723,""marketcap"")/10000000"),107.687775)</f>
        <v>107.687775</v>
      </c>
      <c r="D1723" s="13">
        <f>IFERROR(__xludf.DUMMYFUNCTION("GOOGLEFINANCE(B1723,""price"")"),32.5)</f>
        <v>32.5</v>
      </c>
      <c r="E1723" s="14">
        <f>IFERROR(__xludf.DUMMYFUNCTION("GOOGLEFINANCE(B1723,""Volume"")"),2779.0)</f>
        <v>2779</v>
      </c>
      <c r="F1723" s="14">
        <f t="array" ref="F1723">F1722</f>
        <v>14</v>
      </c>
      <c r="G1723" s="15" t="str">
        <f>IFERROR(__xludf.DUMMYFUNCTION("IF(E1723&gt;AVERAGE(INDEX(GOOGLEFINANCE(B1723,""volume"",WORKDAY(TODAY(),-$F$1),TODAY()),,2)),""Breakout"","""")"),"")</f>
        <v/>
      </c>
      <c r="H1723" s="16">
        <f>IFERROR(__xludf.DUMMYFUNCTION("GOOGLEFINANCE(B1723,""price"")"),32.5)</f>
        <v>32.5</v>
      </c>
      <c r="I1723" s="17">
        <f>IFERROR(__xludf.DUMMYFUNCTION("AVERAGE(QUERY(SORT(GOOGLEFINANCE(B1723,""price"",TODAY()-365,TODAY()),1,0),""select Col2 limit 10""))"),34.532)</f>
        <v>34.532</v>
      </c>
      <c r="J1723" s="17">
        <f>IFERROR(__xludf.DUMMYFUNCTION("AVERAGE(QUERY(SORT(GOOGLEFINANCE(B1723,""price"",TODAY()-365,TODAY()),1,0),""select Col2 limit 30""))"),34.955)</f>
        <v>34.955</v>
      </c>
      <c r="K1723" s="18">
        <f>IFERROR(__xludf.DUMMYFUNCTION("AVERAGE(QUERY(SORT(GOOGLEFINANCE(B1723,""price"",TODAY()-365,TODAY()),1,0),""select Col2 limit 60""))"),36.47266666666666)</f>
        <v>36.47266667</v>
      </c>
      <c r="L1723" s="17">
        <f>IFERROR(__xludf.DUMMYFUNCTION("AVERAGE(QUERY(SORT(GOOGLEFINANCE(B1723,""price"",TODAY()-365,TODAY()),1,0),""select Col2 limit 90""))"),35.217888888888865)</f>
        <v>35.21788889</v>
      </c>
      <c r="M1723" s="17">
        <f>IFERROR(__xludf.DUMMYFUNCTION("AVERAGE(QUERY(SORT(GOOGLEFINANCE(B1723,""price"",TODAY()-365,TODAY()),1,0),""select Col2 limit 120""))"),34.333166666666656)</f>
        <v>34.33316667</v>
      </c>
      <c r="N1723" s="19">
        <f>IFERROR(__xludf.DUMMYFUNCTION("AVERAGE(QUERY(SORT(GOOGLEFINANCE(B1723,""price"",TODAY()-365,TODAY()),1,0),""select Col2 limit 200""))"),38.59554999999998)</f>
        <v>38.59555</v>
      </c>
      <c r="O1723" s="20" t="str">
        <f t="shared" si="2"/>
        <v>Avoid</v>
      </c>
      <c r="P1723" s="21" t="str">
        <f t="shared" si="3"/>
        <v/>
      </c>
      <c r="Q1723" s="21" t="str">
        <f t="shared" si="4"/>
        <v/>
      </c>
      <c r="R1723" s="22" t="str">
        <f>IFERROR(__xludf.DUMMYFUNCTION("GOOGLEFINANCE(B1723, ""pe"")
"),"#N/A")</f>
        <v>#N/A</v>
      </c>
    </row>
    <row r="1724">
      <c r="A1724" s="9" t="s">
        <v>1732</v>
      </c>
      <c r="B1724" s="11" t="str">
        <f t="shared" si="1"/>
        <v>NSE:SETCO</v>
      </c>
      <c r="C1724" s="12">
        <f>IFERROR(__xludf.DUMMYFUNCTION("GOOGLEFINANCE(B1724,""marketcap"")/10000000"),224.3461868)</f>
        <v>224.3461868</v>
      </c>
      <c r="D1724" s="13">
        <f>IFERROR(__xludf.DUMMYFUNCTION("GOOGLEFINANCE(B1724,""price"")"),17.1)</f>
        <v>17.1</v>
      </c>
      <c r="E1724" s="14">
        <f>IFERROR(__xludf.DUMMYFUNCTION("GOOGLEFINANCE(B1724,""Volume"")"),1357.0)</f>
        <v>1357</v>
      </c>
      <c r="F1724" s="14">
        <f t="array" ref="F1724">F1723</f>
        <v>14</v>
      </c>
      <c r="G1724" s="15" t="str">
        <f>IFERROR(__xludf.DUMMYFUNCTION("IF(E1724&gt;AVERAGE(INDEX(GOOGLEFINANCE(B1724,""volume"",WORKDAY(TODAY(),-$F$1),TODAY()),,2)),""Breakout"","""")"),"")</f>
        <v/>
      </c>
      <c r="H1724" s="16">
        <f>IFERROR(__xludf.DUMMYFUNCTION("GOOGLEFINANCE(B1724,""price"")"),17.1)</f>
        <v>17.1</v>
      </c>
      <c r="I1724" s="17">
        <f>IFERROR(__xludf.DUMMYFUNCTION("AVERAGE(QUERY(SORT(GOOGLEFINANCE(B1724,""price"",TODAY()-365,TODAY()),1,0),""select Col2 limit 10""))"),16.99)</f>
        <v>16.99</v>
      </c>
      <c r="J1724" s="17">
        <f>IFERROR(__xludf.DUMMYFUNCTION("AVERAGE(QUERY(SORT(GOOGLEFINANCE(B1724,""price"",TODAY()-365,TODAY()),1,0),""select Col2 limit 30""))"),17.499666666666663)</f>
        <v>17.49966667</v>
      </c>
      <c r="K1724" s="18">
        <f>IFERROR(__xludf.DUMMYFUNCTION("AVERAGE(QUERY(SORT(GOOGLEFINANCE(B1724,""price"",TODAY()-365,TODAY()),1,0),""select Col2 limit 60""))"),18.013499999999997)</f>
        <v>18.0135</v>
      </c>
      <c r="L1724" s="17">
        <f>IFERROR(__xludf.DUMMYFUNCTION("AVERAGE(QUERY(SORT(GOOGLEFINANCE(B1724,""price"",TODAY()-365,TODAY()),1,0),""select Col2 limit 90""))"),18.22377777777777)</f>
        <v>18.22377778</v>
      </c>
      <c r="M1724" s="17">
        <f>IFERROR(__xludf.DUMMYFUNCTION("AVERAGE(QUERY(SORT(GOOGLEFINANCE(B1724,""price"",TODAY()-365,TODAY()),1,0),""select Col2 limit 120""))"),18.077916666666663)</f>
        <v>18.07791667</v>
      </c>
      <c r="N1724" s="19">
        <f>IFERROR(__xludf.DUMMYFUNCTION("AVERAGE(QUERY(SORT(GOOGLEFINANCE(B1724,""price"",TODAY()-365,TODAY()),1,0),""select Col2 limit 200""))"),16.6221)</f>
        <v>16.6221</v>
      </c>
      <c r="O1724" s="20" t="str">
        <f t="shared" si="2"/>
        <v>Avoid</v>
      </c>
      <c r="P1724" s="21" t="str">
        <f t="shared" si="3"/>
        <v/>
      </c>
      <c r="Q1724" s="21" t="str">
        <f t="shared" si="4"/>
        <v/>
      </c>
      <c r="R1724" s="22" t="str">
        <f>IFERROR(__xludf.DUMMYFUNCTION("GOOGLEFINANCE(B1724, ""pe"")
"),"#N/A")</f>
        <v>#N/A</v>
      </c>
    </row>
    <row r="1725">
      <c r="A1725" s="9" t="s">
        <v>1733</v>
      </c>
      <c r="B1725" s="11" t="str">
        <f t="shared" si="1"/>
        <v>NSE:SHAH</v>
      </c>
      <c r="C1725" s="12">
        <f>IFERROR(__xludf.DUMMYFUNCTION("GOOGLEFINANCE(B1725,""marketcap"")/10000000"),240.4227)</f>
        <v>240.4227</v>
      </c>
      <c r="D1725" s="13">
        <f>IFERROR(__xludf.DUMMYFUNCTION("GOOGLEFINANCE(B1725,""price"")"),3.84)</f>
        <v>3.84</v>
      </c>
      <c r="E1725" s="14">
        <f>IFERROR(__xludf.DUMMYFUNCTION("GOOGLEFINANCE(B1725,""Volume"")"),157433.0)</f>
        <v>157433</v>
      </c>
      <c r="F1725" s="14">
        <f t="array" ref="F1725">F1724</f>
        <v>14</v>
      </c>
      <c r="G1725" s="15" t="str">
        <f>IFERROR(__xludf.DUMMYFUNCTION("IF(E1725&gt;AVERAGE(INDEX(GOOGLEFINANCE(B1725,""volume"",WORKDAY(TODAY(),-$F$1),TODAY()),,2)),""Breakout"","""")"),"")</f>
        <v/>
      </c>
      <c r="H1725" s="16">
        <f>IFERROR(__xludf.DUMMYFUNCTION("GOOGLEFINANCE(B1725,""price"")"),3.84)</f>
        <v>3.84</v>
      </c>
      <c r="I1725" s="17">
        <f>IFERROR(__xludf.DUMMYFUNCTION("AVERAGE(QUERY(SORT(GOOGLEFINANCE(B1725,""price"",TODAY()-365,TODAY()),1,0),""select Col2 limit 10""))"),3.8840000000000003)</f>
        <v>3.884</v>
      </c>
      <c r="J1725" s="17">
        <f>IFERROR(__xludf.DUMMYFUNCTION("AVERAGE(QUERY(SORT(GOOGLEFINANCE(B1725,""price"",TODAY()-365,TODAY()),1,0),""select Col2 limit 30""))"),4.037333333333334)</f>
        <v>4.037333333</v>
      </c>
      <c r="K1725" s="18">
        <f>IFERROR(__xludf.DUMMYFUNCTION("AVERAGE(QUERY(SORT(GOOGLEFINANCE(B1725,""price"",TODAY()-365,TODAY()),1,0),""select Col2 limit 60""))"),3.6156666666666677)</f>
        <v>3.615666667</v>
      </c>
      <c r="L1725" s="17">
        <f>IFERROR(__xludf.DUMMYFUNCTION("AVERAGE(QUERY(SORT(GOOGLEFINANCE(B1725,""price"",TODAY()-365,TODAY()),1,0),""select Col2 limit 90""))"),3.4588888888888913)</f>
        <v>3.458888889</v>
      </c>
      <c r="M1725" s="17">
        <f>IFERROR(__xludf.DUMMYFUNCTION("AVERAGE(QUERY(SORT(GOOGLEFINANCE(B1725,""price"",TODAY()-365,TODAY()),1,0),""select Col2 limit 120""))"),3.496000000000001)</f>
        <v>3.496</v>
      </c>
      <c r="N1725" s="19">
        <f>IFERROR(__xludf.DUMMYFUNCTION("AVERAGE(QUERY(SORT(GOOGLEFINANCE(B1725,""price"",TODAY()-365,TODAY()),1,0),""select Col2 limit 200""))"),3.8778999999999986)</f>
        <v>3.8779</v>
      </c>
      <c r="O1725" s="20" t="str">
        <f t="shared" si="2"/>
        <v>Avoid</v>
      </c>
      <c r="P1725" s="21" t="str">
        <f t="shared" si="3"/>
        <v>200 DMA</v>
      </c>
      <c r="Q1725" s="21" t="str">
        <f t="shared" si="4"/>
        <v/>
      </c>
      <c r="R1725" s="22">
        <f>IFERROR(__xludf.DUMMYFUNCTION("GOOGLEFINANCE(B1725, ""pe"")
"),49.17)</f>
        <v>49.17</v>
      </c>
    </row>
    <row r="1726">
      <c r="A1726" s="9" t="s">
        <v>1734</v>
      </c>
      <c r="B1726" s="11" t="str">
        <f t="shared" si="1"/>
        <v>NSE:VAISHALI</v>
      </c>
      <c r="C1726" s="12">
        <f>IFERROR(__xludf.DUMMYFUNCTION("GOOGLEFINANCE(B1726,""marketcap"")/10000000"),134.6331564)</f>
        <v>134.6331564</v>
      </c>
      <c r="D1726" s="13">
        <f>IFERROR(__xludf.DUMMYFUNCTION("GOOGLEFINANCE(B1726,""price"")"),12.5)</f>
        <v>12.5</v>
      </c>
      <c r="E1726" s="14">
        <f>IFERROR(__xludf.DUMMYFUNCTION("GOOGLEFINANCE(B1726,""Volume"")"),164718.0)</f>
        <v>164718</v>
      </c>
      <c r="F1726" s="14">
        <f t="array" ref="F1726">F1725</f>
        <v>14</v>
      </c>
      <c r="G1726" s="15" t="str">
        <f>IFERROR(__xludf.DUMMYFUNCTION("IF(E1726&gt;AVERAGE(INDEX(GOOGLEFINANCE(B1726,""volume"",WORKDAY(TODAY(),-$F$1),TODAY()),,2)),""Breakout"","""")"),"")</f>
        <v/>
      </c>
      <c r="H1726" s="16">
        <f>IFERROR(__xludf.DUMMYFUNCTION("GOOGLEFINANCE(B1726,""price"")"),12.5)</f>
        <v>12.5</v>
      </c>
      <c r="I1726" s="17">
        <f>IFERROR(__xludf.DUMMYFUNCTION("AVERAGE(QUERY(SORT(GOOGLEFINANCE(B1726,""price"",TODAY()-365,TODAY()),1,0),""select Col2 limit 10""))"),12.695999999999998)</f>
        <v>12.696</v>
      </c>
      <c r="J1726" s="17">
        <f>IFERROR(__xludf.DUMMYFUNCTION("AVERAGE(QUERY(SORT(GOOGLEFINANCE(B1726,""price"",TODAY()-365,TODAY()),1,0),""select Col2 limit 30""))"),12.332333333333333)</f>
        <v>12.33233333</v>
      </c>
      <c r="K1726" s="18">
        <f>IFERROR(__xludf.DUMMYFUNCTION("AVERAGE(QUERY(SORT(GOOGLEFINANCE(B1726,""price"",TODAY()-365,TODAY()),1,0),""select Col2 limit 60""))"),12.472833333333336)</f>
        <v>12.47283333</v>
      </c>
      <c r="L1726" s="17">
        <f>IFERROR(__xludf.DUMMYFUNCTION("AVERAGE(QUERY(SORT(GOOGLEFINANCE(B1726,""price"",TODAY()-365,TODAY()),1,0),""select Col2 limit 90""))"),12.474333333333332)</f>
        <v>12.47433333</v>
      </c>
      <c r="M1726" s="17">
        <f>IFERROR(__xludf.DUMMYFUNCTION("AVERAGE(QUERY(SORT(GOOGLEFINANCE(B1726,""price"",TODAY()-365,TODAY()),1,0),""select Col2 limit 120""))"),13.143249999999998)</f>
        <v>13.14325</v>
      </c>
      <c r="N1726" s="19">
        <f>IFERROR(__xludf.DUMMYFUNCTION("AVERAGE(QUERY(SORT(GOOGLEFINANCE(B1726,""price"",TODAY()-365,TODAY()),1,0),""select Col2 limit 200""))"),14.9959)</f>
        <v>14.9959</v>
      </c>
      <c r="O1726" s="20" t="str">
        <f t="shared" si="2"/>
        <v>Avoid</v>
      </c>
      <c r="P1726" s="21" t="str">
        <f t="shared" si="3"/>
        <v/>
      </c>
      <c r="Q1726" s="21" t="str">
        <f t="shared" si="4"/>
        <v/>
      </c>
      <c r="R1726" s="22">
        <f>IFERROR(__xludf.DUMMYFUNCTION("GOOGLEFINANCE(B1726, ""pe"")
"),40.55)</f>
        <v>40.55</v>
      </c>
    </row>
    <row r="1727">
      <c r="A1727" s="9" t="s">
        <v>1735</v>
      </c>
      <c r="B1727" s="11" t="str">
        <f t="shared" si="1"/>
        <v>NSE:AARVI</v>
      </c>
      <c r="C1727" s="12">
        <f>IFERROR(__xludf.DUMMYFUNCTION("GOOGLEFINANCE(B1727,""marketcap"")/10000000"),155.2308382)</f>
        <v>155.2308382</v>
      </c>
      <c r="D1727" s="13">
        <f>IFERROR(__xludf.DUMMYFUNCTION("GOOGLEFINANCE(B1727,""price"")"),105.07)</f>
        <v>105.07</v>
      </c>
      <c r="E1727" s="14">
        <f>IFERROR(__xludf.DUMMYFUNCTION("GOOGLEFINANCE(B1727,""Volume"")"),2916.0)</f>
        <v>2916</v>
      </c>
      <c r="F1727" s="14">
        <f t="array" ref="F1727">F1726</f>
        <v>14</v>
      </c>
      <c r="G1727" s="15" t="str">
        <f>IFERROR(__xludf.DUMMYFUNCTION("IF(E1727&gt;AVERAGE(INDEX(GOOGLEFINANCE(B1727,""volume"",WORKDAY(TODAY(),-$F$1),TODAY()),,2)),""Breakout"","""")"),"")</f>
        <v/>
      </c>
      <c r="H1727" s="16">
        <f>IFERROR(__xludf.DUMMYFUNCTION("GOOGLEFINANCE(B1727,""price"")"),105.07)</f>
        <v>105.07</v>
      </c>
      <c r="I1727" s="17">
        <f>IFERROR(__xludf.DUMMYFUNCTION("AVERAGE(QUERY(SORT(GOOGLEFINANCE(B1727,""price"",TODAY()-365,TODAY()),1,0),""select Col2 limit 10""))"),106.47499999999998)</f>
        <v>106.475</v>
      </c>
      <c r="J1727" s="17">
        <f>IFERROR(__xludf.DUMMYFUNCTION("AVERAGE(QUERY(SORT(GOOGLEFINANCE(B1727,""price"",TODAY()-365,TODAY()),1,0),""select Col2 limit 30""))"),109.58866666666667)</f>
        <v>109.5886667</v>
      </c>
      <c r="K1727" s="18">
        <f>IFERROR(__xludf.DUMMYFUNCTION("AVERAGE(QUERY(SORT(GOOGLEFINANCE(B1727,""price"",TODAY()-365,TODAY()),1,0),""select Col2 limit 60""))"),109.86233333333331)</f>
        <v>109.8623333</v>
      </c>
      <c r="L1727" s="17">
        <f>IFERROR(__xludf.DUMMYFUNCTION("AVERAGE(QUERY(SORT(GOOGLEFINANCE(B1727,""price"",TODAY()-365,TODAY()),1,0),""select Col2 limit 90""))"),107.68966666666664)</f>
        <v>107.6896667</v>
      </c>
      <c r="M1727" s="17">
        <f>IFERROR(__xludf.DUMMYFUNCTION("AVERAGE(QUERY(SORT(GOOGLEFINANCE(B1727,""price"",TODAY()-365,TODAY()),1,0),""select Col2 limit 120""))"),110.58749999999999)</f>
        <v>110.5875</v>
      </c>
      <c r="N1727" s="19">
        <f>IFERROR(__xludf.DUMMYFUNCTION("AVERAGE(QUERY(SORT(GOOGLEFINANCE(B1727,""price"",TODAY()-365,TODAY()),1,0),""select Col2 limit 200""))"),122.35904999999998)</f>
        <v>122.35905</v>
      </c>
      <c r="O1727" s="20" t="str">
        <f t="shared" si="2"/>
        <v>Avoid</v>
      </c>
      <c r="P1727" s="21" t="str">
        <f t="shared" si="3"/>
        <v/>
      </c>
      <c r="Q1727" s="21" t="str">
        <f t="shared" si="4"/>
        <v/>
      </c>
      <c r="R1727" s="22">
        <f>IFERROR(__xludf.DUMMYFUNCTION("GOOGLEFINANCE(B1727, ""pe"")
"),15.57)</f>
        <v>15.57</v>
      </c>
    </row>
    <row r="1728">
      <c r="A1728" s="9" t="s">
        <v>1736</v>
      </c>
      <c r="B1728" s="11" t="str">
        <f t="shared" si="1"/>
        <v>NSE:HPIL</v>
      </c>
      <c r="C1728" s="12">
        <f>IFERROR(__xludf.DUMMYFUNCTION("GOOGLEFINANCE(B1728,""marketcap"")/10000000"),163.1591473)</f>
        <v>163.1591473</v>
      </c>
      <c r="D1728" s="13">
        <f>IFERROR(__xludf.DUMMYFUNCTION("GOOGLEFINANCE(B1728,""price"")"),142.82)</f>
        <v>142.82</v>
      </c>
      <c r="E1728" s="14">
        <f>IFERROR(__xludf.DUMMYFUNCTION("GOOGLEFINANCE(B1728,""Volume"")"),182.0)</f>
        <v>182</v>
      </c>
      <c r="F1728" s="14">
        <f t="array" ref="F1728">F1727</f>
        <v>14</v>
      </c>
      <c r="G1728" s="15" t="str">
        <f>IFERROR(__xludf.DUMMYFUNCTION("IF(E1728&gt;AVERAGE(INDEX(GOOGLEFINANCE(B1728,""volume"",WORKDAY(TODAY(),-$F$1),TODAY()),,2)),""Breakout"","""")"),"")</f>
        <v/>
      </c>
      <c r="H1728" s="16">
        <f>IFERROR(__xludf.DUMMYFUNCTION("GOOGLEFINANCE(B1728,""price"")"),142.82)</f>
        <v>142.82</v>
      </c>
      <c r="I1728" s="17">
        <f>IFERROR(__xludf.DUMMYFUNCTION("AVERAGE(QUERY(SORT(GOOGLEFINANCE(B1728,""price"",TODAY()-365,TODAY()),1,0),""select Col2 limit 10""))"),142.63500000000002)</f>
        <v>142.635</v>
      </c>
      <c r="J1728" s="17">
        <f>IFERROR(__xludf.DUMMYFUNCTION("AVERAGE(QUERY(SORT(GOOGLEFINANCE(B1728,""price"",TODAY()-365,TODAY()),1,0),""select Col2 limit 30""))"),140.78866666666667)</f>
        <v>140.7886667</v>
      </c>
      <c r="K1728" s="18">
        <f>IFERROR(__xludf.DUMMYFUNCTION("AVERAGE(QUERY(SORT(GOOGLEFINANCE(B1728,""price"",TODAY()-365,TODAY()),1,0),""select Col2 limit 60""))"),133.87250000000003)</f>
        <v>133.8725</v>
      </c>
      <c r="L1728" s="17">
        <f>IFERROR(__xludf.DUMMYFUNCTION("AVERAGE(QUERY(SORT(GOOGLEFINANCE(B1728,""price"",TODAY()-365,TODAY()),1,0),""select Col2 limit 90""))"),131.14299999999994)</f>
        <v>131.143</v>
      </c>
      <c r="M1728" s="17">
        <f>IFERROR(__xludf.DUMMYFUNCTION("AVERAGE(QUERY(SORT(GOOGLEFINANCE(B1728,""price"",TODAY()-365,TODAY()),1,0),""select Col2 limit 120""))"),131.51949999999994)</f>
        <v>131.5195</v>
      </c>
      <c r="N1728" s="19">
        <f>IFERROR(__xludf.DUMMYFUNCTION("AVERAGE(QUERY(SORT(GOOGLEFINANCE(B1728,""price"",TODAY()-365,TODAY()),1,0),""select Col2 limit 200""))"),137.2551)</f>
        <v>137.2551</v>
      </c>
      <c r="O1728" s="20" t="str">
        <f t="shared" si="2"/>
        <v>Avoid</v>
      </c>
      <c r="P1728" s="21" t="str">
        <f t="shared" si="3"/>
        <v/>
      </c>
      <c r="Q1728" s="21" t="str">
        <f t="shared" si="4"/>
        <v/>
      </c>
      <c r="R1728" s="22">
        <f>IFERROR(__xludf.DUMMYFUNCTION("GOOGLEFINANCE(B1728, ""pe"")
"),99.18)</f>
        <v>99.18</v>
      </c>
    </row>
    <row r="1729">
      <c r="A1729" s="9" t="s">
        <v>1737</v>
      </c>
      <c r="B1729" s="11" t="str">
        <f t="shared" si="1"/>
        <v>NSE:MAHESHWARI</v>
      </c>
      <c r="C1729" s="12">
        <f>IFERROR(__xludf.DUMMYFUNCTION("GOOGLEFINANCE(B1729,""marketcap"")/10000000"),176.5939549)</f>
        <v>176.5939549</v>
      </c>
      <c r="D1729" s="13">
        <f>IFERROR(__xludf.DUMMYFUNCTION("GOOGLEFINANCE(B1729,""price"")"),60.41)</f>
        <v>60.41</v>
      </c>
      <c r="E1729" s="14">
        <f>IFERROR(__xludf.DUMMYFUNCTION("GOOGLEFINANCE(B1729,""Volume"")"),6511.0)</f>
        <v>6511</v>
      </c>
      <c r="F1729" s="14">
        <f t="array" ref="F1729">F1728</f>
        <v>14</v>
      </c>
      <c r="G1729" s="15" t="str">
        <f>IFERROR(__xludf.DUMMYFUNCTION("IF(E1729&gt;AVERAGE(INDEX(GOOGLEFINANCE(B1729,""volume"",WORKDAY(TODAY(),-$F$1),TODAY()),,2)),""Breakout"","""")"),"")</f>
        <v/>
      </c>
      <c r="H1729" s="16">
        <f>IFERROR(__xludf.DUMMYFUNCTION("GOOGLEFINANCE(B1729,""price"")"),60.41)</f>
        <v>60.41</v>
      </c>
      <c r="I1729" s="17">
        <f>IFERROR(__xludf.DUMMYFUNCTION("AVERAGE(QUERY(SORT(GOOGLEFINANCE(B1729,""price"",TODAY()-365,TODAY()),1,0),""select Col2 limit 10""))"),61.324)</f>
        <v>61.324</v>
      </c>
      <c r="J1729" s="17">
        <f>IFERROR(__xludf.DUMMYFUNCTION("AVERAGE(QUERY(SORT(GOOGLEFINANCE(B1729,""price"",TODAY()-365,TODAY()),1,0),""select Col2 limit 30""))"),59.705000000000005)</f>
        <v>59.705</v>
      </c>
      <c r="K1729" s="18">
        <f>IFERROR(__xludf.DUMMYFUNCTION("AVERAGE(QUERY(SORT(GOOGLEFINANCE(B1729,""price"",TODAY()-365,TODAY()),1,0),""select Col2 limit 60""))"),58.80983333333333)</f>
        <v>58.80983333</v>
      </c>
      <c r="L1729" s="17">
        <f>IFERROR(__xludf.DUMMYFUNCTION("AVERAGE(QUERY(SORT(GOOGLEFINANCE(B1729,""price"",TODAY()-365,TODAY()),1,0),""select Col2 limit 90""))"),58.24633333333335)</f>
        <v>58.24633333</v>
      </c>
      <c r="M1729" s="17">
        <f>IFERROR(__xludf.DUMMYFUNCTION("AVERAGE(QUERY(SORT(GOOGLEFINANCE(B1729,""price"",TODAY()-365,TODAY()),1,0),""select Col2 limit 120""))"),58.49725000000002)</f>
        <v>58.49725</v>
      </c>
      <c r="N1729" s="19">
        <f>IFERROR(__xludf.DUMMYFUNCTION("AVERAGE(QUERY(SORT(GOOGLEFINANCE(B1729,""price"",TODAY()-365,TODAY()),1,0),""select Col2 limit 200""))"),59.92359999999999)</f>
        <v>59.9236</v>
      </c>
      <c r="O1729" s="20" t="str">
        <f t="shared" si="2"/>
        <v>Avoid</v>
      </c>
      <c r="P1729" s="21" t="str">
        <f t="shared" si="3"/>
        <v/>
      </c>
      <c r="Q1729" s="21" t="str">
        <f t="shared" si="4"/>
        <v/>
      </c>
      <c r="R1729" s="22">
        <f>IFERROR(__xludf.DUMMYFUNCTION("GOOGLEFINANCE(B1729, ""pe"")
"),9.85)</f>
        <v>9.85</v>
      </c>
    </row>
    <row r="1730">
      <c r="A1730" s="9" t="s">
        <v>1738</v>
      </c>
      <c r="B1730" s="11" t="str">
        <f t="shared" si="1"/>
        <v>NSE:EMMBI</v>
      </c>
      <c r="C1730" s="12">
        <f>IFERROR(__xludf.DUMMYFUNCTION("GOOGLEFINANCE(B1730,""marketcap"")/10000000"),214.7677821)</f>
        <v>214.7677821</v>
      </c>
      <c r="D1730" s="13">
        <f>IFERROR(__xludf.DUMMYFUNCTION("GOOGLEFINANCE(B1730,""price"")"),111.32)</f>
        <v>111.32</v>
      </c>
      <c r="E1730" s="14">
        <f>IFERROR(__xludf.DUMMYFUNCTION("GOOGLEFINANCE(B1730,""Volume"")"),10006.0)</f>
        <v>10006</v>
      </c>
      <c r="F1730" s="14">
        <f t="array" ref="F1730">F1729</f>
        <v>14</v>
      </c>
      <c r="G1730" s="15" t="str">
        <f>IFERROR(__xludf.DUMMYFUNCTION("IF(E1730&gt;AVERAGE(INDEX(GOOGLEFINANCE(B1730,""volume"",WORKDAY(TODAY(),-$F$1),TODAY()),,2)),""Breakout"","""")"),"")</f>
        <v/>
      </c>
      <c r="H1730" s="16">
        <f>IFERROR(__xludf.DUMMYFUNCTION("GOOGLEFINANCE(B1730,""price"")"),111.32)</f>
        <v>111.32</v>
      </c>
      <c r="I1730" s="17">
        <f>IFERROR(__xludf.DUMMYFUNCTION("AVERAGE(QUERY(SORT(GOOGLEFINANCE(B1730,""price"",TODAY()-365,TODAY()),1,0),""select Col2 limit 10""))"),110.31099999999999)</f>
        <v>110.311</v>
      </c>
      <c r="J1730" s="17">
        <f>IFERROR(__xludf.DUMMYFUNCTION("AVERAGE(QUERY(SORT(GOOGLEFINANCE(B1730,""price"",TODAY()-365,TODAY()),1,0),""select Col2 limit 30""))"),110.24466666666665)</f>
        <v>110.2446667</v>
      </c>
      <c r="K1730" s="18">
        <f>IFERROR(__xludf.DUMMYFUNCTION("AVERAGE(QUERY(SORT(GOOGLEFINANCE(B1730,""price"",TODAY()-365,TODAY()),1,0),""select Col2 limit 60""))"),111.71433333333331)</f>
        <v>111.7143333</v>
      </c>
      <c r="L1730" s="17">
        <f>IFERROR(__xludf.DUMMYFUNCTION("AVERAGE(QUERY(SORT(GOOGLEFINANCE(B1730,""price"",TODAY()-365,TODAY()),1,0),""select Col2 limit 90""))"),107.44600000000001)</f>
        <v>107.446</v>
      </c>
      <c r="M1730" s="17">
        <f>IFERROR(__xludf.DUMMYFUNCTION("AVERAGE(QUERY(SORT(GOOGLEFINANCE(B1730,""price"",TODAY()-365,TODAY()),1,0),""select Col2 limit 120""))"),108.16233333333336)</f>
        <v>108.1623333</v>
      </c>
      <c r="N1730" s="19">
        <f>IFERROR(__xludf.DUMMYFUNCTION("AVERAGE(QUERY(SORT(GOOGLEFINANCE(B1730,""price"",TODAY()-365,TODAY()),1,0),""select Col2 limit 200""))"),121.06649999999996)</f>
        <v>121.0665</v>
      </c>
      <c r="O1730" s="20" t="str">
        <f t="shared" si="2"/>
        <v>Avoid</v>
      </c>
      <c r="P1730" s="21" t="str">
        <f t="shared" si="3"/>
        <v>60 DMA</v>
      </c>
      <c r="Q1730" s="21" t="str">
        <f t="shared" si="4"/>
        <v/>
      </c>
      <c r="R1730" s="22">
        <f>IFERROR(__xludf.DUMMYFUNCTION("GOOGLEFINANCE(B1730, ""pe"")
"),34.36)</f>
        <v>34.36</v>
      </c>
    </row>
    <row r="1731">
      <c r="A1731" s="9" t="s">
        <v>1739</v>
      </c>
      <c r="B1731" s="11" t="str">
        <f t="shared" si="1"/>
        <v>NSE:ANMOL</v>
      </c>
      <c r="C1731" s="12">
        <f>IFERROR(__xludf.DUMMYFUNCTION("GOOGLEFINANCE(B1731,""marketcap"")/10000000"),91.1195554)</f>
        <v>91.1195554</v>
      </c>
      <c r="D1731" s="13">
        <f>IFERROR(__xludf.DUMMYFUNCTION("GOOGLEFINANCE(B1731,""price"")"),16.0)</f>
        <v>16</v>
      </c>
      <c r="E1731" s="14">
        <f>IFERROR(__xludf.DUMMYFUNCTION("GOOGLEFINANCE(B1731,""Volume"")"),17375.0)</f>
        <v>17375</v>
      </c>
      <c r="F1731" s="14">
        <f t="array" ref="F1731">F1730</f>
        <v>14</v>
      </c>
      <c r="G1731" s="15" t="str">
        <f>IFERROR(__xludf.DUMMYFUNCTION("IF(E1731&gt;AVERAGE(INDEX(GOOGLEFINANCE(B1731,""volume"",WORKDAY(TODAY(),-$F$1),TODAY()),,2)),""Breakout"","""")"),"")</f>
        <v/>
      </c>
      <c r="H1731" s="16">
        <f>IFERROR(__xludf.DUMMYFUNCTION("GOOGLEFINANCE(B1731,""price"")"),16.0)</f>
        <v>16</v>
      </c>
      <c r="I1731" s="17">
        <f>IFERROR(__xludf.DUMMYFUNCTION("AVERAGE(QUERY(SORT(GOOGLEFINANCE(B1731,""price"",TODAY()-365,TODAY()),1,0),""select Col2 limit 10""))"),16.891000000000002)</f>
        <v>16.891</v>
      </c>
      <c r="J1731" s="17">
        <f>IFERROR(__xludf.DUMMYFUNCTION("AVERAGE(QUERY(SORT(GOOGLEFINANCE(B1731,""price"",TODAY()-365,TODAY()),1,0),""select Col2 limit 30""))"),17.401666666666667)</f>
        <v>17.40166667</v>
      </c>
      <c r="K1731" s="18">
        <f>IFERROR(__xludf.DUMMYFUNCTION("AVERAGE(QUERY(SORT(GOOGLEFINANCE(B1731,""price"",TODAY()-365,TODAY()),1,0),""select Col2 limit 60""))"),17.4485)</f>
        <v>17.4485</v>
      </c>
      <c r="L1731" s="17">
        <f>IFERROR(__xludf.DUMMYFUNCTION("AVERAGE(QUERY(SORT(GOOGLEFINANCE(B1731,""price"",TODAY()-365,TODAY()),1,0),""select Col2 limit 90""))"),17.01977777777778)</f>
        <v>17.01977778</v>
      </c>
      <c r="M1731" s="17">
        <f>IFERROR(__xludf.DUMMYFUNCTION("AVERAGE(QUERY(SORT(GOOGLEFINANCE(B1731,""price"",TODAY()-365,TODAY()),1,0),""select Col2 limit 120""))"),17.514999999999997)</f>
        <v>17.515</v>
      </c>
      <c r="N1731" s="19">
        <f>IFERROR(__xludf.DUMMYFUNCTION("AVERAGE(QUERY(SORT(GOOGLEFINANCE(B1731,""price"",TODAY()-365,TODAY()),1,0),""select Col2 limit 200""))"),21.769650000000006)</f>
        <v>21.76965</v>
      </c>
      <c r="O1731" s="20" t="str">
        <f t="shared" si="2"/>
        <v>Avoid</v>
      </c>
      <c r="P1731" s="21" t="str">
        <f t="shared" si="3"/>
        <v/>
      </c>
      <c r="Q1731" s="21" t="str">
        <f t="shared" si="4"/>
        <v/>
      </c>
      <c r="R1731" s="22">
        <f>IFERROR(__xludf.DUMMYFUNCTION("GOOGLEFINANCE(B1731, ""pe"")
"),13.01)</f>
        <v>13.01</v>
      </c>
    </row>
    <row r="1732">
      <c r="A1732" s="9" t="s">
        <v>1740</v>
      </c>
      <c r="B1732" s="11" t="str">
        <f t="shared" si="1"/>
        <v>NSE:GILLANDERS</v>
      </c>
      <c r="C1732" s="12">
        <f>IFERROR(__xludf.DUMMYFUNCTION("GOOGLEFINANCE(B1732,""marketcap"")/10000000"),297.6829492)</f>
        <v>297.6829492</v>
      </c>
      <c r="D1732" s="13">
        <f>IFERROR(__xludf.DUMMYFUNCTION("GOOGLEFINANCE(B1732,""price"")"),139.1)</f>
        <v>139.1</v>
      </c>
      <c r="E1732" s="14">
        <f>IFERROR(__xludf.DUMMYFUNCTION("GOOGLEFINANCE(B1732,""Volume"")"),75895.0)</f>
        <v>75895</v>
      </c>
      <c r="F1732" s="14">
        <f t="array" ref="F1732">F1731</f>
        <v>14</v>
      </c>
      <c r="G1732" s="15" t="str">
        <f>IFERROR(__xludf.DUMMYFUNCTION("IF(E1732&gt;AVERAGE(INDEX(GOOGLEFINANCE(B1732,""volume"",WORKDAY(TODAY(),-$F$1),TODAY()),,2)),""Breakout"","""")"),"Breakout")</f>
        <v>Breakout</v>
      </c>
      <c r="H1732" s="16">
        <f>IFERROR(__xludf.DUMMYFUNCTION("GOOGLEFINANCE(B1732,""price"")"),139.1)</f>
        <v>139.1</v>
      </c>
      <c r="I1732" s="17">
        <f>IFERROR(__xludf.DUMMYFUNCTION("AVERAGE(QUERY(SORT(GOOGLEFINANCE(B1732,""price"",TODAY()-365,TODAY()),1,0),""select Col2 limit 10""))"),131.276)</f>
        <v>131.276</v>
      </c>
      <c r="J1732" s="17">
        <f>IFERROR(__xludf.DUMMYFUNCTION("AVERAGE(QUERY(SORT(GOOGLEFINANCE(B1732,""price"",TODAY()-365,TODAY()),1,0),""select Col2 limit 30""))"),134.15433333333334)</f>
        <v>134.1543333</v>
      </c>
      <c r="K1732" s="18">
        <f>IFERROR(__xludf.DUMMYFUNCTION("AVERAGE(QUERY(SORT(GOOGLEFINANCE(B1732,""price"",TODAY()-365,TODAY()),1,0),""select Col2 limit 60""))"),127.3776666666667)</f>
        <v>127.3776667</v>
      </c>
      <c r="L1732" s="17">
        <f>IFERROR(__xludf.DUMMYFUNCTION("AVERAGE(QUERY(SORT(GOOGLEFINANCE(B1732,""price"",TODAY()-365,TODAY()),1,0),""select Col2 limit 90""))"),119.30011111111118)</f>
        <v>119.3001111</v>
      </c>
      <c r="M1732" s="17">
        <f>IFERROR(__xludf.DUMMYFUNCTION("AVERAGE(QUERY(SORT(GOOGLEFINANCE(B1732,""price"",TODAY()-365,TODAY()),1,0),""select Col2 limit 120""))"),116.41916666666673)</f>
        <v>116.4191667</v>
      </c>
      <c r="N1732" s="19">
        <f>IFERROR(__xludf.DUMMYFUNCTION("AVERAGE(QUERY(SORT(GOOGLEFINANCE(B1732,""price"",TODAY()-365,TODAY()),1,0),""select Col2 limit 200""))"),114.15760000000004)</f>
        <v>114.1576</v>
      </c>
      <c r="O1732" s="20" t="str">
        <f t="shared" si="2"/>
        <v>Avoid</v>
      </c>
      <c r="P1732" s="21" t="str">
        <f t="shared" si="3"/>
        <v/>
      </c>
      <c r="Q1732" s="21" t="str">
        <f t="shared" si="4"/>
        <v/>
      </c>
      <c r="R1732" s="22">
        <f>IFERROR(__xludf.DUMMYFUNCTION("GOOGLEFINANCE(B1732, ""pe"")
"),11.14)</f>
        <v>11.14</v>
      </c>
    </row>
    <row r="1733">
      <c r="A1733" s="9" t="s">
        <v>1741</v>
      </c>
      <c r="B1733" s="11" t="str">
        <f t="shared" si="1"/>
        <v>NSE:NIRAJ</v>
      </c>
      <c r="C1733" s="12">
        <f>IFERROR(__xludf.DUMMYFUNCTION("GOOGLEFINANCE(B1733,""marketcap"")/10000000"),303.3069497)</f>
        <v>303.3069497</v>
      </c>
      <c r="D1733" s="13">
        <f>IFERROR(__xludf.DUMMYFUNCTION("GOOGLEFINANCE(B1733,""price"")"),50.5)</f>
        <v>50.5</v>
      </c>
      <c r="E1733" s="14">
        <f>IFERROR(__xludf.DUMMYFUNCTION("GOOGLEFINANCE(B1733,""Volume"")"),8392.0)</f>
        <v>8392</v>
      </c>
      <c r="F1733" s="14">
        <f t="array" ref="F1733">F1732</f>
        <v>14</v>
      </c>
      <c r="G1733" s="15" t="str">
        <f>IFERROR(__xludf.DUMMYFUNCTION("IF(E1733&gt;AVERAGE(INDEX(GOOGLEFINANCE(B1733,""volume"",WORKDAY(TODAY(),-$F$1),TODAY()),,2)),""Breakout"","""")"),"")</f>
        <v/>
      </c>
      <c r="H1733" s="16">
        <f>IFERROR(__xludf.DUMMYFUNCTION("GOOGLEFINANCE(B1733,""price"")"),50.5)</f>
        <v>50.5</v>
      </c>
      <c r="I1733" s="17">
        <f>IFERROR(__xludf.DUMMYFUNCTION("AVERAGE(QUERY(SORT(GOOGLEFINANCE(B1733,""price"",TODAY()-365,TODAY()),1,0),""select Col2 limit 10""))"),51.86400000000001)</f>
        <v>51.864</v>
      </c>
      <c r="J1733" s="17">
        <f>IFERROR(__xludf.DUMMYFUNCTION("AVERAGE(QUERY(SORT(GOOGLEFINANCE(B1733,""price"",TODAY()-365,TODAY()),1,0),""select Col2 limit 30""))"),53.24800000000001)</f>
        <v>53.248</v>
      </c>
      <c r="K1733" s="18">
        <f>IFERROR(__xludf.DUMMYFUNCTION("AVERAGE(QUERY(SORT(GOOGLEFINANCE(B1733,""price"",TODAY()-365,TODAY()),1,0),""select Col2 limit 60""))"),55.23166666666667)</f>
        <v>55.23166667</v>
      </c>
      <c r="L1733" s="17">
        <f>IFERROR(__xludf.DUMMYFUNCTION("AVERAGE(QUERY(SORT(GOOGLEFINANCE(B1733,""price"",TODAY()-365,TODAY()),1,0),""select Col2 limit 90""))"),56.256)</f>
        <v>56.256</v>
      </c>
      <c r="M1733" s="17">
        <f>IFERROR(__xludf.DUMMYFUNCTION("AVERAGE(QUERY(SORT(GOOGLEFINANCE(B1733,""price"",TODAY()-365,TODAY()),1,0),""select Col2 limit 120""))"),55.11908333333335)</f>
        <v>55.11908333</v>
      </c>
      <c r="N1733" s="19">
        <f>IFERROR(__xludf.DUMMYFUNCTION("AVERAGE(QUERY(SORT(GOOGLEFINANCE(B1733,""price"",TODAY()-365,TODAY()),1,0),""select Col2 limit 200""))"),58.157950000000035)</f>
        <v>58.15795</v>
      </c>
      <c r="O1733" s="20" t="str">
        <f t="shared" si="2"/>
        <v>Avoid</v>
      </c>
      <c r="P1733" s="21" t="str">
        <f t="shared" si="3"/>
        <v/>
      </c>
      <c r="Q1733" s="21" t="str">
        <f t="shared" si="4"/>
        <v/>
      </c>
      <c r="R1733" s="22">
        <f>IFERROR(__xludf.DUMMYFUNCTION("GOOGLEFINANCE(B1733, ""pe"")
"),16.89)</f>
        <v>16.89</v>
      </c>
    </row>
    <row r="1734">
      <c r="A1734" s="9" t="s">
        <v>1742</v>
      </c>
      <c r="B1734" s="11" t="str">
        <f t="shared" si="1"/>
        <v>NSE:DCM</v>
      </c>
      <c r="C1734" s="12">
        <f>IFERROR(__xludf.DUMMYFUNCTION("GOOGLEFINANCE(B1734,""marketcap"")/10000000"),202.7281916)</f>
        <v>202.7281916</v>
      </c>
      <c r="D1734" s="13">
        <f>IFERROR(__xludf.DUMMYFUNCTION("GOOGLEFINANCE(B1734,""price"")"),108.5)</f>
        <v>108.5</v>
      </c>
      <c r="E1734" s="14">
        <f>IFERROR(__xludf.DUMMYFUNCTION("GOOGLEFINANCE(B1734,""Volume"")"),10356.0)</f>
        <v>10356</v>
      </c>
      <c r="F1734" s="14">
        <f t="array" ref="F1734">F1733</f>
        <v>14</v>
      </c>
      <c r="G1734" s="15" t="str">
        <f>IFERROR(__xludf.DUMMYFUNCTION("IF(E1734&gt;AVERAGE(INDEX(GOOGLEFINANCE(B1734,""volume"",WORKDAY(TODAY(),-$F$1),TODAY()),,2)),""Breakout"","""")"),"")</f>
        <v/>
      </c>
      <c r="H1734" s="16">
        <f>IFERROR(__xludf.DUMMYFUNCTION("GOOGLEFINANCE(B1734,""price"")"),108.5)</f>
        <v>108.5</v>
      </c>
      <c r="I1734" s="17">
        <f>IFERROR(__xludf.DUMMYFUNCTION("AVERAGE(QUERY(SORT(GOOGLEFINANCE(B1734,""price"",TODAY()-365,TODAY()),1,0),""select Col2 limit 10""))"),113.426)</f>
        <v>113.426</v>
      </c>
      <c r="J1734" s="17">
        <f>IFERROR(__xludf.DUMMYFUNCTION("AVERAGE(QUERY(SORT(GOOGLEFINANCE(B1734,""price"",TODAY()-365,TODAY()),1,0),""select Col2 limit 30""))"),108.96133333333333)</f>
        <v>108.9613333</v>
      </c>
      <c r="K1734" s="18">
        <f>IFERROR(__xludf.DUMMYFUNCTION("AVERAGE(QUERY(SORT(GOOGLEFINANCE(B1734,""price"",TODAY()-365,TODAY()),1,0),""select Col2 limit 60""))"),107.10883333333337)</f>
        <v>107.1088333</v>
      </c>
      <c r="L1734" s="17">
        <f>IFERROR(__xludf.DUMMYFUNCTION("AVERAGE(QUERY(SORT(GOOGLEFINANCE(B1734,""price"",TODAY()-365,TODAY()),1,0),""select Col2 limit 90""))"),105.11855555555557)</f>
        <v>105.1185556</v>
      </c>
      <c r="M1734" s="17">
        <f>IFERROR(__xludf.DUMMYFUNCTION("AVERAGE(QUERY(SORT(GOOGLEFINANCE(B1734,""price"",TODAY()-365,TODAY()),1,0),""select Col2 limit 120""))"),103.98225000000002)</f>
        <v>103.98225</v>
      </c>
      <c r="N1734" s="19">
        <f>IFERROR(__xludf.DUMMYFUNCTION("AVERAGE(QUERY(SORT(GOOGLEFINANCE(B1734,""price"",TODAY()-365,TODAY()),1,0),""select Col2 limit 200""))"),101.98630000000004)</f>
        <v>101.9863</v>
      </c>
      <c r="O1734" s="20" t="str">
        <f t="shared" si="2"/>
        <v>Avoid</v>
      </c>
      <c r="P1734" s="21" t="str">
        <f t="shared" si="3"/>
        <v>30 DMA</v>
      </c>
      <c r="Q1734" s="21" t="str">
        <f t="shared" si="4"/>
        <v/>
      </c>
      <c r="R1734" s="22">
        <f>IFERROR(__xludf.DUMMYFUNCTION("GOOGLEFINANCE(B1734, ""pe"")
"),9.27)</f>
        <v>9.27</v>
      </c>
    </row>
    <row r="1735">
      <c r="A1735" s="9" t="s">
        <v>1743</v>
      </c>
      <c r="B1735" s="11" t="str">
        <f t="shared" si="1"/>
        <v>NSE:ALPA</v>
      </c>
      <c r="C1735" s="12">
        <f>IFERROR(__xludf.DUMMYFUNCTION("GOOGLEFINANCE(B1735,""marketcap"")/10000000"),212.6151683)</f>
        <v>212.6151683</v>
      </c>
      <c r="D1735" s="13">
        <f>IFERROR(__xludf.DUMMYFUNCTION("GOOGLEFINANCE(B1735,""price"")"),101.69)</f>
        <v>101.69</v>
      </c>
      <c r="E1735" s="14">
        <f>IFERROR(__xludf.DUMMYFUNCTION("GOOGLEFINANCE(B1735,""Volume"")"),7071.0)</f>
        <v>7071</v>
      </c>
      <c r="F1735" s="14">
        <f t="array" ref="F1735">F1734</f>
        <v>14</v>
      </c>
      <c r="G1735" s="15" t="str">
        <f>IFERROR(__xludf.DUMMYFUNCTION("IF(E1735&gt;AVERAGE(INDEX(GOOGLEFINANCE(B1735,""volume"",WORKDAY(TODAY(),-$F$1),TODAY()),,2)),""Breakout"","""")"),"")</f>
        <v/>
      </c>
      <c r="H1735" s="16">
        <f>IFERROR(__xludf.DUMMYFUNCTION("GOOGLEFINANCE(B1735,""price"")"),101.69)</f>
        <v>101.69</v>
      </c>
      <c r="I1735" s="17">
        <f>IFERROR(__xludf.DUMMYFUNCTION("AVERAGE(QUERY(SORT(GOOGLEFINANCE(B1735,""price"",TODAY()-365,TODAY()),1,0),""select Col2 limit 10""))"),103.39100000000003)</f>
        <v>103.391</v>
      </c>
      <c r="J1735" s="17">
        <f>IFERROR(__xludf.DUMMYFUNCTION("AVERAGE(QUERY(SORT(GOOGLEFINANCE(B1735,""price"",TODAY()-365,TODAY()),1,0),""select Col2 limit 30""))"),101.83199999999998)</f>
        <v>101.832</v>
      </c>
      <c r="K1735" s="18">
        <f>IFERROR(__xludf.DUMMYFUNCTION("AVERAGE(QUERY(SORT(GOOGLEFINANCE(B1735,""price"",TODAY()-365,TODAY()),1,0),""select Col2 limit 60""))"),102.89583333333333)</f>
        <v>102.8958333</v>
      </c>
      <c r="L1735" s="17">
        <f>IFERROR(__xludf.DUMMYFUNCTION("AVERAGE(QUERY(SORT(GOOGLEFINANCE(B1735,""price"",TODAY()-365,TODAY()),1,0),""select Col2 limit 90""))"),104.469)</f>
        <v>104.469</v>
      </c>
      <c r="M1735" s="17">
        <f>IFERROR(__xludf.DUMMYFUNCTION("AVERAGE(QUERY(SORT(GOOGLEFINANCE(B1735,""price"",TODAY()-365,TODAY()),1,0),""select Col2 limit 120""))"),105.42091666666666)</f>
        <v>105.4209167</v>
      </c>
      <c r="N1735" s="19">
        <f>IFERROR(__xludf.DUMMYFUNCTION("AVERAGE(QUERY(SORT(GOOGLEFINANCE(B1735,""price"",TODAY()-365,TODAY()),1,0),""select Col2 limit 200""))"),110.30099999999999)</f>
        <v>110.301</v>
      </c>
      <c r="O1735" s="20" t="str">
        <f t="shared" si="2"/>
        <v>Avoid</v>
      </c>
      <c r="P1735" s="21" t="str">
        <f t="shared" si="3"/>
        <v>30 DMA</v>
      </c>
      <c r="Q1735" s="21" t="str">
        <f t="shared" si="4"/>
        <v/>
      </c>
      <c r="R1735" s="22">
        <f>IFERROR(__xludf.DUMMYFUNCTION("GOOGLEFINANCE(B1735, ""pe"")
"),10.82)</f>
        <v>10.82</v>
      </c>
    </row>
    <row r="1736">
      <c r="A1736" s="9" t="s">
        <v>1744</v>
      </c>
      <c r="B1736" s="11" t="str">
        <f t="shared" si="1"/>
        <v>NSE:SPYL</v>
      </c>
      <c r="C1736" s="12" t="str">
        <f>IFERROR(__xludf.DUMMYFUNCTION("GOOGLEFINANCE(B1736,""marketcap"")/10000000"),"#N/A")</f>
        <v>#N/A</v>
      </c>
      <c r="D1736" s="13" t="str">
        <f>IFERROR(__xludf.DUMMYFUNCTION("GOOGLEFINANCE(B1736,""price"")"),"#N/A")</f>
        <v>#N/A</v>
      </c>
      <c r="E1736" s="14" t="str">
        <f>IFERROR(__xludf.DUMMYFUNCTION("GOOGLEFINANCE(B1736,""Volume"")"),"#N/A")</f>
        <v>#N/A</v>
      </c>
      <c r="F1736" s="14">
        <f t="array" ref="F1736">F1735</f>
        <v>14</v>
      </c>
      <c r="G1736" s="15" t="str">
        <f>IFERROR(__xludf.DUMMYFUNCTION("IF(E1736&gt;AVERAGE(INDEX(GOOGLEFINANCE(B1736,""volume"",WORKDAY(TODAY(),-$F$1),TODAY()),,2)),""Breakout"","""")"),"#N/A")</f>
        <v>#N/A</v>
      </c>
      <c r="H1736" s="16" t="str">
        <f>IFERROR(__xludf.DUMMYFUNCTION("GOOGLEFINANCE(B1736,""price"")"),"#N/A")</f>
        <v>#N/A</v>
      </c>
      <c r="I1736" s="17" t="str">
        <f>IFERROR(__xludf.DUMMYFUNCTION("AVERAGE(QUERY(SORT(GOOGLEFINANCE(B1736,""price"",TODAY()-365,TODAY()),1,0),""select Col2 limit 10""))"),"#N/A")</f>
        <v>#N/A</v>
      </c>
      <c r="J1736" s="17" t="str">
        <f>IFERROR(__xludf.DUMMYFUNCTION("AVERAGE(QUERY(SORT(GOOGLEFINANCE(B1736,""price"",TODAY()-365,TODAY()),1,0),""select Col2 limit 30""))"),"#N/A")</f>
        <v>#N/A</v>
      </c>
      <c r="K1736" s="18" t="str">
        <f>IFERROR(__xludf.DUMMYFUNCTION("AVERAGE(QUERY(SORT(GOOGLEFINANCE(B1736,""price"",TODAY()-365,TODAY()),1,0),""select Col2 limit 60""))"),"#N/A")</f>
        <v>#N/A</v>
      </c>
      <c r="L1736" s="17" t="str">
        <f>IFERROR(__xludf.DUMMYFUNCTION("AVERAGE(QUERY(SORT(GOOGLEFINANCE(B1736,""price"",TODAY()-365,TODAY()),1,0),""select Col2 limit 90""))"),"#N/A")</f>
        <v>#N/A</v>
      </c>
      <c r="M1736" s="17" t="str">
        <f>IFERROR(__xludf.DUMMYFUNCTION("AVERAGE(QUERY(SORT(GOOGLEFINANCE(B1736,""price"",TODAY()-365,TODAY()),1,0),""select Col2 limit 120""))"),"#N/A")</f>
        <v>#N/A</v>
      </c>
      <c r="N1736" s="19" t="str">
        <f>IFERROR(__xludf.DUMMYFUNCTION("AVERAGE(QUERY(SORT(GOOGLEFINANCE(B1736,""price"",TODAY()-365,TODAY()),1,0),""select Col2 limit 200""))"),"#N/A")</f>
        <v>#N/A</v>
      </c>
      <c r="O1736" s="20" t="str">
        <f t="shared" si="2"/>
        <v>#N/A</v>
      </c>
      <c r="P1736" s="21" t="str">
        <f t="shared" si="3"/>
        <v>#N/A</v>
      </c>
      <c r="Q1736" s="21" t="str">
        <f t="shared" si="4"/>
        <v>#N/A</v>
      </c>
      <c r="R1736" s="22" t="str">
        <f>IFERROR(__xludf.DUMMYFUNCTION("GOOGLEFINANCE(B1736, ""pe"")
"),"#N/A")</f>
        <v>#N/A</v>
      </c>
    </row>
    <row r="1737">
      <c r="A1737" s="9" t="s">
        <v>1745</v>
      </c>
      <c r="B1737" s="11" t="str">
        <f t="shared" si="1"/>
        <v>NSE:KAKATCEM</v>
      </c>
      <c r="C1737" s="12">
        <f>IFERROR(__xludf.DUMMYFUNCTION("GOOGLEFINANCE(B1737,""marketcap"")/10000000"),125.392348)</f>
        <v>125.392348</v>
      </c>
      <c r="D1737" s="13">
        <f>IFERROR(__xludf.DUMMYFUNCTION("GOOGLEFINANCE(B1737,""price"")"),161.3)</f>
        <v>161.3</v>
      </c>
      <c r="E1737" s="14">
        <f>IFERROR(__xludf.DUMMYFUNCTION("GOOGLEFINANCE(B1737,""Volume"")"),1106.0)</f>
        <v>1106</v>
      </c>
      <c r="F1737" s="14">
        <f t="array" ref="F1737">F1736</f>
        <v>14</v>
      </c>
      <c r="G1737" s="15" t="str">
        <f>IFERROR(__xludf.DUMMYFUNCTION("IF(E1737&gt;AVERAGE(INDEX(GOOGLEFINANCE(B1737,""volume"",WORKDAY(TODAY(),-$F$1),TODAY()),,2)),""Breakout"","""")"),"")</f>
        <v/>
      </c>
      <c r="H1737" s="16">
        <f>IFERROR(__xludf.DUMMYFUNCTION("GOOGLEFINANCE(B1737,""price"")"),161.3)</f>
        <v>161.3</v>
      </c>
      <c r="I1737" s="17">
        <f>IFERROR(__xludf.DUMMYFUNCTION("AVERAGE(QUERY(SORT(GOOGLEFINANCE(B1737,""price"",TODAY()-365,TODAY()),1,0),""select Col2 limit 10""))"),167.036)</f>
        <v>167.036</v>
      </c>
      <c r="J1737" s="17">
        <f>IFERROR(__xludf.DUMMYFUNCTION("AVERAGE(QUERY(SORT(GOOGLEFINANCE(B1737,""price"",TODAY()-365,TODAY()),1,0),""select Col2 limit 30""))"),162.33933333333337)</f>
        <v>162.3393333</v>
      </c>
      <c r="K1737" s="18">
        <f>IFERROR(__xludf.DUMMYFUNCTION("AVERAGE(QUERY(SORT(GOOGLEFINANCE(B1737,""price"",TODAY()-365,TODAY()),1,0),""select Col2 limit 60""))"),158.22699999999998)</f>
        <v>158.227</v>
      </c>
      <c r="L1737" s="17">
        <f>IFERROR(__xludf.DUMMYFUNCTION("AVERAGE(QUERY(SORT(GOOGLEFINANCE(B1737,""price"",TODAY()-365,TODAY()),1,0),""select Col2 limit 90""))"),153.88433333333333)</f>
        <v>153.8843333</v>
      </c>
      <c r="M1737" s="17">
        <f>IFERROR(__xludf.DUMMYFUNCTION("AVERAGE(QUERY(SORT(GOOGLEFINANCE(B1737,""price"",TODAY()-365,TODAY()),1,0),""select Col2 limit 120""))"),154.29033333333328)</f>
        <v>154.2903333</v>
      </c>
      <c r="N1737" s="19">
        <f>IFERROR(__xludf.DUMMYFUNCTION("AVERAGE(QUERY(SORT(GOOGLEFINANCE(B1737,""price"",TODAY()-365,TODAY()),1,0),""select Col2 limit 200""))"),169.03634999999994)</f>
        <v>169.03635</v>
      </c>
      <c r="O1737" s="20" t="str">
        <f t="shared" si="2"/>
        <v>Avoid</v>
      </c>
      <c r="P1737" s="21" t="str">
        <f t="shared" si="3"/>
        <v>30 DMA</v>
      </c>
      <c r="Q1737" s="21" t="str">
        <f t="shared" si="4"/>
        <v/>
      </c>
      <c r="R1737" s="22" t="str">
        <f>IFERROR(__xludf.DUMMYFUNCTION("GOOGLEFINANCE(B1737, ""pe"")
"),"#N/A")</f>
        <v>#N/A</v>
      </c>
    </row>
    <row r="1738">
      <c r="A1738" s="9" t="s">
        <v>1746</v>
      </c>
      <c r="B1738" s="11" t="str">
        <f t="shared" si="1"/>
        <v>NSE:TAINWALCHM</v>
      </c>
      <c r="C1738" s="12">
        <f>IFERROR(__xludf.DUMMYFUNCTION("GOOGLEFINANCE(B1738,""marketcap"")/10000000"),230.7621987)</f>
        <v>230.7621987</v>
      </c>
      <c r="D1738" s="13">
        <f>IFERROR(__xludf.DUMMYFUNCTION("GOOGLEFINANCE(B1738,""price"")"),247.21)</f>
        <v>247.21</v>
      </c>
      <c r="E1738" s="14">
        <f>IFERROR(__xludf.DUMMYFUNCTION("GOOGLEFINANCE(B1738,""Volume"")"),24302.0)</f>
        <v>24302</v>
      </c>
      <c r="F1738" s="14">
        <f t="array" ref="F1738">F1737</f>
        <v>14</v>
      </c>
      <c r="G1738" s="15" t="str">
        <f>IFERROR(__xludf.DUMMYFUNCTION("IF(E1738&gt;AVERAGE(INDEX(GOOGLEFINANCE(B1738,""volume"",WORKDAY(TODAY(),-$F$1),TODAY()),,2)),""Breakout"","""")"),"")</f>
        <v/>
      </c>
      <c r="H1738" s="16">
        <f>IFERROR(__xludf.DUMMYFUNCTION("GOOGLEFINANCE(B1738,""price"")"),247.21)</f>
        <v>247.21</v>
      </c>
      <c r="I1738" s="17">
        <f>IFERROR(__xludf.DUMMYFUNCTION("AVERAGE(QUERY(SORT(GOOGLEFINANCE(B1738,""price"",TODAY()-365,TODAY()),1,0),""select Col2 limit 10""))"),226.69)</f>
        <v>226.69</v>
      </c>
      <c r="J1738" s="17">
        <f>IFERROR(__xludf.DUMMYFUNCTION("AVERAGE(QUERY(SORT(GOOGLEFINANCE(B1738,""price"",TODAY()-365,TODAY()),1,0),""select Col2 limit 30""))"),220.7966666666667)</f>
        <v>220.7966667</v>
      </c>
      <c r="K1738" s="18">
        <f>IFERROR(__xludf.DUMMYFUNCTION("AVERAGE(QUERY(SORT(GOOGLEFINANCE(B1738,""price"",TODAY()-365,TODAY()),1,0),""select Col2 limit 60""))"),214.81733333333332)</f>
        <v>214.8173333</v>
      </c>
      <c r="L1738" s="17">
        <f>IFERROR(__xludf.DUMMYFUNCTION("AVERAGE(QUERY(SORT(GOOGLEFINANCE(B1738,""price"",TODAY()-365,TODAY()),1,0),""select Col2 limit 90""))"),216.46944444444432)</f>
        <v>216.4694444</v>
      </c>
      <c r="M1738" s="17">
        <f>IFERROR(__xludf.DUMMYFUNCTION("AVERAGE(QUERY(SORT(GOOGLEFINANCE(B1738,""price"",TODAY()-365,TODAY()),1,0),""select Col2 limit 120""))"),221.00658333333328)</f>
        <v>221.0065833</v>
      </c>
      <c r="N1738" s="19">
        <f>IFERROR(__xludf.DUMMYFUNCTION("AVERAGE(QUERY(SORT(GOOGLEFINANCE(B1738,""price"",TODAY()-365,TODAY()),1,0),""select Col2 limit 200""))"),244.21569999999997)</f>
        <v>244.2157</v>
      </c>
      <c r="O1738" s="20" t="str">
        <f t="shared" si="2"/>
        <v>Avoid</v>
      </c>
      <c r="P1738" s="21" t="str">
        <f t="shared" si="3"/>
        <v/>
      </c>
      <c r="Q1738" s="21" t="str">
        <f t="shared" si="4"/>
        <v/>
      </c>
      <c r="R1738" s="22">
        <f>IFERROR(__xludf.DUMMYFUNCTION("GOOGLEFINANCE(B1738, ""pe"")
"),47.09)</f>
        <v>47.09</v>
      </c>
    </row>
    <row r="1739">
      <c r="A1739" s="9" t="s">
        <v>1747</v>
      </c>
      <c r="B1739" s="11" t="str">
        <f t="shared" si="1"/>
        <v>NSE:SEMAC</v>
      </c>
      <c r="C1739" s="12">
        <f>IFERROR(__xludf.DUMMYFUNCTION("GOOGLEFINANCE(B1739,""marketcap"")/10000000"),170.0647)</f>
        <v>170.0647</v>
      </c>
      <c r="D1739" s="13">
        <f>IFERROR(__xludf.DUMMYFUNCTION("GOOGLEFINANCE(B1739,""price"")"),530.0)</f>
        <v>530</v>
      </c>
      <c r="E1739" s="14">
        <f>IFERROR(__xludf.DUMMYFUNCTION("GOOGLEFINANCE(B1739,""Volume"")"),734.0)</f>
        <v>734</v>
      </c>
      <c r="F1739" s="14">
        <f t="array" ref="F1739">F1738</f>
        <v>14</v>
      </c>
      <c r="G1739" s="15" t="str">
        <f>IFERROR(__xludf.DUMMYFUNCTION("IF(E1739&gt;AVERAGE(INDEX(GOOGLEFINANCE(B1739,""volume"",WORKDAY(TODAY(),-$F$1),TODAY()),,2)),""Breakout"","""")"),"")</f>
        <v/>
      </c>
      <c r="H1739" s="16">
        <f>IFERROR(__xludf.DUMMYFUNCTION("GOOGLEFINANCE(B1739,""price"")"),530.0)</f>
        <v>530</v>
      </c>
      <c r="I1739" s="17">
        <f>IFERROR(__xludf.DUMMYFUNCTION("AVERAGE(QUERY(SORT(GOOGLEFINANCE(B1739,""price"",TODAY()-365,TODAY()),1,0),""select Col2 limit 10""))"),542.6850000000001)</f>
        <v>542.685</v>
      </c>
      <c r="J1739" s="17">
        <f>IFERROR(__xludf.DUMMYFUNCTION("AVERAGE(QUERY(SORT(GOOGLEFINANCE(B1739,""price"",TODAY()-365,TODAY()),1,0),""select Col2 limit 30""))"),489.8300000000001)</f>
        <v>489.83</v>
      </c>
      <c r="K1739" s="18">
        <f>IFERROR(__xludf.DUMMYFUNCTION("AVERAGE(QUERY(SORT(GOOGLEFINANCE(B1739,""price"",TODAY()-365,TODAY()),1,0),""select Col2 limit 60""))"),428.44166666666666)</f>
        <v>428.4416667</v>
      </c>
      <c r="L1739" s="17">
        <f>IFERROR(__xludf.DUMMYFUNCTION("AVERAGE(QUERY(SORT(GOOGLEFINANCE(B1739,""price"",TODAY()-365,TODAY()),1,0),""select Col2 limit 90""))"),395.9411111111109)</f>
        <v>395.9411111</v>
      </c>
      <c r="M1739" s="17">
        <f>IFERROR(__xludf.DUMMYFUNCTION("AVERAGE(QUERY(SORT(GOOGLEFINANCE(B1739,""price"",TODAY()-365,TODAY()),1,0),""select Col2 limit 120""))"),376.91708333333315)</f>
        <v>376.9170833</v>
      </c>
      <c r="N1739" s="19">
        <f>IFERROR(__xludf.DUMMYFUNCTION("AVERAGE(QUERY(SORT(GOOGLEFINANCE(B1739,""price"",TODAY()-365,TODAY()),1,0),""select Col2 limit 200""))"),381.7049999999997)</f>
        <v>381.705</v>
      </c>
      <c r="O1739" s="20" t="str">
        <f t="shared" si="2"/>
        <v>Avoid</v>
      </c>
      <c r="P1739" s="21" t="str">
        <f t="shared" si="3"/>
        <v/>
      </c>
      <c r="Q1739" s="21" t="str">
        <f t="shared" si="4"/>
        <v/>
      </c>
      <c r="R1739" s="22" t="str">
        <f>IFERROR(__xludf.DUMMYFUNCTION("GOOGLEFINANCE(B1739, ""pe"")
"),"#N/A")</f>
        <v>#N/A</v>
      </c>
    </row>
    <row r="1740">
      <c r="A1740" s="9" t="s">
        <v>1748</v>
      </c>
      <c r="B1740" s="11" t="str">
        <f t="shared" si="1"/>
        <v>NSE:ACCURACY</v>
      </c>
      <c r="C1740" s="12">
        <f>IFERROR(__xludf.DUMMYFUNCTION("GOOGLEFINANCE(B1740,""marketcap"")/10000000"),114.1244788)</f>
        <v>114.1244788</v>
      </c>
      <c r="D1740" s="13">
        <f>IFERROR(__xludf.DUMMYFUNCTION("GOOGLEFINANCE(B1740,""price"")"),7.52)</f>
        <v>7.52</v>
      </c>
      <c r="E1740" s="14">
        <f>IFERROR(__xludf.DUMMYFUNCTION("GOOGLEFINANCE(B1740,""Volume"")"),68768.0)</f>
        <v>68768</v>
      </c>
      <c r="F1740" s="14">
        <f t="array" ref="F1740">F1739</f>
        <v>14</v>
      </c>
      <c r="G1740" s="15" t="str">
        <f>IFERROR(__xludf.DUMMYFUNCTION("IF(E1740&gt;AVERAGE(INDEX(GOOGLEFINANCE(B1740,""volume"",WORKDAY(TODAY(),-$F$1),TODAY()),,2)),""Breakout"","""")"),"")</f>
        <v/>
      </c>
      <c r="H1740" s="16">
        <f>IFERROR(__xludf.DUMMYFUNCTION("GOOGLEFINANCE(B1740,""price"")"),7.52)</f>
        <v>7.52</v>
      </c>
      <c r="I1740" s="17">
        <f>IFERROR(__xludf.DUMMYFUNCTION("AVERAGE(QUERY(SORT(GOOGLEFINANCE(B1740,""price"",TODAY()-365,TODAY()),1,0),""select Col2 limit 10""))"),7.725000000000001)</f>
        <v>7.725</v>
      </c>
      <c r="J1740" s="17">
        <f>IFERROR(__xludf.DUMMYFUNCTION("AVERAGE(QUERY(SORT(GOOGLEFINANCE(B1740,""price"",TODAY()-365,TODAY()),1,0),""select Col2 limit 30""))"),8.18233333333333)</f>
        <v>8.182333333</v>
      </c>
      <c r="K1740" s="18">
        <f>IFERROR(__xludf.DUMMYFUNCTION("AVERAGE(QUERY(SORT(GOOGLEFINANCE(B1740,""price"",TODAY()-365,TODAY()),1,0),""select Col2 limit 60""))"),8.244999999999997)</f>
        <v>8.245</v>
      </c>
      <c r="L1740" s="17">
        <f>IFERROR(__xludf.DUMMYFUNCTION("AVERAGE(QUERY(SORT(GOOGLEFINANCE(B1740,""price"",TODAY()-365,TODAY()),1,0),""select Col2 limit 90""))"),8.20311111111111)</f>
        <v>8.203111111</v>
      </c>
      <c r="M1740" s="17">
        <f>IFERROR(__xludf.DUMMYFUNCTION("AVERAGE(QUERY(SORT(GOOGLEFINANCE(B1740,""price"",TODAY()-365,TODAY()),1,0),""select Col2 limit 120""))"),8.339333333333332)</f>
        <v>8.339333333</v>
      </c>
      <c r="N1740" s="19">
        <f>IFERROR(__xludf.DUMMYFUNCTION("AVERAGE(QUERY(SORT(GOOGLEFINANCE(B1740,""price"",TODAY()-365,TODAY()),1,0),""select Col2 limit 200""))"),9.071599999999997)</f>
        <v>9.0716</v>
      </c>
      <c r="O1740" s="20" t="str">
        <f t="shared" si="2"/>
        <v>Avoid</v>
      </c>
      <c r="P1740" s="21" t="str">
        <f t="shared" si="3"/>
        <v/>
      </c>
      <c r="Q1740" s="21" t="str">
        <f t="shared" si="4"/>
        <v/>
      </c>
      <c r="R1740" s="22">
        <f>IFERROR(__xludf.DUMMYFUNCTION("GOOGLEFINANCE(B1740, ""pe"")
"),24.45)</f>
        <v>24.45</v>
      </c>
    </row>
    <row r="1741">
      <c r="A1741" s="9" t="s">
        <v>1749</v>
      </c>
      <c r="B1741" s="11" t="str">
        <f t="shared" si="1"/>
        <v>NSE:WORTH</v>
      </c>
      <c r="C1741" s="12">
        <f>IFERROR(__xludf.DUMMYFUNCTION("GOOGLEFINANCE(B1741,""marketcap"")/10000000"),255.9378451)</f>
        <v>255.9378451</v>
      </c>
      <c r="D1741" s="13">
        <f>IFERROR(__xludf.DUMMYFUNCTION("GOOGLEFINANCE(B1741,""price"")"),162.25)</f>
        <v>162.25</v>
      </c>
      <c r="E1741" s="14">
        <f>IFERROR(__xludf.DUMMYFUNCTION("GOOGLEFINANCE(B1741,""Volume"")"),38378.0)</f>
        <v>38378</v>
      </c>
      <c r="F1741" s="14">
        <f t="array" ref="F1741">F1740</f>
        <v>14</v>
      </c>
      <c r="G1741" s="15" t="str">
        <f>IFERROR(__xludf.DUMMYFUNCTION("IF(E1741&gt;AVERAGE(INDEX(GOOGLEFINANCE(B1741,""volume"",WORKDAY(TODAY(),-$F$1),TODAY()),,2)),""Breakout"","""")"),"")</f>
        <v/>
      </c>
      <c r="H1741" s="16">
        <f>IFERROR(__xludf.DUMMYFUNCTION("GOOGLEFINANCE(B1741,""price"")"),162.25)</f>
        <v>162.25</v>
      </c>
      <c r="I1741" s="17">
        <f>IFERROR(__xludf.DUMMYFUNCTION("AVERAGE(QUERY(SORT(GOOGLEFINANCE(B1741,""price"",TODAY()-365,TODAY()),1,0),""select Col2 limit 10""))"),150.63100000000003)</f>
        <v>150.631</v>
      </c>
      <c r="J1741" s="17">
        <f>IFERROR(__xludf.DUMMYFUNCTION("AVERAGE(QUERY(SORT(GOOGLEFINANCE(B1741,""price"",TODAY()-365,TODAY()),1,0),""select Col2 limit 30""))"),147.29133333333337)</f>
        <v>147.2913333</v>
      </c>
      <c r="K1741" s="18">
        <f>IFERROR(__xludf.DUMMYFUNCTION("AVERAGE(QUERY(SORT(GOOGLEFINANCE(B1741,""price"",TODAY()-365,TODAY()),1,0),""select Col2 limit 60""))"),148.3466666666667)</f>
        <v>148.3466667</v>
      </c>
      <c r="L1741" s="17">
        <f>IFERROR(__xludf.DUMMYFUNCTION("AVERAGE(QUERY(SORT(GOOGLEFINANCE(B1741,""price"",TODAY()-365,TODAY()),1,0),""select Col2 limit 90""))"),149.17477777777773)</f>
        <v>149.1747778</v>
      </c>
      <c r="M1741" s="17">
        <f>IFERROR(__xludf.DUMMYFUNCTION("AVERAGE(QUERY(SORT(GOOGLEFINANCE(B1741,""price"",TODAY()-365,TODAY()),1,0),""select Col2 limit 120""))"),151.60199999999995)</f>
        <v>151.602</v>
      </c>
      <c r="N1741" s="19">
        <f>IFERROR(__xludf.DUMMYFUNCTION("AVERAGE(QUERY(SORT(GOOGLEFINANCE(B1741,""price"",TODAY()-365,TODAY()),1,0),""select Col2 limit 200""))"),146.83399999999995)</f>
        <v>146.834</v>
      </c>
      <c r="O1741" s="20" t="str">
        <f t="shared" si="2"/>
        <v>Avoid</v>
      </c>
      <c r="P1741" s="21" t="str">
        <f t="shared" si="3"/>
        <v/>
      </c>
      <c r="Q1741" s="21" t="str">
        <f t="shared" si="4"/>
        <v/>
      </c>
      <c r="R1741" s="22">
        <f>IFERROR(__xludf.DUMMYFUNCTION("GOOGLEFINANCE(B1741, ""pe"")
"),16.56)</f>
        <v>16.56</v>
      </c>
    </row>
    <row r="1742">
      <c r="A1742" s="9" t="s">
        <v>1750</v>
      </c>
      <c r="B1742" s="11" t="str">
        <f t="shared" si="1"/>
        <v>NSE:PANSARI</v>
      </c>
      <c r="C1742" s="12">
        <f>IFERROR(__xludf.DUMMYFUNCTION("GOOGLEFINANCE(B1742,""marketcap"")/10000000"),423.1546754)</f>
        <v>423.1546754</v>
      </c>
      <c r="D1742" s="13">
        <f>IFERROR(__xludf.DUMMYFUNCTION("GOOGLEFINANCE(B1742,""price"")"),242.54)</f>
        <v>242.54</v>
      </c>
      <c r="E1742" s="14">
        <f>IFERROR(__xludf.DUMMYFUNCTION("GOOGLEFINANCE(B1742,""Volume"")"),100.0)</f>
        <v>100</v>
      </c>
      <c r="F1742" s="14">
        <f t="array" ref="F1742">F1741</f>
        <v>14</v>
      </c>
      <c r="G1742" s="15" t="str">
        <f>IFERROR(__xludf.DUMMYFUNCTION("IF(E1742&gt;AVERAGE(INDEX(GOOGLEFINANCE(B1742,""volume"",WORKDAY(TODAY(),-$F$1),TODAY()),,2)),""Breakout"","""")"),"")</f>
        <v/>
      </c>
      <c r="H1742" s="16">
        <f>IFERROR(__xludf.DUMMYFUNCTION("GOOGLEFINANCE(B1742,""price"")"),242.54)</f>
        <v>242.54</v>
      </c>
      <c r="I1742" s="17">
        <f>IFERROR(__xludf.DUMMYFUNCTION("AVERAGE(QUERY(SORT(GOOGLEFINANCE(B1742,""price"",TODAY()-365,TODAY()),1,0),""select Col2 limit 10""))"),253.671)</f>
        <v>253.671</v>
      </c>
      <c r="J1742" s="17">
        <f>IFERROR(__xludf.DUMMYFUNCTION("AVERAGE(QUERY(SORT(GOOGLEFINANCE(B1742,""price"",TODAY()-365,TODAY()),1,0),""select Col2 limit 30""))"),244.52599999999998)</f>
        <v>244.526</v>
      </c>
      <c r="K1742" s="18">
        <f>IFERROR(__xludf.DUMMYFUNCTION("AVERAGE(QUERY(SORT(GOOGLEFINANCE(B1742,""price"",TODAY()-365,TODAY()),1,0),""select Col2 limit 60""))"),233.87566666666666)</f>
        <v>233.8756667</v>
      </c>
      <c r="L1742" s="17">
        <f>IFERROR(__xludf.DUMMYFUNCTION("AVERAGE(QUERY(SORT(GOOGLEFINANCE(B1742,""price"",TODAY()-365,TODAY()),1,0),""select Col2 limit 90""))"),213.0492222222222)</f>
        <v>213.0492222</v>
      </c>
      <c r="M1742" s="17">
        <f>IFERROR(__xludf.DUMMYFUNCTION("AVERAGE(QUERY(SORT(GOOGLEFINANCE(B1742,""price"",TODAY()-365,TODAY()),1,0),""select Col2 limit 120""))"),207.944)</f>
        <v>207.944</v>
      </c>
      <c r="N1742" s="19">
        <f>IFERROR(__xludf.DUMMYFUNCTION("AVERAGE(QUERY(SORT(GOOGLEFINANCE(B1742,""price"",TODAY()-365,TODAY()),1,0),""select Col2 limit 200""))"),192.35455000000002)</f>
        <v>192.35455</v>
      </c>
      <c r="O1742" s="20" t="str">
        <f t="shared" si="2"/>
        <v>Avoid</v>
      </c>
      <c r="P1742" s="21" t="str">
        <f t="shared" si="3"/>
        <v>30 DMA</v>
      </c>
      <c r="Q1742" s="21" t="str">
        <f t="shared" si="4"/>
        <v/>
      </c>
      <c r="R1742" s="22">
        <f>IFERROR(__xludf.DUMMYFUNCTION("GOOGLEFINANCE(B1742, ""pe"")
"),56.4)</f>
        <v>56.4</v>
      </c>
    </row>
    <row r="1743">
      <c r="A1743" s="9" t="s">
        <v>1751</v>
      </c>
      <c r="B1743" s="11" t="str">
        <f t="shared" si="1"/>
        <v>NSE:PRITI</v>
      </c>
      <c r="C1743" s="12">
        <f>IFERROR(__xludf.DUMMYFUNCTION("GOOGLEFINANCE(B1743,""marketcap"")/10000000"),117.5359181)</f>
        <v>117.5359181</v>
      </c>
      <c r="D1743" s="13">
        <f>IFERROR(__xludf.DUMMYFUNCTION("GOOGLEFINANCE(B1743,""price"")"),88.02)</f>
        <v>88.02</v>
      </c>
      <c r="E1743" s="14">
        <f>IFERROR(__xludf.DUMMYFUNCTION("GOOGLEFINANCE(B1743,""Volume"")"),7679.0)</f>
        <v>7679</v>
      </c>
      <c r="F1743" s="14">
        <f t="array" ref="F1743">F1742</f>
        <v>14</v>
      </c>
      <c r="G1743" s="15" t="str">
        <f>IFERROR(__xludf.DUMMYFUNCTION("IF(E1743&gt;AVERAGE(INDEX(GOOGLEFINANCE(B1743,""volume"",WORKDAY(TODAY(),-$F$1),TODAY()),,2)),""Breakout"","""")"),"")</f>
        <v/>
      </c>
      <c r="H1743" s="16">
        <f>IFERROR(__xludf.DUMMYFUNCTION("GOOGLEFINANCE(B1743,""price"")"),88.02)</f>
        <v>88.02</v>
      </c>
      <c r="I1743" s="17">
        <f>IFERROR(__xludf.DUMMYFUNCTION("AVERAGE(QUERY(SORT(GOOGLEFINANCE(B1743,""price"",TODAY()-365,TODAY()),1,0),""select Col2 limit 10""))"),91.744)</f>
        <v>91.744</v>
      </c>
      <c r="J1743" s="17">
        <f>IFERROR(__xludf.DUMMYFUNCTION("AVERAGE(QUERY(SORT(GOOGLEFINANCE(B1743,""price"",TODAY()-365,TODAY()),1,0),""select Col2 limit 30""))"),92.81899999999999)</f>
        <v>92.819</v>
      </c>
      <c r="K1743" s="18">
        <f>IFERROR(__xludf.DUMMYFUNCTION("AVERAGE(QUERY(SORT(GOOGLEFINANCE(B1743,""price"",TODAY()-365,TODAY()),1,0),""select Col2 limit 60""))"),94.1888333333333)</f>
        <v>94.18883333</v>
      </c>
      <c r="L1743" s="17">
        <f>IFERROR(__xludf.DUMMYFUNCTION("AVERAGE(QUERY(SORT(GOOGLEFINANCE(B1743,""price"",TODAY()-365,TODAY()),1,0),""select Col2 limit 90""))"),92.81055555555557)</f>
        <v>92.81055556</v>
      </c>
      <c r="M1743" s="17">
        <f>IFERROR(__xludf.DUMMYFUNCTION("AVERAGE(QUERY(SORT(GOOGLEFINANCE(B1743,""price"",TODAY()-365,TODAY()),1,0),""select Col2 limit 120""))"),96.04983333333332)</f>
        <v>96.04983333</v>
      </c>
      <c r="N1743" s="19">
        <f>IFERROR(__xludf.DUMMYFUNCTION("AVERAGE(QUERY(SORT(GOOGLEFINANCE(B1743,""price"",TODAY()-365,TODAY()),1,0),""select Col2 limit 200""))"),115.02545000000002)</f>
        <v>115.02545</v>
      </c>
      <c r="O1743" s="20" t="str">
        <f t="shared" si="2"/>
        <v>Avoid</v>
      </c>
      <c r="P1743" s="21" t="str">
        <f t="shared" si="3"/>
        <v/>
      </c>
      <c r="Q1743" s="21" t="str">
        <f t="shared" si="4"/>
        <v/>
      </c>
      <c r="R1743" s="22">
        <f>IFERROR(__xludf.DUMMYFUNCTION("GOOGLEFINANCE(B1743, ""pe"")
"),24.72)</f>
        <v>24.72</v>
      </c>
    </row>
    <row r="1744">
      <c r="A1744" s="9" t="s">
        <v>1752</v>
      </c>
      <c r="B1744" s="11" t="str">
        <f t="shared" si="1"/>
        <v>NSE:HILTON</v>
      </c>
      <c r="C1744" s="12">
        <f>IFERROR(__xludf.DUMMYFUNCTION("GOOGLEFINANCE(B1744,""marketcap"")/10000000"),144.0269982)</f>
        <v>144.0269982</v>
      </c>
      <c r="D1744" s="13">
        <f>IFERROR(__xludf.DUMMYFUNCTION("GOOGLEFINANCE(B1744,""price"")"),61.1)</f>
        <v>61.1</v>
      </c>
      <c r="E1744" s="14">
        <f>IFERROR(__xludf.DUMMYFUNCTION("GOOGLEFINANCE(B1744,""Volume"")"),31418.0)</f>
        <v>31418</v>
      </c>
      <c r="F1744" s="14">
        <f t="array" ref="F1744">F1743</f>
        <v>14</v>
      </c>
      <c r="G1744" s="15" t="str">
        <f>IFERROR(__xludf.DUMMYFUNCTION("IF(E1744&gt;AVERAGE(INDEX(GOOGLEFINANCE(B1744,""volume"",WORKDAY(TODAY(),-$F$1),TODAY()),,2)),""Breakout"","""")"),"")</f>
        <v/>
      </c>
      <c r="H1744" s="16">
        <f>IFERROR(__xludf.DUMMYFUNCTION("GOOGLEFINANCE(B1744,""price"")"),61.1)</f>
        <v>61.1</v>
      </c>
      <c r="I1744" s="17">
        <f>IFERROR(__xludf.DUMMYFUNCTION("AVERAGE(QUERY(SORT(GOOGLEFINANCE(B1744,""price"",TODAY()-365,TODAY()),1,0),""select Col2 limit 10""))"),64.767)</f>
        <v>64.767</v>
      </c>
      <c r="J1744" s="17">
        <f>IFERROR(__xludf.DUMMYFUNCTION("AVERAGE(QUERY(SORT(GOOGLEFINANCE(B1744,""price"",TODAY()-365,TODAY()),1,0),""select Col2 limit 30""))"),66.444)</f>
        <v>66.444</v>
      </c>
      <c r="K1744" s="18">
        <f>IFERROR(__xludf.DUMMYFUNCTION("AVERAGE(QUERY(SORT(GOOGLEFINANCE(B1744,""price"",TODAY()-365,TODAY()),1,0),""select Col2 limit 60""))"),68.56933333333335)</f>
        <v>68.56933333</v>
      </c>
      <c r="L1744" s="17">
        <f>IFERROR(__xludf.DUMMYFUNCTION("AVERAGE(QUERY(SORT(GOOGLEFINANCE(B1744,""price"",TODAY()-365,TODAY()),1,0),""select Col2 limit 90""))"),68.93822222222224)</f>
        <v>68.93822222</v>
      </c>
      <c r="M1744" s="17">
        <f>IFERROR(__xludf.DUMMYFUNCTION("AVERAGE(QUERY(SORT(GOOGLEFINANCE(B1744,""price"",TODAY()-365,TODAY()),1,0),""select Col2 limit 120""))"),72.44391666666667)</f>
        <v>72.44391667</v>
      </c>
      <c r="N1744" s="19">
        <f>IFERROR(__xludf.DUMMYFUNCTION("AVERAGE(QUERY(SORT(GOOGLEFINANCE(B1744,""price"",TODAY()-365,TODAY()),1,0),""select Col2 limit 200""))"),79.84570000000002)</f>
        <v>79.8457</v>
      </c>
      <c r="O1744" s="20" t="str">
        <f t="shared" si="2"/>
        <v>Avoid</v>
      </c>
      <c r="P1744" s="21" t="str">
        <f t="shared" si="3"/>
        <v/>
      </c>
      <c r="Q1744" s="21" t="str">
        <f t="shared" si="4"/>
        <v/>
      </c>
      <c r="R1744" s="22">
        <f>IFERROR(__xludf.DUMMYFUNCTION("GOOGLEFINANCE(B1744, ""pe"")
"),21.98)</f>
        <v>21.98</v>
      </c>
    </row>
    <row r="1745">
      <c r="A1745" s="9" t="s">
        <v>1753</v>
      </c>
      <c r="B1745" s="11" t="str">
        <f t="shared" si="1"/>
        <v>NSE:EROSMEDIA</v>
      </c>
      <c r="C1745" s="12" t="str">
        <f>IFERROR(__xludf.DUMMYFUNCTION("GOOGLEFINANCE(B1745,""marketcap"")/10000000"),"#N/A")</f>
        <v>#N/A</v>
      </c>
      <c r="D1745" s="13" t="str">
        <f>IFERROR(__xludf.DUMMYFUNCTION("GOOGLEFINANCE(B1745,""price"")"),"#N/A")</f>
        <v>#N/A</v>
      </c>
      <c r="E1745" s="14" t="str">
        <f>IFERROR(__xludf.DUMMYFUNCTION("GOOGLEFINANCE(B1745,""Volume"")"),"#N/A")</f>
        <v>#N/A</v>
      </c>
      <c r="F1745" s="14">
        <f t="array" ref="F1745">F1744</f>
        <v>14</v>
      </c>
      <c r="G1745" s="15" t="str">
        <f>IFERROR(__xludf.DUMMYFUNCTION("IF(E1745&gt;AVERAGE(INDEX(GOOGLEFINANCE(B1745,""volume"",WORKDAY(TODAY(),-$F$1),TODAY()),,2)),""Breakout"","""")"),"#N/A")</f>
        <v>#N/A</v>
      </c>
      <c r="H1745" s="16" t="str">
        <f>IFERROR(__xludf.DUMMYFUNCTION("GOOGLEFINANCE(B1745,""price"")"),"#N/A")</f>
        <v>#N/A</v>
      </c>
      <c r="I1745" s="17" t="str">
        <f>IFERROR(__xludf.DUMMYFUNCTION("AVERAGE(QUERY(SORT(GOOGLEFINANCE(B1745,""price"",TODAY()-365,TODAY()),1,0),""select Col2 limit 10""))"),"#N/A")</f>
        <v>#N/A</v>
      </c>
      <c r="J1745" s="17" t="str">
        <f>IFERROR(__xludf.DUMMYFUNCTION("AVERAGE(QUERY(SORT(GOOGLEFINANCE(B1745,""price"",TODAY()-365,TODAY()),1,0),""select Col2 limit 30""))"),"#N/A")</f>
        <v>#N/A</v>
      </c>
      <c r="K1745" s="18" t="str">
        <f>IFERROR(__xludf.DUMMYFUNCTION("AVERAGE(QUERY(SORT(GOOGLEFINANCE(B1745,""price"",TODAY()-365,TODAY()),1,0),""select Col2 limit 60""))"),"#N/A")</f>
        <v>#N/A</v>
      </c>
      <c r="L1745" s="17" t="str">
        <f>IFERROR(__xludf.DUMMYFUNCTION("AVERAGE(QUERY(SORT(GOOGLEFINANCE(B1745,""price"",TODAY()-365,TODAY()),1,0),""select Col2 limit 90""))"),"#N/A")</f>
        <v>#N/A</v>
      </c>
      <c r="M1745" s="17" t="str">
        <f>IFERROR(__xludf.DUMMYFUNCTION("AVERAGE(QUERY(SORT(GOOGLEFINANCE(B1745,""price"",TODAY()-365,TODAY()),1,0),""select Col2 limit 120""))"),"#N/A")</f>
        <v>#N/A</v>
      </c>
      <c r="N1745" s="19" t="str">
        <f>IFERROR(__xludf.DUMMYFUNCTION("AVERAGE(QUERY(SORT(GOOGLEFINANCE(B1745,""price"",TODAY()-365,TODAY()),1,0),""select Col2 limit 200""))"),"#N/A")</f>
        <v>#N/A</v>
      </c>
      <c r="O1745" s="20" t="str">
        <f t="shared" si="2"/>
        <v>#N/A</v>
      </c>
      <c r="P1745" s="21" t="str">
        <f t="shared" si="3"/>
        <v>#N/A</v>
      </c>
      <c r="Q1745" s="21" t="str">
        <f t="shared" si="4"/>
        <v>#N/A</v>
      </c>
      <c r="R1745" s="22" t="str">
        <f>IFERROR(__xludf.DUMMYFUNCTION("GOOGLEFINANCE(B1745, ""pe"")
"),"#N/A")</f>
        <v>#N/A</v>
      </c>
    </row>
    <row r="1746">
      <c r="A1746" s="9" t="s">
        <v>1754</v>
      </c>
      <c r="B1746" s="11" t="str">
        <f t="shared" si="1"/>
        <v>NSE:BALPHARMA</v>
      </c>
      <c r="C1746" s="12">
        <f>IFERROR(__xludf.DUMMYFUNCTION("GOOGLEFINANCE(B1746,""marketcap"")/10000000"),156.5021569)</f>
        <v>156.5021569</v>
      </c>
      <c r="D1746" s="13">
        <f>IFERROR(__xludf.DUMMYFUNCTION("GOOGLEFINANCE(B1746,""price"")"),98.3)</f>
        <v>98.3</v>
      </c>
      <c r="E1746" s="14">
        <f>IFERROR(__xludf.DUMMYFUNCTION("GOOGLEFINANCE(B1746,""Volume"")"),7222.0)</f>
        <v>7222</v>
      </c>
      <c r="F1746" s="14">
        <f t="array" ref="F1746">F1745</f>
        <v>14</v>
      </c>
      <c r="G1746" s="15" t="str">
        <f>IFERROR(__xludf.DUMMYFUNCTION("IF(E1746&gt;AVERAGE(INDEX(GOOGLEFINANCE(B1746,""volume"",WORKDAY(TODAY(),-$F$1),TODAY()),,2)),""Breakout"","""")"),"")</f>
        <v/>
      </c>
      <c r="H1746" s="16">
        <f>IFERROR(__xludf.DUMMYFUNCTION("GOOGLEFINANCE(B1746,""price"")"),98.3)</f>
        <v>98.3</v>
      </c>
      <c r="I1746" s="17">
        <f>IFERROR(__xludf.DUMMYFUNCTION("AVERAGE(QUERY(SORT(GOOGLEFINANCE(B1746,""price"",TODAY()-365,TODAY()),1,0),""select Col2 limit 10""))"),99.00000000000001)</f>
        <v>99</v>
      </c>
      <c r="J1746" s="17">
        <f>IFERROR(__xludf.DUMMYFUNCTION("AVERAGE(QUERY(SORT(GOOGLEFINANCE(B1746,""price"",TODAY()-365,TODAY()),1,0),""select Col2 limit 30""))"),100.21733333333333)</f>
        <v>100.2173333</v>
      </c>
      <c r="K1746" s="18">
        <f>IFERROR(__xludf.DUMMYFUNCTION("AVERAGE(QUERY(SORT(GOOGLEFINANCE(B1746,""price"",TODAY()-365,TODAY()),1,0),""select Col2 limit 60""))"),99.70783333333334)</f>
        <v>99.70783333</v>
      </c>
      <c r="L1746" s="17">
        <f>IFERROR(__xludf.DUMMYFUNCTION("AVERAGE(QUERY(SORT(GOOGLEFINANCE(B1746,""price"",TODAY()-365,TODAY()),1,0),""select Col2 limit 90""))"),99.5921111111111)</f>
        <v>99.59211111</v>
      </c>
      <c r="M1746" s="17">
        <f>IFERROR(__xludf.DUMMYFUNCTION("AVERAGE(QUERY(SORT(GOOGLEFINANCE(B1746,""price"",TODAY()-365,TODAY()),1,0),""select Col2 limit 120""))"),98.90741666666662)</f>
        <v>98.90741667</v>
      </c>
      <c r="N1746" s="19">
        <f>IFERROR(__xludf.DUMMYFUNCTION("AVERAGE(QUERY(SORT(GOOGLEFINANCE(B1746,""price"",TODAY()-365,TODAY()),1,0),""select Col2 limit 200""))"),108.66374999999996)</f>
        <v>108.66375</v>
      </c>
      <c r="O1746" s="20" t="str">
        <f t="shared" si="2"/>
        <v>Avoid</v>
      </c>
      <c r="P1746" s="21" t="str">
        <f t="shared" si="3"/>
        <v>10 DMA</v>
      </c>
      <c r="Q1746" s="21" t="str">
        <f t="shared" si="4"/>
        <v>10 DMA cross best</v>
      </c>
      <c r="R1746" s="22">
        <f>IFERROR(__xludf.DUMMYFUNCTION("GOOGLEFINANCE(B1746, ""pe"")
"),21.56)</f>
        <v>21.56</v>
      </c>
    </row>
    <row r="1747">
      <c r="A1747" s="9" t="s">
        <v>1755</v>
      </c>
      <c r="B1747" s="11" t="str">
        <f t="shared" si="1"/>
        <v>NSE:SALSTEEL</v>
      </c>
      <c r="C1747" s="12">
        <f>IFERROR(__xludf.DUMMYFUNCTION("GOOGLEFINANCE(B1747,""marketcap"")/10000000"),133.9950774)</f>
        <v>133.9950774</v>
      </c>
      <c r="D1747" s="13">
        <f>IFERROR(__xludf.DUMMYFUNCTION("GOOGLEFINANCE(B1747,""price"")"),15.76)</f>
        <v>15.76</v>
      </c>
      <c r="E1747" s="14">
        <f>IFERROR(__xludf.DUMMYFUNCTION("GOOGLEFINANCE(B1747,""Volume"")"),30649.0)</f>
        <v>30649</v>
      </c>
      <c r="F1747" s="14">
        <f t="array" ref="F1747">F1746</f>
        <v>14</v>
      </c>
      <c r="G1747" s="15" t="str">
        <f>IFERROR(__xludf.DUMMYFUNCTION("IF(E1747&gt;AVERAGE(INDEX(GOOGLEFINANCE(B1747,""volume"",WORKDAY(TODAY(),-$F$1),TODAY()),,2)),""Breakout"","""")"),"")</f>
        <v/>
      </c>
      <c r="H1747" s="16">
        <f>IFERROR(__xludf.DUMMYFUNCTION("GOOGLEFINANCE(B1747,""price"")"),15.76)</f>
        <v>15.76</v>
      </c>
      <c r="I1747" s="17">
        <f>IFERROR(__xludf.DUMMYFUNCTION("AVERAGE(QUERY(SORT(GOOGLEFINANCE(B1747,""price"",TODAY()-365,TODAY()),1,0),""select Col2 limit 10""))"),16.589999999999996)</f>
        <v>16.59</v>
      </c>
      <c r="J1747" s="17">
        <f>IFERROR(__xludf.DUMMYFUNCTION("AVERAGE(QUERY(SORT(GOOGLEFINANCE(B1747,""price"",TODAY()-365,TODAY()),1,0),""select Col2 limit 30""))"),17.025333333333336)</f>
        <v>17.02533333</v>
      </c>
      <c r="K1747" s="18">
        <f>IFERROR(__xludf.DUMMYFUNCTION("AVERAGE(QUERY(SORT(GOOGLEFINANCE(B1747,""price"",TODAY()-365,TODAY()),1,0),""select Col2 limit 60""))"),17.585166666666673)</f>
        <v>17.58516667</v>
      </c>
      <c r="L1747" s="17">
        <f>IFERROR(__xludf.DUMMYFUNCTION("AVERAGE(QUERY(SORT(GOOGLEFINANCE(B1747,""price"",TODAY()-365,TODAY()),1,0),""select Col2 limit 90""))"),18.021111111111125)</f>
        <v>18.02111111</v>
      </c>
      <c r="M1747" s="17">
        <f>IFERROR(__xludf.DUMMYFUNCTION("AVERAGE(QUERY(SORT(GOOGLEFINANCE(B1747,""price"",TODAY()-365,TODAY()),1,0),""select Col2 limit 120""))"),18.469333333333346)</f>
        <v>18.46933333</v>
      </c>
      <c r="N1747" s="19">
        <f>IFERROR(__xludf.DUMMYFUNCTION("AVERAGE(QUERY(SORT(GOOGLEFINANCE(B1747,""price"",TODAY()-365,TODAY()),1,0),""select Col2 limit 200""))"),20.839150000000004)</f>
        <v>20.83915</v>
      </c>
      <c r="O1747" s="20" t="str">
        <f t="shared" si="2"/>
        <v>Avoid</v>
      </c>
      <c r="P1747" s="21" t="str">
        <f t="shared" si="3"/>
        <v/>
      </c>
      <c r="Q1747" s="21" t="str">
        <f t="shared" si="4"/>
        <v/>
      </c>
      <c r="R1747" s="22" t="str">
        <f>IFERROR(__xludf.DUMMYFUNCTION("GOOGLEFINANCE(B1747, ""pe"")
"),"#N/A")</f>
        <v>#N/A</v>
      </c>
    </row>
    <row r="1748">
      <c r="A1748" s="9" t="s">
        <v>1756</v>
      </c>
      <c r="B1748" s="11" t="str">
        <f t="shared" si="1"/>
        <v>NSE:ARTNIRMAN</v>
      </c>
      <c r="C1748" s="12">
        <f>IFERROR(__xludf.DUMMYFUNCTION("GOOGLEFINANCE(B1748,""marketcap"")/10000000"),134.0885331)</f>
        <v>134.0885331</v>
      </c>
      <c r="D1748" s="13">
        <f>IFERROR(__xludf.DUMMYFUNCTION("GOOGLEFINANCE(B1748,""price"")"),54.23)</f>
        <v>54.23</v>
      </c>
      <c r="E1748" s="14">
        <f>IFERROR(__xludf.DUMMYFUNCTION("GOOGLEFINANCE(B1748,""Volume"")"),1343.0)</f>
        <v>1343</v>
      </c>
      <c r="F1748" s="14">
        <f t="array" ref="F1748">F1747</f>
        <v>14</v>
      </c>
      <c r="G1748" s="15" t="str">
        <f>IFERROR(__xludf.DUMMYFUNCTION("IF(E1748&gt;AVERAGE(INDEX(GOOGLEFINANCE(B1748,""volume"",WORKDAY(TODAY(),-$F$1),TODAY()),,2)),""Breakout"","""")"),"")</f>
        <v/>
      </c>
      <c r="H1748" s="16">
        <f>IFERROR(__xludf.DUMMYFUNCTION("GOOGLEFINANCE(B1748,""price"")"),54.23)</f>
        <v>54.23</v>
      </c>
      <c r="I1748" s="17">
        <f>IFERROR(__xludf.DUMMYFUNCTION("AVERAGE(QUERY(SORT(GOOGLEFINANCE(B1748,""price"",TODAY()-365,TODAY()),1,0),""select Col2 limit 10""))"),58.67800000000001)</f>
        <v>58.678</v>
      </c>
      <c r="J1748" s="17">
        <f>IFERROR(__xludf.DUMMYFUNCTION("AVERAGE(QUERY(SORT(GOOGLEFINANCE(B1748,""price"",TODAY()-365,TODAY()),1,0),""select Col2 limit 30""))"),59.637666666666654)</f>
        <v>59.63766667</v>
      </c>
      <c r="K1748" s="18">
        <f>IFERROR(__xludf.DUMMYFUNCTION("AVERAGE(QUERY(SORT(GOOGLEFINANCE(B1748,""price"",TODAY()-365,TODAY()),1,0),""select Col2 limit 60""))"),54.119666666666646)</f>
        <v>54.11966667</v>
      </c>
      <c r="L1748" s="17">
        <f>IFERROR(__xludf.DUMMYFUNCTION("AVERAGE(QUERY(SORT(GOOGLEFINANCE(B1748,""price"",TODAY()-365,TODAY()),1,0),""select Col2 limit 90""))"),50.96066666666665)</f>
        <v>50.96066667</v>
      </c>
      <c r="M1748" s="17">
        <f>IFERROR(__xludf.DUMMYFUNCTION("AVERAGE(QUERY(SORT(GOOGLEFINANCE(B1748,""price"",TODAY()-365,TODAY()),1,0),""select Col2 limit 120""))"),50.15783333333332)</f>
        <v>50.15783333</v>
      </c>
      <c r="N1748" s="19">
        <f>IFERROR(__xludf.DUMMYFUNCTION("AVERAGE(QUERY(SORT(GOOGLEFINANCE(B1748,""price"",TODAY()-365,TODAY()),1,0),""select Col2 limit 200""))"),53.50189999999997)</f>
        <v>53.5019</v>
      </c>
      <c r="O1748" s="20" t="str">
        <f t="shared" si="2"/>
        <v>Avoid</v>
      </c>
      <c r="P1748" s="21" t="str">
        <f t="shared" si="3"/>
        <v/>
      </c>
      <c r="Q1748" s="21" t="str">
        <f t="shared" si="4"/>
        <v/>
      </c>
      <c r="R1748" s="22">
        <f>IFERROR(__xludf.DUMMYFUNCTION("GOOGLEFINANCE(B1748, ""pe"")
"),67.79)</f>
        <v>67.79</v>
      </c>
    </row>
    <row r="1749">
      <c r="A1749" s="9" t="s">
        <v>1757</v>
      </c>
      <c r="B1749" s="11" t="str">
        <f t="shared" si="1"/>
        <v>NSE:TOTAL</v>
      </c>
      <c r="C1749" s="12">
        <f>IFERROR(__xludf.DUMMYFUNCTION("GOOGLEFINANCE(B1749,""marketcap"")/10000000"),123.4196994)</f>
        <v>123.4196994</v>
      </c>
      <c r="D1749" s="13">
        <f>IFERROR(__xludf.DUMMYFUNCTION("GOOGLEFINANCE(B1749,""price"")"),76.53)</f>
        <v>76.53</v>
      </c>
      <c r="E1749" s="14">
        <f>IFERROR(__xludf.DUMMYFUNCTION("GOOGLEFINANCE(B1749,""Volume"")"),5276.0)</f>
        <v>5276</v>
      </c>
      <c r="F1749" s="14">
        <f t="array" ref="F1749">F1748</f>
        <v>14</v>
      </c>
      <c r="G1749" s="15" t="str">
        <f>IFERROR(__xludf.DUMMYFUNCTION("IF(E1749&gt;AVERAGE(INDEX(GOOGLEFINANCE(B1749,""volume"",WORKDAY(TODAY(),-$F$1),TODAY()),,2)),""Breakout"","""")"),"")</f>
        <v/>
      </c>
      <c r="H1749" s="16">
        <f>IFERROR(__xludf.DUMMYFUNCTION("GOOGLEFINANCE(B1749,""price"")"),76.53)</f>
        <v>76.53</v>
      </c>
      <c r="I1749" s="17" t="str">
        <f>IFERROR(__xludf.DUMMYFUNCTION("AVERAGE(QUERY(SORT(GOOGLEFINANCE(B1749,""price"",TODAY()-365,TODAY()),1,0),""select Col2 limit 10""))"),"#N/A")</f>
        <v>#N/A</v>
      </c>
      <c r="J1749" s="17" t="str">
        <f>IFERROR(__xludf.DUMMYFUNCTION("AVERAGE(QUERY(SORT(GOOGLEFINANCE(B1749,""price"",TODAY()-365,TODAY()),1,0),""select Col2 limit 30""))"),"#N/A")</f>
        <v>#N/A</v>
      </c>
      <c r="K1749" s="18" t="str">
        <f>IFERROR(__xludf.DUMMYFUNCTION("AVERAGE(QUERY(SORT(GOOGLEFINANCE(B1749,""price"",TODAY()-365,TODAY()),1,0),""select Col2 limit 60""))"),"#N/A")</f>
        <v>#N/A</v>
      </c>
      <c r="L1749" s="17" t="str">
        <f>IFERROR(__xludf.DUMMYFUNCTION("AVERAGE(QUERY(SORT(GOOGLEFINANCE(B1749,""price"",TODAY()-365,TODAY()),1,0),""select Col2 limit 90""))"),"#N/A")</f>
        <v>#N/A</v>
      </c>
      <c r="M1749" s="17" t="str">
        <f>IFERROR(__xludf.DUMMYFUNCTION("AVERAGE(QUERY(SORT(GOOGLEFINANCE(B1749,""price"",TODAY()-365,TODAY()),1,0),""select Col2 limit 120""))"),"#N/A")</f>
        <v>#N/A</v>
      </c>
      <c r="N1749" s="19" t="str">
        <f>IFERROR(__xludf.DUMMYFUNCTION("AVERAGE(QUERY(SORT(GOOGLEFINANCE(B1749,""price"",TODAY()-365,TODAY()),1,0),""select Col2 limit 200""))"),"#N/A")</f>
        <v>#N/A</v>
      </c>
      <c r="O1749" s="20" t="str">
        <f t="shared" si="2"/>
        <v>#N/A</v>
      </c>
      <c r="P1749" s="21" t="str">
        <f t="shared" si="3"/>
        <v>#N/A</v>
      </c>
      <c r="Q1749" s="21" t="str">
        <f t="shared" si="4"/>
        <v>#N/A</v>
      </c>
      <c r="R1749" s="22">
        <f>IFERROR(__xludf.DUMMYFUNCTION("GOOGLEFINANCE(B1749, ""pe"")
"),13.81)</f>
        <v>13.81</v>
      </c>
    </row>
    <row r="1750">
      <c r="A1750" s="9" t="s">
        <v>1758</v>
      </c>
      <c r="B1750" s="11" t="str">
        <f t="shared" si="1"/>
        <v>NSE:RHFL</v>
      </c>
      <c r="C1750" s="12">
        <f>IFERROR(__xludf.DUMMYFUNCTION("GOOGLEFINANCE(B1750,""marketcap"")/10000000"),204.2097145)</f>
        <v>204.2097145</v>
      </c>
      <c r="D1750" s="13">
        <f>IFERROR(__xludf.DUMMYFUNCTION("GOOGLEFINANCE(B1750,""price"")"),4.21)</f>
        <v>4.21</v>
      </c>
      <c r="E1750" s="14">
        <f>IFERROR(__xludf.DUMMYFUNCTION("GOOGLEFINANCE(B1750,""Volume"")"),3718955.0)</f>
        <v>3718955</v>
      </c>
      <c r="F1750" s="14">
        <f t="array" ref="F1750">F1749</f>
        <v>14</v>
      </c>
      <c r="G1750" s="15" t="str">
        <f>IFERROR(__xludf.DUMMYFUNCTION("IF(E1750&gt;AVERAGE(INDEX(GOOGLEFINANCE(B1750,""volume"",WORKDAY(TODAY(),-$F$1),TODAY()),,2)),""Breakout"","""")"),"Breakout")</f>
        <v>Breakout</v>
      </c>
      <c r="H1750" s="16">
        <f>IFERROR(__xludf.DUMMYFUNCTION("GOOGLEFINANCE(B1750,""price"")"),4.21)</f>
        <v>4.21</v>
      </c>
      <c r="I1750" s="17" t="str">
        <f>IFERROR(__xludf.DUMMYFUNCTION("AVERAGE(QUERY(SORT(GOOGLEFINANCE(B1750,""price"",TODAY()-365,TODAY()),1,0),""select Col2 limit 10""))"),"#N/A")</f>
        <v>#N/A</v>
      </c>
      <c r="J1750" s="17" t="str">
        <f>IFERROR(__xludf.DUMMYFUNCTION("AVERAGE(QUERY(SORT(GOOGLEFINANCE(B1750,""price"",TODAY()-365,TODAY()),1,0),""select Col2 limit 30""))"),"#N/A")</f>
        <v>#N/A</v>
      </c>
      <c r="K1750" s="18" t="str">
        <f>IFERROR(__xludf.DUMMYFUNCTION("AVERAGE(QUERY(SORT(GOOGLEFINANCE(B1750,""price"",TODAY()-365,TODAY()),1,0),""select Col2 limit 60""))"),"#N/A")</f>
        <v>#N/A</v>
      </c>
      <c r="L1750" s="17" t="str">
        <f>IFERROR(__xludf.DUMMYFUNCTION("AVERAGE(QUERY(SORT(GOOGLEFINANCE(B1750,""price"",TODAY()-365,TODAY()),1,0),""select Col2 limit 90""))"),"#N/A")</f>
        <v>#N/A</v>
      </c>
      <c r="M1750" s="17" t="str">
        <f>IFERROR(__xludf.DUMMYFUNCTION("AVERAGE(QUERY(SORT(GOOGLEFINANCE(B1750,""price"",TODAY()-365,TODAY()),1,0),""select Col2 limit 120""))"),"#N/A")</f>
        <v>#N/A</v>
      </c>
      <c r="N1750" s="19" t="str">
        <f>IFERROR(__xludf.DUMMYFUNCTION("AVERAGE(QUERY(SORT(GOOGLEFINANCE(B1750,""price"",TODAY()-365,TODAY()),1,0),""select Col2 limit 200""))"),"#N/A")</f>
        <v>#N/A</v>
      </c>
      <c r="O1750" s="20" t="str">
        <f t="shared" si="2"/>
        <v>#N/A</v>
      </c>
      <c r="P1750" s="21" t="str">
        <f t="shared" si="3"/>
        <v>#N/A</v>
      </c>
      <c r="Q1750" s="21" t="str">
        <f t="shared" si="4"/>
        <v>#N/A</v>
      </c>
      <c r="R1750" s="22">
        <f>IFERROR(__xludf.DUMMYFUNCTION("GOOGLEFINANCE(B1750, ""pe"")
"),8.42)</f>
        <v>8.42</v>
      </c>
    </row>
    <row r="1751">
      <c r="A1751" s="9" t="s">
        <v>1759</v>
      </c>
      <c r="B1751" s="11" t="str">
        <f t="shared" si="1"/>
        <v>NSE:SPLIL</v>
      </c>
      <c r="C1751" s="12">
        <f>IFERROR(__xludf.DUMMYFUNCTION("GOOGLEFINANCE(B1751,""marketcap"")/10000000"),117.449986)</f>
        <v>117.449986</v>
      </c>
      <c r="D1751" s="13">
        <f>IFERROR(__xludf.DUMMYFUNCTION("GOOGLEFINANCE(B1751,""price"")"),40.5)</f>
        <v>40.5</v>
      </c>
      <c r="E1751" s="14">
        <f>IFERROR(__xludf.DUMMYFUNCTION("GOOGLEFINANCE(B1751,""Volume"")"),335.0)</f>
        <v>335</v>
      </c>
      <c r="F1751" s="14">
        <f t="array" ref="F1751">F1750</f>
        <v>14</v>
      </c>
      <c r="G1751" s="15" t="str">
        <f>IFERROR(__xludf.DUMMYFUNCTION("IF(E1751&gt;AVERAGE(INDEX(GOOGLEFINANCE(B1751,""volume"",WORKDAY(TODAY(),-$F$1),TODAY()),,2)),""Breakout"","""")"),"")</f>
        <v/>
      </c>
      <c r="H1751" s="16">
        <f>IFERROR(__xludf.DUMMYFUNCTION("GOOGLEFINANCE(B1751,""price"")"),40.5)</f>
        <v>40.5</v>
      </c>
      <c r="I1751" s="17">
        <f>IFERROR(__xludf.DUMMYFUNCTION("AVERAGE(QUERY(SORT(GOOGLEFINANCE(B1751,""price"",TODAY()-365,TODAY()),1,0),""select Col2 limit 10""))"),41.079)</f>
        <v>41.079</v>
      </c>
      <c r="J1751" s="17">
        <f>IFERROR(__xludf.DUMMYFUNCTION("AVERAGE(QUERY(SORT(GOOGLEFINANCE(B1751,""price"",TODAY()-365,TODAY()),1,0),""select Col2 limit 30""))"),41.38366666666666)</f>
        <v>41.38366667</v>
      </c>
      <c r="K1751" s="18">
        <f>IFERROR(__xludf.DUMMYFUNCTION("AVERAGE(QUERY(SORT(GOOGLEFINANCE(B1751,""price"",TODAY()-365,TODAY()),1,0),""select Col2 limit 60""))"),39.707166666666666)</f>
        <v>39.70716667</v>
      </c>
      <c r="L1751" s="17">
        <f>IFERROR(__xludf.DUMMYFUNCTION("AVERAGE(QUERY(SORT(GOOGLEFINANCE(B1751,""price"",TODAY()-365,TODAY()),1,0),""select Col2 limit 90""))"),38.338999999999984)</f>
        <v>38.339</v>
      </c>
      <c r="M1751" s="17">
        <f>IFERROR(__xludf.DUMMYFUNCTION("AVERAGE(QUERY(SORT(GOOGLEFINANCE(B1751,""price"",TODAY()-365,TODAY()),1,0),""select Col2 limit 120""))"),39.99058333333333)</f>
        <v>39.99058333</v>
      </c>
      <c r="N1751" s="19">
        <f>IFERROR(__xludf.DUMMYFUNCTION("AVERAGE(QUERY(SORT(GOOGLEFINANCE(B1751,""price"",TODAY()-365,TODAY()),1,0),""select Col2 limit 200""))"),47.50770000000002)</f>
        <v>47.5077</v>
      </c>
      <c r="O1751" s="20" t="str">
        <f t="shared" si="2"/>
        <v>Avoid</v>
      </c>
      <c r="P1751" s="21" t="str">
        <f t="shared" si="3"/>
        <v/>
      </c>
      <c r="Q1751" s="21" t="str">
        <f t="shared" si="4"/>
        <v/>
      </c>
      <c r="R1751" s="22">
        <f>IFERROR(__xludf.DUMMYFUNCTION("GOOGLEFINANCE(B1751, ""pe"")
"),11.98)</f>
        <v>11.98</v>
      </c>
    </row>
    <row r="1752">
      <c r="A1752" s="9" t="s">
        <v>1760</v>
      </c>
      <c r="B1752" s="11" t="str">
        <f t="shared" si="1"/>
        <v>NSE:SONAMLTD</v>
      </c>
      <c r="C1752" s="12">
        <f>IFERROR(__xludf.DUMMYFUNCTION("GOOGLEFINANCE(B1752,""marketcap"")/10000000"),197.9581936)</f>
        <v>197.9581936</v>
      </c>
      <c r="D1752" s="13">
        <f>IFERROR(__xludf.DUMMYFUNCTION("GOOGLEFINANCE(B1752,""price"")"),49.45)</f>
        <v>49.45</v>
      </c>
      <c r="E1752" s="14">
        <f>IFERROR(__xludf.DUMMYFUNCTION("GOOGLEFINANCE(B1752,""Volume"")"),30757.0)</f>
        <v>30757</v>
      </c>
      <c r="F1752" s="14">
        <f t="array" ref="F1752">F1751</f>
        <v>14</v>
      </c>
      <c r="G1752" s="15" t="str">
        <f>IFERROR(__xludf.DUMMYFUNCTION("IF(E1752&gt;AVERAGE(INDEX(GOOGLEFINANCE(B1752,""volume"",WORKDAY(TODAY(),-$F$1),TODAY()),,2)),""Breakout"","""")"),"")</f>
        <v/>
      </c>
      <c r="H1752" s="16">
        <f>IFERROR(__xludf.DUMMYFUNCTION("GOOGLEFINANCE(B1752,""price"")"),49.45)</f>
        <v>49.45</v>
      </c>
      <c r="I1752" s="17">
        <f>IFERROR(__xludf.DUMMYFUNCTION("AVERAGE(QUERY(SORT(GOOGLEFINANCE(B1752,""price"",TODAY()-365,TODAY()),1,0),""select Col2 limit 10""))"),51.794000000000004)</f>
        <v>51.794</v>
      </c>
      <c r="J1752" s="17">
        <f>IFERROR(__xludf.DUMMYFUNCTION("AVERAGE(QUERY(SORT(GOOGLEFINANCE(B1752,""price"",TODAY()-365,TODAY()),1,0),""select Col2 limit 30""))"),48.88566666666667)</f>
        <v>48.88566667</v>
      </c>
      <c r="K1752" s="18">
        <f>IFERROR(__xludf.DUMMYFUNCTION("AVERAGE(QUERY(SORT(GOOGLEFINANCE(B1752,""price"",TODAY()-365,TODAY()),1,0),""select Col2 limit 60""))"),45.778999999999996)</f>
        <v>45.779</v>
      </c>
      <c r="L1752" s="17">
        <f>IFERROR(__xludf.DUMMYFUNCTION("AVERAGE(QUERY(SORT(GOOGLEFINANCE(B1752,""price"",TODAY()-365,TODAY()),1,0),""select Col2 limit 90""))"),44.847555555555566)</f>
        <v>44.84755556</v>
      </c>
      <c r="M1752" s="17">
        <f>IFERROR(__xludf.DUMMYFUNCTION("AVERAGE(QUERY(SORT(GOOGLEFINANCE(B1752,""price"",TODAY()-365,TODAY()),1,0),""select Col2 limit 120""))"),45.602166666666676)</f>
        <v>45.60216667</v>
      </c>
      <c r="N1752" s="19">
        <f>IFERROR(__xludf.DUMMYFUNCTION("AVERAGE(QUERY(SORT(GOOGLEFINANCE(B1752,""price"",TODAY()-365,TODAY()),1,0),""select Col2 limit 200""))"),57.37595)</f>
        <v>57.37595</v>
      </c>
      <c r="O1752" s="20" t="str">
        <f t="shared" si="2"/>
        <v>Avoid</v>
      </c>
      <c r="P1752" s="21" t="str">
        <f t="shared" si="3"/>
        <v/>
      </c>
      <c r="Q1752" s="21" t="str">
        <f t="shared" si="4"/>
        <v/>
      </c>
      <c r="R1752" s="22">
        <f>IFERROR(__xludf.DUMMYFUNCTION("GOOGLEFINANCE(B1752, ""pe"")
"),30.49)</f>
        <v>30.49</v>
      </c>
    </row>
    <row r="1753">
      <c r="A1753" s="9" t="s">
        <v>1761</v>
      </c>
      <c r="B1753" s="11" t="str">
        <f t="shared" si="1"/>
        <v>NSE:SIL</v>
      </c>
      <c r="C1753" s="12">
        <f>IFERROR(__xludf.DUMMYFUNCTION("GOOGLEFINANCE(B1753,""marketcap"")/10000000"),127.8859074)</f>
        <v>127.8859074</v>
      </c>
      <c r="D1753" s="13">
        <f>IFERROR(__xludf.DUMMYFUNCTION("GOOGLEFINANCE(B1753,""price"")"),20.14)</f>
        <v>20.14</v>
      </c>
      <c r="E1753" s="14">
        <f>IFERROR(__xludf.DUMMYFUNCTION("GOOGLEFINANCE(B1753,""Volume"")"),32264.0)</f>
        <v>32264</v>
      </c>
      <c r="F1753" s="14">
        <f t="array" ref="F1753">F1752</f>
        <v>14</v>
      </c>
      <c r="G1753" s="15" t="str">
        <f>IFERROR(__xludf.DUMMYFUNCTION("IF(E1753&gt;AVERAGE(INDEX(GOOGLEFINANCE(B1753,""volume"",WORKDAY(TODAY(),-$F$1),TODAY()),,2)),""Breakout"","""")"),"")</f>
        <v/>
      </c>
      <c r="H1753" s="16">
        <f>IFERROR(__xludf.DUMMYFUNCTION("GOOGLEFINANCE(B1753,""price"")"),20.14)</f>
        <v>20.14</v>
      </c>
      <c r="I1753" s="17">
        <f>IFERROR(__xludf.DUMMYFUNCTION("AVERAGE(QUERY(SORT(GOOGLEFINANCE(B1753,""price"",TODAY()-365,TODAY()),1,0),""select Col2 limit 10""))"),19.685000000000002)</f>
        <v>19.685</v>
      </c>
      <c r="J1753" s="17">
        <f>IFERROR(__xludf.DUMMYFUNCTION("AVERAGE(QUERY(SORT(GOOGLEFINANCE(B1753,""price"",TODAY()-365,TODAY()),1,0),""select Col2 limit 30""))"),19.590000000000007)</f>
        <v>19.59</v>
      </c>
      <c r="K1753" s="18">
        <f>IFERROR(__xludf.DUMMYFUNCTION("AVERAGE(QUERY(SORT(GOOGLEFINANCE(B1753,""price"",TODAY()-365,TODAY()),1,0),""select Col2 limit 60""))"),19.586333333333336)</f>
        <v>19.58633333</v>
      </c>
      <c r="L1753" s="17">
        <f>IFERROR(__xludf.DUMMYFUNCTION("AVERAGE(QUERY(SORT(GOOGLEFINANCE(B1753,""price"",TODAY()-365,TODAY()),1,0),""select Col2 limit 90""))"),19.69411111111112)</f>
        <v>19.69411111</v>
      </c>
      <c r="M1753" s="17">
        <f>IFERROR(__xludf.DUMMYFUNCTION("AVERAGE(QUERY(SORT(GOOGLEFINANCE(B1753,""price"",TODAY()-365,TODAY()),1,0),""select Col2 limit 120""))"),20.2145)</f>
        <v>20.2145</v>
      </c>
      <c r="N1753" s="19">
        <f>IFERROR(__xludf.DUMMYFUNCTION("AVERAGE(QUERY(SORT(GOOGLEFINANCE(B1753,""price"",TODAY()-365,TODAY()),1,0),""select Col2 limit 200""))"),22.815200000000008)</f>
        <v>22.8152</v>
      </c>
      <c r="O1753" s="20" t="str">
        <f t="shared" si="2"/>
        <v>Avoid</v>
      </c>
      <c r="P1753" s="21" t="str">
        <f t="shared" si="3"/>
        <v>120 DMA</v>
      </c>
      <c r="Q1753" s="21" t="str">
        <f t="shared" si="4"/>
        <v>120 DMA cross best</v>
      </c>
      <c r="R1753" s="22" t="str">
        <f>IFERROR(__xludf.DUMMYFUNCTION("GOOGLEFINANCE(B1753, ""pe"")
"),"#N/A")</f>
        <v>#N/A</v>
      </c>
    </row>
    <row r="1754">
      <c r="A1754" s="9" t="s">
        <v>1762</v>
      </c>
      <c r="B1754" s="11" t="str">
        <f t="shared" si="1"/>
        <v>NSE:RELCHEMQ</v>
      </c>
      <c r="C1754" s="12">
        <f>IFERROR(__xludf.DUMMYFUNCTION("GOOGLEFINANCE(B1754,""marketcap"")/10000000"),137.0967181)</f>
        <v>137.0967181</v>
      </c>
      <c r="D1754" s="13">
        <f>IFERROR(__xludf.DUMMYFUNCTION("GOOGLEFINANCE(B1754,""price"")"),181.74)</f>
        <v>181.74</v>
      </c>
      <c r="E1754" s="14">
        <f>IFERROR(__xludf.DUMMYFUNCTION("GOOGLEFINANCE(B1754,""Volume"")"),7040.0)</f>
        <v>7040</v>
      </c>
      <c r="F1754" s="14">
        <f t="array" ref="F1754">F1753</f>
        <v>14</v>
      </c>
      <c r="G1754" s="15" t="str">
        <f>IFERROR(__xludf.DUMMYFUNCTION("IF(E1754&gt;AVERAGE(INDEX(GOOGLEFINANCE(B1754,""volume"",WORKDAY(TODAY(),-$F$1),TODAY()),,2)),""Breakout"","""")"),"")</f>
        <v/>
      </c>
      <c r="H1754" s="16">
        <f>IFERROR(__xludf.DUMMYFUNCTION("GOOGLEFINANCE(B1754,""price"")"),181.74)</f>
        <v>181.74</v>
      </c>
      <c r="I1754" s="17">
        <f>IFERROR(__xludf.DUMMYFUNCTION("AVERAGE(QUERY(SORT(GOOGLEFINANCE(B1754,""price"",TODAY()-365,TODAY()),1,0),""select Col2 limit 10""))"),186.25799999999998)</f>
        <v>186.258</v>
      </c>
      <c r="J1754" s="17">
        <f>IFERROR(__xludf.DUMMYFUNCTION("AVERAGE(QUERY(SORT(GOOGLEFINANCE(B1754,""price"",TODAY()-365,TODAY()),1,0),""select Col2 limit 30""))"),183.191)</f>
        <v>183.191</v>
      </c>
      <c r="K1754" s="18">
        <f>IFERROR(__xludf.DUMMYFUNCTION("AVERAGE(QUERY(SORT(GOOGLEFINANCE(B1754,""price"",TODAY()-365,TODAY()),1,0),""select Col2 limit 60""))"),182.86916666666656)</f>
        <v>182.8691667</v>
      </c>
      <c r="L1754" s="17">
        <f>IFERROR(__xludf.DUMMYFUNCTION("AVERAGE(QUERY(SORT(GOOGLEFINANCE(B1754,""price"",TODAY()-365,TODAY()),1,0),""select Col2 limit 90""))"),175.42222222222213)</f>
        <v>175.4222222</v>
      </c>
      <c r="M1754" s="17">
        <f>IFERROR(__xludf.DUMMYFUNCTION("AVERAGE(QUERY(SORT(GOOGLEFINANCE(B1754,""price"",TODAY()-365,TODAY()),1,0),""select Col2 limit 120""))"),174.97191666666666)</f>
        <v>174.9719167</v>
      </c>
      <c r="N1754" s="19">
        <f>IFERROR(__xludf.DUMMYFUNCTION("AVERAGE(QUERY(SORT(GOOGLEFINANCE(B1754,""price"",TODAY()-365,TODAY()),1,0),""select Col2 limit 200""))"),189.51374999999993)</f>
        <v>189.51375</v>
      </c>
      <c r="O1754" s="20" t="str">
        <f t="shared" si="2"/>
        <v>Avoid</v>
      </c>
      <c r="P1754" s="21" t="str">
        <f t="shared" si="3"/>
        <v>30 DMA</v>
      </c>
      <c r="Q1754" s="21" t="str">
        <f t="shared" si="4"/>
        <v/>
      </c>
      <c r="R1754" s="22">
        <f>IFERROR(__xludf.DUMMYFUNCTION("GOOGLEFINANCE(B1754, ""pe"")
"),33.91)</f>
        <v>33.91</v>
      </c>
    </row>
    <row r="1755">
      <c r="A1755" s="9" t="s">
        <v>1763</v>
      </c>
      <c r="B1755" s="11" t="str">
        <f t="shared" si="1"/>
        <v>NSE:ANSALAPI</v>
      </c>
      <c r="C1755" s="12">
        <f>IFERROR(__xludf.DUMMYFUNCTION("GOOGLEFINANCE(B1755,""marketcap"")/10000000"),88.4614957)</f>
        <v>88.4614957</v>
      </c>
      <c r="D1755" s="13">
        <f>IFERROR(__xludf.DUMMYFUNCTION("GOOGLEFINANCE(B1755,""price"")"),5.62)</f>
        <v>5.62</v>
      </c>
      <c r="E1755" s="14">
        <f>IFERROR(__xludf.DUMMYFUNCTION("GOOGLEFINANCE(B1755,""Volume"")"),6336.0)</f>
        <v>6336</v>
      </c>
      <c r="F1755" s="14">
        <f t="array" ref="F1755">F1754</f>
        <v>14</v>
      </c>
      <c r="G1755" s="15" t="str">
        <f>IFERROR(__xludf.DUMMYFUNCTION("IF(E1755&gt;AVERAGE(INDEX(GOOGLEFINANCE(B1755,""volume"",WORKDAY(TODAY(),-$F$1),TODAY()),,2)),""Breakout"","""")"),"")</f>
        <v/>
      </c>
      <c r="H1755" s="16">
        <f>IFERROR(__xludf.DUMMYFUNCTION("GOOGLEFINANCE(B1755,""price"")"),5.62)</f>
        <v>5.62</v>
      </c>
      <c r="I1755" s="17">
        <f>IFERROR(__xludf.DUMMYFUNCTION("AVERAGE(QUERY(SORT(GOOGLEFINANCE(B1755,""price"",TODAY()-365,TODAY()),1,0),""select Col2 limit 10""))"),5.4670000000000005)</f>
        <v>5.467</v>
      </c>
      <c r="J1755" s="17">
        <f>IFERROR(__xludf.DUMMYFUNCTION("AVERAGE(QUERY(SORT(GOOGLEFINANCE(B1755,""price"",TODAY()-365,TODAY()),1,0),""select Col2 limit 30""))"),4.742999999999999)</f>
        <v>4.743</v>
      </c>
      <c r="K1755" s="18">
        <f>IFERROR(__xludf.DUMMYFUNCTION("AVERAGE(QUERY(SORT(GOOGLEFINANCE(B1755,""price"",TODAY()-365,TODAY()),1,0),""select Col2 limit 60""))"),4.468999999999999)</f>
        <v>4.469</v>
      </c>
      <c r="L1755" s="17">
        <f>IFERROR(__xludf.DUMMYFUNCTION("AVERAGE(QUERY(SORT(GOOGLEFINANCE(B1755,""price"",TODAY()-365,TODAY()),1,0),""select Col2 limit 90""))"),4.354555555555555)</f>
        <v>4.354555556</v>
      </c>
      <c r="M1755" s="17">
        <f>IFERROR(__xludf.DUMMYFUNCTION("AVERAGE(QUERY(SORT(GOOGLEFINANCE(B1755,""price"",TODAY()-365,TODAY()),1,0),""select Col2 limit 120""))"),5.069249999999999)</f>
        <v>5.06925</v>
      </c>
      <c r="N1755" s="19">
        <f>IFERROR(__xludf.DUMMYFUNCTION("AVERAGE(QUERY(SORT(GOOGLEFINANCE(B1755,""price"",TODAY()-365,TODAY()),1,0),""select Col2 limit 200""))"),7.275412371134017)</f>
        <v>7.275412371</v>
      </c>
      <c r="O1755" s="20" t="str">
        <f t="shared" si="2"/>
        <v>Buy Above 200 DMA</v>
      </c>
      <c r="P1755" s="21" t="str">
        <f t="shared" si="3"/>
        <v/>
      </c>
      <c r="Q1755" s="21" t="str">
        <f t="shared" si="4"/>
        <v/>
      </c>
      <c r="R1755" s="22" t="str">
        <f>IFERROR(__xludf.DUMMYFUNCTION("GOOGLEFINANCE(B1755, ""pe"")
"),"#N/A")</f>
        <v>#N/A</v>
      </c>
    </row>
    <row r="1756">
      <c r="A1756" s="9" t="s">
        <v>1764</v>
      </c>
      <c r="B1756" s="11" t="str">
        <f t="shared" si="1"/>
        <v>NSE:SIKKO</v>
      </c>
      <c r="C1756" s="12">
        <f>IFERROR(__xludf.DUMMYFUNCTION("GOOGLEFINANCE(B1756,""marketcap"")/10000000"),162.074638)</f>
        <v>162.074638</v>
      </c>
      <c r="D1756" s="13">
        <f>IFERROR(__xludf.DUMMYFUNCTION("GOOGLEFINANCE(B1756,""price"")"),74.32)</f>
        <v>74.32</v>
      </c>
      <c r="E1756" s="14">
        <f>IFERROR(__xludf.DUMMYFUNCTION("GOOGLEFINANCE(B1756,""Volume"")"),10779.0)</f>
        <v>10779</v>
      </c>
      <c r="F1756" s="14">
        <f t="array" ref="F1756">F1755</f>
        <v>14</v>
      </c>
      <c r="G1756" s="15" t="str">
        <f>IFERROR(__xludf.DUMMYFUNCTION("IF(E1756&gt;AVERAGE(INDEX(GOOGLEFINANCE(B1756,""volume"",WORKDAY(TODAY(),-$F$1),TODAY()),,2)),""Breakout"","""")"),"")</f>
        <v/>
      </c>
      <c r="H1756" s="16">
        <f>IFERROR(__xludf.DUMMYFUNCTION("GOOGLEFINANCE(B1756,""price"")"),74.32)</f>
        <v>74.32</v>
      </c>
      <c r="I1756" s="17">
        <f>IFERROR(__xludf.DUMMYFUNCTION("AVERAGE(QUERY(SORT(GOOGLEFINANCE(B1756,""price"",TODAY()-365,TODAY()),1,0),""select Col2 limit 10""))"),76.034)</f>
        <v>76.034</v>
      </c>
      <c r="J1756" s="17">
        <f>IFERROR(__xludf.DUMMYFUNCTION("AVERAGE(QUERY(SORT(GOOGLEFINANCE(B1756,""price"",TODAY()-365,TODAY()),1,0),""select Col2 limit 30""))"),77.72133333333335)</f>
        <v>77.72133333</v>
      </c>
      <c r="K1756" s="18">
        <f>IFERROR(__xludf.DUMMYFUNCTION("AVERAGE(QUERY(SORT(GOOGLEFINANCE(B1756,""price"",TODAY()-365,TODAY()),1,0),""select Col2 limit 60""))"),77.81466666666665)</f>
        <v>77.81466667</v>
      </c>
      <c r="L1756" s="17">
        <f>IFERROR(__xludf.DUMMYFUNCTION("AVERAGE(QUERY(SORT(GOOGLEFINANCE(B1756,""price"",TODAY()-365,TODAY()),1,0),""select Col2 limit 90""))"),77.69299999999998)</f>
        <v>77.693</v>
      </c>
      <c r="M1756" s="17">
        <f>IFERROR(__xludf.DUMMYFUNCTION("AVERAGE(QUERY(SORT(GOOGLEFINANCE(B1756,""price"",TODAY()-365,TODAY()),1,0),""select Col2 limit 120""))"),79.24024999999997)</f>
        <v>79.24025</v>
      </c>
      <c r="N1756" s="19">
        <f>IFERROR(__xludf.DUMMYFUNCTION("AVERAGE(QUERY(SORT(GOOGLEFINANCE(B1756,""price"",TODAY()-365,TODAY()),1,0),""select Col2 limit 200""))"),86.55669999999996)</f>
        <v>86.5567</v>
      </c>
      <c r="O1756" s="20" t="str">
        <f t="shared" si="2"/>
        <v>Avoid</v>
      </c>
      <c r="P1756" s="21" t="str">
        <f t="shared" si="3"/>
        <v/>
      </c>
      <c r="Q1756" s="21" t="str">
        <f t="shared" si="4"/>
        <v/>
      </c>
      <c r="R1756" s="22">
        <f>IFERROR(__xludf.DUMMYFUNCTION("GOOGLEFINANCE(B1756, ""pe"")
"),30.84)</f>
        <v>30.84</v>
      </c>
    </row>
    <row r="1757">
      <c r="A1757" s="9" t="s">
        <v>1765</v>
      </c>
      <c r="B1757" s="11" t="str">
        <f t="shared" si="1"/>
        <v>NSE:BAGFILMS</v>
      </c>
      <c r="C1757" s="12">
        <f>IFERROR(__xludf.DUMMYFUNCTION("GOOGLEFINANCE(B1757,""marketcap"")/10000000"),138.54267)</f>
        <v>138.54267</v>
      </c>
      <c r="D1757" s="13">
        <f>IFERROR(__xludf.DUMMYFUNCTION("GOOGLEFINANCE(B1757,""price"")"),6.97)</f>
        <v>6.97</v>
      </c>
      <c r="E1757" s="14">
        <f>IFERROR(__xludf.DUMMYFUNCTION("GOOGLEFINANCE(B1757,""Volume"")"),73742.0)</f>
        <v>73742</v>
      </c>
      <c r="F1757" s="14">
        <f t="array" ref="F1757">F1756</f>
        <v>14</v>
      </c>
      <c r="G1757" s="15" t="str">
        <f>IFERROR(__xludf.DUMMYFUNCTION("IF(E1757&gt;AVERAGE(INDEX(GOOGLEFINANCE(B1757,""volume"",WORKDAY(TODAY(),-$F$1),TODAY()),,2)),""Breakout"","""")"),"")</f>
        <v/>
      </c>
      <c r="H1757" s="16">
        <f>IFERROR(__xludf.DUMMYFUNCTION("GOOGLEFINANCE(B1757,""price"")"),6.97)</f>
        <v>6.97</v>
      </c>
      <c r="I1757" s="17">
        <f>IFERROR(__xludf.DUMMYFUNCTION("AVERAGE(QUERY(SORT(GOOGLEFINANCE(B1757,""price"",TODAY()-365,TODAY()),1,0),""select Col2 limit 10""))"),7.161000000000001)</f>
        <v>7.161</v>
      </c>
      <c r="J1757" s="17">
        <f>IFERROR(__xludf.DUMMYFUNCTION("AVERAGE(QUERY(SORT(GOOGLEFINANCE(B1757,""price"",TODAY()-365,TODAY()),1,0),""select Col2 limit 30""))"),7.342333333333334)</f>
        <v>7.342333333</v>
      </c>
      <c r="K1757" s="18">
        <f>IFERROR(__xludf.DUMMYFUNCTION("AVERAGE(QUERY(SORT(GOOGLEFINANCE(B1757,""price"",TODAY()-365,TODAY()),1,0),""select Col2 limit 60""))"),7.060833333333334)</f>
        <v>7.060833333</v>
      </c>
      <c r="L1757" s="17">
        <f>IFERROR(__xludf.DUMMYFUNCTION("AVERAGE(QUERY(SORT(GOOGLEFINANCE(B1757,""price"",TODAY()-365,TODAY()),1,0),""select Col2 limit 90""))"),6.786777777777777)</f>
        <v>6.786777778</v>
      </c>
      <c r="M1757" s="17">
        <f>IFERROR(__xludf.DUMMYFUNCTION("AVERAGE(QUERY(SORT(GOOGLEFINANCE(B1757,""price"",TODAY()-365,TODAY()),1,0),""select Col2 limit 120""))"),6.9005833333333335)</f>
        <v>6.900583333</v>
      </c>
      <c r="N1757" s="19">
        <f>IFERROR(__xludf.DUMMYFUNCTION("AVERAGE(QUERY(SORT(GOOGLEFINANCE(B1757,""price"",TODAY()-365,TODAY()),1,0),""select Col2 limit 200""))"),8.2466)</f>
        <v>8.2466</v>
      </c>
      <c r="O1757" s="20" t="str">
        <f t="shared" si="2"/>
        <v>Avoid</v>
      </c>
      <c r="P1757" s="21" t="str">
        <f t="shared" si="3"/>
        <v/>
      </c>
      <c r="Q1757" s="21" t="str">
        <f t="shared" si="4"/>
        <v/>
      </c>
      <c r="R1757" s="22">
        <f>IFERROR(__xludf.DUMMYFUNCTION("GOOGLEFINANCE(B1757, ""pe"")
"),17.07)</f>
        <v>17.07</v>
      </c>
    </row>
    <row r="1758">
      <c r="A1758" s="9" t="s">
        <v>1766</v>
      </c>
      <c r="B1758" s="11" t="str">
        <f t="shared" si="1"/>
        <v>NSE:BHARATGEAR</v>
      </c>
      <c r="C1758" s="12">
        <f>IFERROR(__xludf.DUMMYFUNCTION("GOOGLEFINANCE(B1758,""marketcap"")/10000000"),145.1052225)</f>
        <v>145.1052225</v>
      </c>
      <c r="D1758" s="13">
        <f>IFERROR(__xludf.DUMMYFUNCTION("GOOGLEFINANCE(B1758,""price"")"),94.3)</f>
        <v>94.3</v>
      </c>
      <c r="E1758" s="14">
        <f>IFERROR(__xludf.DUMMYFUNCTION("GOOGLEFINANCE(B1758,""Volume"")"),33767.0)</f>
        <v>33767</v>
      </c>
      <c r="F1758" s="14">
        <f t="array" ref="F1758">F1757</f>
        <v>14</v>
      </c>
      <c r="G1758" s="15" t="str">
        <f>IFERROR(__xludf.DUMMYFUNCTION("IF(E1758&gt;AVERAGE(INDEX(GOOGLEFINANCE(B1758,""volume"",WORKDAY(TODAY(),-$F$1),TODAY()),,2)),""Breakout"","""")"),"")</f>
        <v/>
      </c>
      <c r="H1758" s="16">
        <f>IFERROR(__xludf.DUMMYFUNCTION("GOOGLEFINANCE(B1758,""price"")"),94.3)</f>
        <v>94.3</v>
      </c>
      <c r="I1758" s="17">
        <f>IFERROR(__xludf.DUMMYFUNCTION("AVERAGE(QUERY(SORT(GOOGLEFINANCE(B1758,""price"",TODAY()-365,TODAY()),1,0),""select Col2 limit 10""))"),93.725)</f>
        <v>93.725</v>
      </c>
      <c r="J1758" s="17">
        <f>IFERROR(__xludf.DUMMYFUNCTION("AVERAGE(QUERY(SORT(GOOGLEFINANCE(B1758,""price"",TODAY()-365,TODAY()),1,0),""select Col2 limit 30""))"),90.59266666666669)</f>
        <v>90.59266667</v>
      </c>
      <c r="K1758" s="18">
        <f>IFERROR(__xludf.DUMMYFUNCTION("AVERAGE(QUERY(SORT(GOOGLEFINANCE(B1758,""price"",TODAY()-365,TODAY()),1,0),""select Col2 limit 60""))"),87.51716666666671)</f>
        <v>87.51716667</v>
      </c>
      <c r="L1758" s="17">
        <f>IFERROR(__xludf.DUMMYFUNCTION("AVERAGE(QUERY(SORT(GOOGLEFINANCE(B1758,""price"",TODAY()-365,TODAY()),1,0),""select Col2 limit 90""))"),82.12033333333336)</f>
        <v>82.12033333</v>
      </c>
      <c r="M1758" s="17">
        <f>IFERROR(__xludf.DUMMYFUNCTION("AVERAGE(QUERY(SORT(GOOGLEFINANCE(B1758,""price"",TODAY()-365,TODAY()),1,0),""select Col2 limit 120""))"),81.47450000000008)</f>
        <v>81.4745</v>
      </c>
      <c r="N1758" s="19">
        <f>IFERROR(__xludf.DUMMYFUNCTION("AVERAGE(QUERY(SORT(GOOGLEFINANCE(B1758,""price"",TODAY()-365,TODAY()),1,0),""select Col2 limit 200""))"),88.8233)</f>
        <v>88.8233</v>
      </c>
      <c r="O1758" s="20" t="str">
        <f t="shared" si="2"/>
        <v>Avoid</v>
      </c>
      <c r="P1758" s="21" t="str">
        <f t="shared" si="3"/>
        <v/>
      </c>
      <c r="Q1758" s="21" t="str">
        <f t="shared" si="4"/>
        <v/>
      </c>
      <c r="R1758" s="22">
        <f>IFERROR(__xludf.DUMMYFUNCTION("GOOGLEFINANCE(B1758, ""pe"")
"),45.51)</f>
        <v>45.51</v>
      </c>
    </row>
    <row r="1759">
      <c r="A1759" s="9" t="s">
        <v>1767</v>
      </c>
      <c r="B1759" s="11" t="str">
        <f t="shared" si="1"/>
        <v>NSE:ZENITHEXPO</v>
      </c>
      <c r="C1759" s="12">
        <f>IFERROR(__xludf.DUMMYFUNCTION("GOOGLEFINANCE(B1759,""marketcap"")/10000000"),125.7811193)</f>
        <v>125.7811193</v>
      </c>
      <c r="D1759" s="13">
        <f>IFERROR(__xludf.DUMMYFUNCTION("GOOGLEFINANCE(B1759,""price"")"),233.09)</f>
        <v>233.09</v>
      </c>
      <c r="E1759" s="14">
        <f>IFERROR(__xludf.DUMMYFUNCTION("GOOGLEFINANCE(B1759,""Volume"")"),81.0)</f>
        <v>81</v>
      </c>
      <c r="F1759" s="14">
        <f t="array" ref="F1759">F1758</f>
        <v>14</v>
      </c>
      <c r="G1759" s="15" t="str">
        <f>IFERROR(__xludf.DUMMYFUNCTION("IF(E1759&gt;AVERAGE(INDEX(GOOGLEFINANCE(B1759,""volume"",WORKDAY(TODAY(),-$F$1),TODAY()),,2)),""Breakout"","""")"),"")</f>
        <v/>
      </c>
      <c r="H1759" s="16">
        <f>IFERROR(__xludf.DUMMYFUNCTION("GOOGLEFINANCE(B1759,""price"")"),233.09)</f>
        <v>233.09</v>
      </c>
      <c r="I1759" s="17">
        <f>IFERROR(__xludf.DUMMYFUNCTION("AVERAGE(QUERY(SORT(GOOGLEFINANCE(B1759,""price"",TODAY()-365,TODAY()),1,0),""select Col2 limit 10""))"),237.789)</f>
        <v>237.789</v>
      </c>
      <c r="J1759" s="17">
        <f>IFERROR(__xludf.DUMMYFUNCTION("AVERAGE(QUERY(SORT(GOOGLEFINANCE(B1759,""price"",TODAY()-365,TODAY()),1,0),""select Col2 limit 30""))"),243.21066666666664)</f>
        <v>243.2106667</v>
      </c>
      <c r="K1759" s="18">
        <f>IFERROR(__xludf.DUMMYFUNCTION("AVERAGE(QUERY(SORT(GOOGLEFINANCE(B1759,""price"",TODAY()-365,TODAY()),1,0),""select Col2 limit 60""))"),248.2423333333334)</f>
        <v>248.2423333</v>
      </c>
      <c r="L1759" s="17">
        <f>IFERROR(__xludf.DUMMYFUNCTION("AVERAGE(QUERY(SORT(GOOGLEFINANCE(B1759,""price"",TODAY()-365,TODAY()),1,0),""select Col2 limit 90""))"),241.85722222222225)</f>
        <v>241.8572222</v>
      </c>
      <c r="M1759" s="17">
        <f>IFERROR(__xludf.DUMMYFUNCTION("AVERAGE(QUERY(SORT(GOOGLEFINANCE(B1759,""price"",TODAY()-365,TODAY()),1,0),""select Col2 limit 120""))"),246.12791666666664)</f>
        <v>246.1279167</v>
      </c>
      <c r="N1759" s="19">
        <f>IFERROR(__xludf.DUMMYFUNCTION("AVERAGE(QUERY(SORT(GOOGLEFINANCE(B1759,""price"",TODAY()-365,TODAY()),1,0),""select Col2 limit 200""))"),260.28174999999993)</f>
        <v>260.28175</v>
      </c>
      <c r="O1759" s="20" t="str">
        <f t="shared" si="2"/>
        <v>Avoid</v>
      </c>
      <c r="P1759" s="21" t="str">
        <f t="shared" si="3"/>
        <v/>
      </c>
      <c r="Q1759" s="21" t="str">
        <f t="shared" si="4"/>
        <v/>
      </c>
      <c r="R1759" s="22">
        <f>IFERROR(__xludf.DUMMYFUNCTION("GOOGLEFINANCE(B1759, ""pe"")
"),73.8)</f>
        <v>73.8</v>
      </c>
    </row>
    <row r="1760">
      <c r="A1760" s="9" t="s">
        <v>1768</v>
      </c>
      <c r="B1760" s="11" t="str">
        <f t="shared" si="1"/>
        <v>NSE:JOCIL</v>
      </c>
      <c r="C1760" s="12">
        <f>IFERROR(__xludf.DUMMYFUNCTION("GOOGLEFINANCE(B1760,""marketcap"")/10000000"),146.4057302)</f>
        <v>146.4057302</v>
      </c>
      <c r="D1760" s="13">
        <f>IFERROR(__xludf.DUMMYFUNCTION("GOOGLEFINANCE(B1760,""price"")"),164.85)</f>
        <v>164.85</v>
      </c>
      <c r="E1760" s="14">
        <f>IFERROR(__xludf.DUMMYFUNCTION("GOOGLEFINANCE(B1760,""Volume"")"),872.0)</f>
        <v>872</v>
      </c>
      <c r="F1760" s="14">
        <f t="array" ref="F1760">F1759</f>
        <v>14</v>
      </c>
      <c r="G1760" s="15" t="str">
        <f>IFERROR(__xludf.DUMMYFUNCTION("IF(E1760&gt;AVERAGE(INDEX(GOOGLEFINANCE(B1760,""volume"",WORKDAY(TODAY(),-$F$1),TODAY()),,2)),""Breakout"","""")"),"")</f>
        <v/>
      </c>
      <c r="H1760" s="16">
        <f>IFERROR(__xludf.DUMMYFUNCTION("GOOGLEFINANCE(B1760,""price"")"),164.85)</f>
        <v>164.85</v>
      </c>
      <c r="I1760" s="17">
        <f>IFERROR(__xludf.DUMMYFUNCTION("AVERAGE(QUERY(SORT(GOOGLEFINANCE(B1760,""price"",TODAY()-365,TODAY()),1,0),""select Col2 limit 10""))"),165.131)</f>
        <v>165.131</v>
      </c>
      <c r="J1760" s="17">
        <f>IFERROR(__xludf.DUMMYFUNCTION("AVERAGE(QUERY(SORT(GOOGLEFINANCE(B1760,""price"",TODAY()-365,TODAY()),1,0),""select Col2 limit 30""))"),162.96399999999997)</f>
        <v>162.964</v>
      </c>
      <c r="K1760" s="18">
        <f>IFERROR(__xludf.DUMMYFUNCTION("AVERAGE(QUERY(SORT(GOOGLEFINANCE(B1760,""price"",TODAY()-365,TODAY()),1,0),""select Col2 limit 60""))"),161.99316666666667)</f>
        <v>161.9931667</v>
      </c>
      <c r="L1760" s="17">
        <f>IFERROR(__xludf.DUMMYFUNCTION("AVERAGE(QUERY(SORT(GOOGLEFINANCE(B1760,""price"",TODAY()-365,TODAY()),1,0),""select Col2 limit 90""))"),156.81422222222224)</f>
        <v>156.8142222</v>
      </c>
      <c r="M1760" s="17">
        <f>IFERROR(__xludf.DUMMYFUNCTION("AVERAGE(QUERY(SORT(GOOGLEFINANCE(B1760,""price"",TODAY()-365,TODAY()),1,0),""select Col2 limit 120""))"),159.26225000000002)</f>
        <v>159.26225</v>
      </c>
      <c r="N1760" s="19">
        <f>IFERROR(__xludf.DUMMYFUNCTION("AVERAGE(QUERY(SORT(GOOGLEFINANCE(B1760,""price"",TODAY()-365,TODAY()),1,0),""select Col2 limit 200""))"),175.19085000000004)</f>
        <v>175.19085</v>
      </c>
      <c r="O1760" s="20" t="str">
        <f t="shared" si="2"/>
        <v>Avoid</v>
      </c>
      <c r="P1760" s="21" t="str">
        <f t="shared" si="3"/>
        <v>10 DMA</v>
      </c>
      <c r="Q1760" s="21" t="str">
        <f t="shared" si="4"/>
        <v/>
      </c>
      <c r="R1760" s="22">
        <f>IFERROR(__xludf.DUMMYFUNCTION("GOOGLEFINANCE(B1760, ""pe"")
"),143.35)</f>
        <v>143.35</v>
      </c>
    </row>
    <row r="1761">
      <c r="A1761" s="9" t="s">
        <v>1769</v>
      </c>
      <c r="B1761" s="11" t="str">
        <f t="shared" si="1"/>
        <v>NSE:JHS</v>
      </c>
      <c r="C1761" s="12">
        <f>IFERROR(__xludf.DUMMYFUNCTION("GOOGLEFINANCE(B1761,""marketcap"")/10000000"),106.4056751)</f>
        <v>106.4056751</v>
      </c>
      <c r="D1761" s="13">
        <f>IFERROR(__xludf.DUMMYFUNCTION("GOOGLEFINANCE(B1761,""price"")"),12.43)</f>
        <v>12.43</v>
      </c>
      <c r="E1761" s="14">
        <f>IFERROR(__xludf.DUMMYFUNCTION("GOOGLEFINANCE(B1761,""Volume"")"),32486.0)</f>
        <v>32486</v>
      </c>
      <c r="F1761" s="14">
        <f t="array" ref="F1761">F1760</f>
        <v>14</v>
      </c>
      <c r="G1761" s="15" t="str">
        <f>IFERROR(__xludf.DUMMYFUNCTION("IF(E1761&gt;AVERAGE(INDEX(GOOGLEFINANCE(B1761,""volume"",WORKDAY(TODAY(),-$F$1),TODAY()),,2)),""Breakout"","""")"),"#N/A")</f>
        <v>#N/A</v>
      </c>
      <c r="H1761" s="16">
        <f>IFERROR(__xludf.DUMMYFUNCTION("GOOGLEFINANCE(B1761,""price"")"),12.43)</f>
        <v>12.43</v>
      </c>
      <c r="I1761" s="17">
        <f>IFERROR(__xludf.DUMMYFUNCTION("AVERAGE(QUERY(SORT(GOOGLEFINANCE(B1761,""price"",TODAY()-365,TODAY()),1,0),""select Col2 limit 10""))"),12.854)</f>
        <v>12.854</v>
      </c>
      <c r="J1761" s="17">
        <f>IFERROR(__xludf.DUMMYFUNCTION("AVERAGE(QUERY(SORT(GOOGLEFINANCE(B1761,""price"",TODAY()-365,TODAY()),1,0),""select Col2 limit 30""))"),13.061666666666664)</f>
        <v>13.06166667</v>
      </c>
      <c r="K1761" s="18">
        <f>IFERROR(__xludf.DUMMYFUNCTION("AVERAGE(QUERY(SORT(GOOGLEFINANCE(B1761,""price"",TODAY()-365,TODAY()),1,0),""select Col2 limit 60""))"),13.5285)</f>
        <v>13.5285</v>
      </c>
      <c r="L1761" s="17">
        <f>IFERROR(__xludf.DUMMYFUNCTION("AVERAGE(QUERY(SORT(GOOGLEFINANCE(B1761,""price"",TODAY()-365,TODAY()),1,0),""select Col2 limit 90""))"),13.420333333333332)</f>
        <v>13.42033333</v>
      </c>
      <c r="M1761" s="17">
        <f>IFERROR(__xludf.DUMMYFUNCTION("AVERAGE(QUERY(SORT(GOOGLEFINANCE(B1761,""price"",TODAY()-365,TODAY()),1,0),""select Col2 limit 120""))"),14.02475)</f>
        <v>14.02475</v>
      </c>
      <c r="N1761" s="19">
        <f>IFERROR(__xludf.DUMMYFUNCTION("AVERAGE(QUERY(SORT(GOOGLEFINANCE(B1761,""price"",TODAY()-365,TODAY()),1,0),""select Col2 limit 200""))"),17.67225)</f>
        <v>17.67225</v>
      </c>
      <c r="O1761" s="20" t="str">
        <f t="shared" si="2"/>
        <v>Avoid</v>
      </c>
      <c r="P1761" s="21" t="str">
        <f t="shared" si="3"/>
        <v/>
      </c>
      <c r="Q1761" s="21" t="str">
        <f t="shared" si="4"/>
        <v/>
      </c>
      <c r="R1761" s="22" t="str">
        <f>IFERROR(__xludf.DUMMYFUNCTION("GOOGLEFINANCE(B1761, ""pe"")
"),"#N/A")</f>
        <v>#N/A</v>
      </c>
    </row>
    <row r="1762">
      <c r="A1762" s="9" t="s">
        <v>1770</v>
      </c>
      <c r="B1762" s="11" t="str">
        <f t="shared" si="1"/>
        <v>NSE:BHANDARI</v>
      </c>
      <c r="C1762" s="12">
        <f>IFERROR(__xludf.DUMMYFUNCTION("GOOGLEFINANCE(B1762,""marketcap"")/10000000"),128.18649)</f>
        <v>128.18649</v>
      </c>
      <c r="D1762" s="13">
        <f>IFERROR(__xludf.DUMMYFUNCTION("GOOGLEFINANCE(B1762,""price"")"),5.34)</f>
        <v>5.34</v>
      </c>
      <c r="E1762" s="14">
        <f>IFERROR(__xludf.DUMMYFUNCTION("GOOGLEFINANCE(B1762,""Volume"")"),100303.0)</f>
        <v>100303</v>
      </c>
      <c r="F1762" s="14">
        <f t="array" ref="F1762">F1761</f>
        <v>14</v>
      </c>
      <c r="G1762" s="15" t="str">
        <f>IFERROR(__xludf.DUMMYFUNCTION("IF(E1762&gt;AVERAGE(INDEX(GOOGLEFINANCE(B1762,""volume"",WORKDAY(TODAY(),-$F$1),TODAY()),,2)),""Breakout"","""")"),"")</f>
        <v/>
      </c>
      <c r="H1762" s="16">
        <f>IFERROR(__xludf.DUMMYFUNCTION("GOOGLEFINANCE(B1762,""price"")"),5.34)</f>
        <v>5.34</v>
      </c>
      <c r="I1762" s="17">
        <f>IFERROR(__xludf.DUMMYFUNCTION("AVERAGE(QUERY(SORT(GOOGLEFINANCE(B1762,""price"",TODAY()-365,TODAY()),1,0),""select Col2 limit 10""))"),5.6000000000000005)</f>
        <v>5.6</v>
      </c>
      <c r="J1762" s="17">
        <f>IFERROR(__xludf.DUMMYFUNCTION("AVERAGE(QUERY(SORT(GOOGLEFINANCE(B1762,""price"",TODAY()-365,TODAY()),1,0),""select Col2 limit 30""))"),5.534666666666667)</f>
        <v>5.534666667</v>
      </c>
      <c r="K1762" s="18">
        <f>IFERROR(__xludf.DUMMYFUNCTION("AVERAGE(QUERY(SORT(GOOGLEFINANCE(B1762,""price"",TODAY()-365,TODAY()),1,0),""select Col2 limit 60""))"),5.460833333333334)</f>
        <v>5.460833333</v>
      </c>
      <c r="L1762" s="17">
        <f>IFERROR(__xludf.DUMMYFUNCTION("AVERAGE(QUERY(SORT(GOOGLEFINANCE(B1762,""price"",TODAY()-365,TODAY()),1,0),""select Col2 limit 90""))"),5.287777777777778)</f>
        <v>5.287777778</v>
      </c>
      <c r="M1762" s="17">
        <f>IFERROR(__xludf.DUMMYFUNCTION("AVERAGE(QUERY(SORT(GOOGLEFINANCE(B1762,""price"",TODAY()-365,TODAY()),1,0),""select Col2 limit 120""))"),5.361416666666668)</f>
        <v>5.361416667</v>
      </c>
      <c r="N1762" s="19">
        <f>IFERROR(__xludf.DUMMYFUNCTION("AVERAGE(QUERY(SORT(GOOGLEFINANCE(B1762,""price"",TODAY()-365,TODAY()),1,0),""select Col2 limit 200""))"),5.970899999999999)</f>
        <v>5.9709</v>
      </c>
      <c r="O1762" s="20" t="str">
        <f t="shared" si="2"/>
        <v>Avoid</v>
      </c>
      <c r="P1762" s="21" t="str">
        <f t="shared" si="3"/>
        <v>120 DMA</v>
      </c>
      <c r="Q1762" s="21" t="str">
        <f t="shared" si="4"/>
        <v/>
      </c>
      <c r="R1762" s="22">
        <f>IFERROR(__xludf.DUMMYFUNCTION("GOOGLEFINANCE(B1762, ""pe"")
"),16.69)</f>
        <v>16.69</v>
      </c>
    </row>
    <row r="1763">
      <c r="A1763" s="9" t="s">
        <v>1771</v>
      </c>
      <c r="B1763" s="11" t="str">
        <f t="shared" si="1"/>
        <v>NSE:LAMBODHARA</v>
      </c>
      <c r="C1763" s="12">
        <f>IFERROR(__xludf.DUMMYFUNCTION("GOOGLEFINANCE(B1763,""marketcap"")/10000000"),140.0872281)</f>
        <v>140.0872281</v>
      </c>
      <c r="D1763" s="13">
        <f>IFERROR(__xludf.DUMMYFUNCTION("GOOGLEFINANCE(B1763,""price"")"),134.99)</f>
        <v>134.99</v>
      </c>
      <c r="E1763" s="14">
        <f>IFERROR(__xludf.DUMMYFUNCTION("GOOGLEFINANCE(B1763,""Volume"")"),3531.0)</f>
        <v>3531</v>
      </c>
      <c r="F1763" s="14">
        <f t="array" ref="F1763">F1762</f>
        <v>14</v>
      </c>
      <c r="G1763" s="15" t="str">
        <f>IFERROR(__xludf.DUMMYFUNCTION("IF(E1763&gt;AVERAGE(INDEX(GOOGLEFINANCE(B1763,""volume"",WORKDAY(TODAY(),-$F$1),TODAY()),,2)),""Breakout"","""")"),"#N/A")</f>
        <v>#N/A</v>
      </c>
      <c r="H1763" s="16">
        <f>IFERROR(__xludf.DUMMYFUNCTION("GOOGLEFINANCE(B1763,""price"")"),134.99)</f>
        <v>134.99</v>
      </c>
      <c r="I1763" s="17">
        <f>IFERROR(__xludf.DUMMYFUNCTION("AVERAGE(QUERY(SORT(GOOGLEFINANCE(B1763,""price"",TODAY()-365,TODAY()),1,0),""select Col2 limit 10""))"),137.3)</f>
        <v>137.3</v>
      </c>
      <c r="J1763" s="17">
        <f>IFERROR(__xludf.DUMMYFUNCTION("AVERAGE(QUERY(SORT(GOOGLEFINANCE(B1763,""price"",TODAY()-365,TODAY()),1,0),""select Col2 limit 30""))"),137.13733333333337)</f>
        <v>137.1373333</v>
      </c>
      <c r="K1763" s="18">
        <f>IFERROR(__xludf.DUMMYFUNCTION("AVERAGE(QUERY(SORT(GOOGLEFINANCE(B1763,""price"",TODAY()-365,TODAY()),1,0),""select Col2 limit 60""))"),138.19533333333337)</f>
        <v>138.1953333</v>
      </c>
      <c r="L1763" s="17">
        <f>IFERROR(__xludf.DUMMYFUNCTION("AVERAGE(QUERY(SORT(GOOGLEFINANCE(B1763,""price"",TODAY()-365,TODAY()),1,0),""select Col2 limit 90""))"),136.73244444444447)</f>
        <v>136.7324444</v>
      </c>
      <c r="M1763" s="17">
        <f>IFERROR(__xludf.DUMMYFUNCTION("AVERAGE(QUERY(SORT(GOOGLEFINANCE(B1763,""price"",TODAY()-365,TODAY()),1,0),""select Col2 limit 120""))"),134.56366666666665)</f>
        <v>134.5636667</v>
      </c>
      <c r="N1763" s="19">
        <f>IFERROR(__xludf.DUMMYFUNCTION("AVERAGE(QUERY(SORT(GOOGLEFINANCE(B1763,""price"",TODAY()-365,TODAY()),1,0),""select Col2 limit 200""))"),147.47105000000002)</f>
        <v>147.47105</v>
      </c>
      <c r="O1763" s="20" t="str">
        <f t="shared" si="2"/>
        <v>Avoid</v>
      </c>
      <c r="P1763" s="21" t="str">
        <f t="shared" si="3"/>
        <v/>
      </c>
      <c r="Q1763" s="21" t="str">
        <f t="shared" si="4"/>
        <v/>
      </c>
      <c r="R1763" s="22">
        <f>IFERROR(__xludf.DUMMYFUNCTION("GOOGLEFINANCE(B1763, ""pe"")
"),20.43)</f>
        <v>20.43</v>
      </c>
    </row>
    <row r="1764">
      <c r="A1764" s="9" t="s">
        <v>1772</v>
      </c>
      <c r="B1764" s="11" t="str">
        <f t="shared" si="1"/>
        <v>NSE:MANGALAM</v>
      </c>
      <c r="C1764" s="12">
        <f>IFERROR(__xludf.DUMMYFUNCTION("GOOGLEFINANCE(B1764,""marketcap"")/10000000"),138.4971)</f>
        <v>138.4971</v>
      </c>
      <c r="D1764" s="13">
        <f>IFERROR(__xludf.DUMMYFUNCTION("GOOGLEFINANCE(B1764,""price"")"),87.5)</f>
        <v>87.5</v>
      </c>
      <c r="E1764" s="14">
        <f>IFERROR(__xludf.DUMMYFUNCTION("GOOGLEFINANCE(B1764,""Volume"")"),3248.0)</f>
        <v>3248</v>
      </c>
      <c r="F1764" s="14">
        <f t="array" ref="F1764">F1763</f>
        <v>14</v>
      </c>
      <c r="G1764" s="15" t="str">
        <f>IFERROR(__xludf.DUMMYFUNCTION("IF(E1764&gt;AVERAGE(INDEX(GOOGLEFINANCE(B1764,""volume"",WORKDAY(TODAY(),-$F$1),TODAY()),,2)),""Breakout"","""")"),"")</f>
        <v/>
      </c>
      <c r="H1764" s="16">
        <f>IFERROR(__xludf.DUMMYFUNCTION("GOOGLEFINANCE(B1764,""price"")"),87.5)</f>
        <v>87.5</v>
      </c>
      <c r="I1764" s="17" t="str">
        <f>IFERROR(__xludf.DUMMYFUNCTION("AVERAGE(QUERY(SORT(GOOGLEFINANCE(B1764,""price"",TODAY()-365,TODAY()),1,0),""select Col2 limit 10""))"),"#N/A")</f>
        <v>#N/A</v>
      </c>
      <c r="J1764" s="17" t="str">
        <f>IFERROR(__xludf.DUMMYFUNCTION("AVERAGE(QUERY(SORT(GOOGLEFINANCE(B1764,""price"",TODAY()-365,TODAY()),1,0),""select Col2 limit 30""))"),"#N/A")</f>
        <v>#N/A</v>
      </c>
      <c r="K1764" s="18" t="str">
        <f>IFERROR(__xludf.DUMMYFUNCTION("AVERAGE(QUERY(SORT(GOOGLEFINANCE(B1764,""price"",TODAY()-365,TODAY()),1,0),""select Col2 limit 60""))"),"#N/A")</f>
        <v>#N/A</v>
      </c>
      <c r="L1764" s="17" t="str">
        <f>IFERROR(__xludf.DUMMYFUNCTION("AVERAGE(QUERY(SORT(GOOGLEFINANCE(B1764,""price"",TODAY()-365,TODAY()),1,0),""select Col2 limit 90""))"),"#N/A")</f>
        <v>#N/A</v>
      </c>
      <c r="M1764" s="17" t="str">
        <f>IFERROR(__xludf.DUMMYFUNCTION("AVERAGE(QUERY(SORT(GOOGLEFINANCE(B1764,""price"",TODAY()-365,TODAY()),1,0),""select Col2 limit 120""))"),"#N/A")</f>
        <v>#N/A</v>
      </c>
      <c r="N1764" s="19" t="str">
        <f>IFERROR(__xludf.DUMMYFUNCTION("AVERAGE(QUERY(SORT(GOOGLEFINANCE(B1764,""price"",TODAY()-365,TODAY()),1,0),""select Col2 limit 200""))"),"#N/A")</f>
        <v>#N/A</v>
      </c>
      <c r="O1764" s="20" t="str">
        <f t="shared" si="2"/>
        <v>#N/A</v>
      </c>
      <c r="P1764" s="21" t="str">
        <f t="shared" si="3"/>
        <v>#N/A</v>
      </c>
      <c r="Q1764" s="21" t="str">
        <f t="shared" si="4"/>
        <v>#N/A</v>
      </c>
      <c r="R1764" s="22">
        <f>IFERROR(__xludf.DUMMYFUNCTION("GOOGLEFINANCE(B1764, ""pe"")
"),20.59)</f>
        <v>20.59</v>
      </c>
    </row>
    <row r="1765">
      <c r="A1765" s="9" t="s">
        <v>1773</v>
      </c>
      <c r="B1765" s="11" t="str">
        <f t="shared" si="1"/>
        <v>NSE:BTML</v>
      </c>
      <c r="C1765" s="12">
        <f>IFERROR(__xludf.DUMMYFUNCTION("GOOGLEFINANCE(B1765,""marketcap"")/10000000"),149.4520907)</f>
        <v>149.4520907</v>
      </c>
      <c r="D1765" s="13">
        <f>IFERROR(__xludf.DUMMYFUNCTION("GOOGLEFINANCE(B1765,""price"")"),8.3)</f>
        <v>8.3</v>
      </c>
      <c r="E1765" s="14">
        <f>IFERROR(__xludf.DUMMYFUNCTION("GOOGLEFINANCE(B1765,""Volume"")"),109573.0)</f>
        <v>109573</v>
      </c>
      <c r="F1765" s="14">
        <f t="array" ref="F1765">F1764</f>
        <v>14</v>
      </c>
      <c r="G1765" s="15" t="str">
        <f>IFERROR(__xludf.DUMMYFUNCTION("IF(E1765&gt;AVERAGE(INDEX(GOOGLEFINANCE(B1765,""volume"",WORKDAY(TODAY(),-$F$1),TODAY()),,2)),""Breakout"","""")"),"")</f>
        <v/>
      </c>
      <c r="H1765" s="16">
        <f>IFERROR(__xludf.DUMMYFUNCTION("GOOGLEFINANCE(B1765,""price"")"),8.3)</f>
        <v>8.3</v>
      </c>
      <c r="I1765" s="17">
        <f>IFERROR(__xludf.DUMMYFUNCTION("AVERAGE(QUERY(SORT(GOOGLEFINANCE(B1765,""price"",TODAY()-365,TODAY()),1,0),""select Col2 limit 10""))"),8.36)</f>
        <v>8.36</v>
      </c>
      <c r="J1765" s="17">
        <f>IFERROR(__xludf.DUMMYFUNCTION("AVERAGE(QUERY(SORT(GOOGLEFINANCE(B1765,""price"",TODAY()-365,TODAY()),1,0),""select Col2 limit 30""))"),8.411666666666667)</f>
        <v>8.411666667</v>
      </c>
      <c r="K1765" s="18">
        <f>IFERROR(__xludf.DUMMYFUNCTION("AVERAGE(QUERY(SORT(GOOGLEFINANCE(B1765,""price"",TODAY()-365,TODAY()),1,0),""select Col2 limit 60""))"),8.231166666666667)</f>
        <v>8.231166667</v>
      </c>
      <c r="L1765" s="17">
        <f>IFERROR(__xludf.DUMMYFUNCTION("AVERAGE(QUERY(SORT(GOOGLEFINANCE(B1765,""price"",TODAY()-365,TODAY()),1,0),""select Col2 limit 90""))"),8.350888888888893)</f>
        <v>8.350888889</v>
      </c>
      <c r="M1765" s="17">
        <f>IFERROR(__xludf.DUMMYFUNCTION("AVERAGE(QUERY(SORT(GOOGLEFINANCE(B1765,""price"",TODAY()-365,TODAY()),1,0),""select Col2 limit 120""))"),8.561916666666669)</f>
        <v>8.561916667</v>
      </c>
      <c r="N1765" s="19">
        <f>IFERROR(__xludf.DUMMYFUNCTION("AVERAGE(QUERY(SORT(GOOGLEFINANCE(B1765,""price"",TODAY()-365,TODAY()),1,0),""select Col2 limit 200""))"),9.602200000000009)</f>
        <v>9.6022</v>
      </c>
      <c r="O1765" s="20" t="str">
        <f t="shared" si="2"/>
        <v>Avoid</v>
      </c>
      <c r="P1765" s="21" t="str">
        <f t="shared" si="3"/>
        <v>10 DMA</v>
      </c>
      <c r="Q1765" s="21" t="str">
        <f t="shared" si="4"/>
        <v/>
      </c>
      <c r="R1765" s="22">
        <f>IFERROR(__xludf.DUMMYFUNCTION("GOOGLEFINANCE(B1765, ""pe"")
"),21.28)</f>
        <v>21.28</v>
      </c>
    </row>
    <row r="1766">
      <c r="A1766" s="9" t="s">
        <v>1774</v>
      </c>
      <c r="B1766" s="11" t="str">
        <f t="shared" si="1"/>
        <v>NSE:LPDC</v>
      </c>
      <c r="C1766" s="12">
        <f>IFERROR(__xludf.DUMMYFUNCTION("GOOGLEFINANCE(B1766,""marketcap"")/10000000"),110.66814)</f>
        <v>110.66814</v>
      </c>
      <c r="D1766" s="13">
        <f>IFERROR(__xludf.DUMMYFUNCTION("GOOGLEFINANCE(B1766,""price"")"),8.25)</f>
        <v>8.25</v>
      </c>
      <c r="E1766" s="14">
        <f>IFERROR(__xludf.DUMMYFUNCTION("GOOGLEFINANCE(B1766,""Volume"")"),6026.0)</f>
        <v>6026</v>
      </c>
      <c r="F1766" s="14">
        <f t="array" ref="F1766">F1765</f>
        <v>14</v>
      </c>
      <c r="G1766" s="15" t="str">
        <f>IFERROR(__xludf.DUMMYFUNCTION("IF(E1766&gt;AVERAGE(INDEX(GOOGLEFINANCE(B1766,""volume"",WORKDAY(TODAY(),-$F$1),TODAY()),,2)),""Breakout"","""")"),"")</f>
        <v/>
      </c>
      <c r="H1766" s="16">
        <f>IFERROR(__xludf.DUMMYFUNCTION("GOOGLEFINANCE(B1766,""price"")"),8.25)</f>
        <v>8.25</v>
      </c>
      <c r="I1766" s="17">
        <f>IFERROR(__xludf.DUMMYFUNCTION("AVERAGE(QUERY(SORT(GOOGLEFINANCE(B1766,""price"",TODAY()-365,TODAY()),1,0),""select Col2 limit 10""))"),8.517)</f>
        <v>8.517</v>
      </c>
      <c r="J1766" s="17">
        <f>IFERROR(__xludf.DUMMYFUNCTION("AVERAGE(QUERY(SORT(GOOGLEFINANCE(B1766,""price"",TODAY()-365,TODAY()),1,0),""select Col2 limit 30""))"),8.600333333333333)</f>
        <v>8.600333333</v>
      </c>
      <c r="K1766" s="18">
        <f>IFERROR(__xludf.DUMMYFUNCTION("AVERAGE(QUERY(SORT(GOOGLEFINANCE(B1766,""price"",TODAY()-365,TODAY()),1,0),""select Col2 limit 60""))"),8.5375)</f>
        <v>8.5375</v>
      </c>
      <c r="L1766" s="17">
        <f>IFERROR(__xludf.DUMMYFUNCTION("AVERAGE(QUERY(SORT(GOOGLEFINANCE(B1766,""price"",TODAY()-365,TODAY()),1,0),""select Col2 limit 90""))"),8.37266666666667)</f>
        <v>8.372666667</v>
      </c>
      <c r="M1766" s="17">
        <f>IFERROR(__xludf.DUMMYFUNCTION("AVERAGE(QUERY(SORT(GOOGLEFINANCE(B1766,""price"",TODAY()-365,TODAY()),1,0),""select Col2 limit 120""))"),8.386583333333338)</f>
        <v>8.386583333</v>
      </c>
      <c r="N1766" s="19">
        <f>IFERROR(__xludf.DUMMYFUNCTION("AVERAGE(QUERY(SORT(GOOGLEFINANCE(B1766,""price"",TODAY()-365,TODAY()),1,0),""select Col2 limit 200""))"),9.1186)</f>
        <v>9.1186</v>
      </c>
      <c r="O1766" s="20" t="str">
        <f t="shared" si="2"/>
        <v>Avoid</v>
      </c>
      <c r="P1766" s="21" t="str">
        <f t="shared" si="3"/>
        <v/>
      </c>
      <c r="Q1766" s="21" t="str">
        <f t="shared" si="4"/>
        <v/>
      </c>
      <c r="R1766" s="22" t="str">
        <f>IFERROR(__xludf.DUMMYFUNCTION("GOOGLEFINANCE(B1766, ""pe"")
"),"#N/A")</f>
        <v>#N/A</v>
      </c>
    </row>
    <row r="1767">
      <c r="A1767" s="9" t="s">
        <v>1775</v>
      </c>
      <c r="B1767" s="11" t="str">
        <f t="shared" si="1"/>
        <v>NSE:GANGESSECU</v>
      </c>
      <c r="C1767" s="12">
        <f>IFERROR(__xludf.DUMMYFUNCTION("GOOGLEFINANCE(B1767,""marketcap"")/10000000"),160.2689639)</f>
        <v>160.2689639</v>
      </c>
      <c r="D1767" s="13">
        <f>IFERROR(__xludf.DUMMYFUNCTION("GOOGLEFINANCE(B1767,""price"")"),160.21)</f>
        <v>160.21</v>
      </c>
      <c r="E1767" s="14">
        <f>IFERROR(__xludf.DUMMYFUNCTION("GOOGLEFINANCE(B1767,""Volume"")"),68.0)</f>
        <v>68</v>
      </c>
      <c r="F1767" s="14">
        <f t="array" ref="F1767">F1766</f>
        <v>14</v>
      </c>
      <c r="G1767" s="15" t="str">
        <f>IFERROR(__xludf.DUMMYFUNCTION("IF(E1767&gt;AVERAGE(INDEX(GOOGLEFINANCE(B1767,""volume"",WORKDAY(TODAY(),-$F$1),TODAY()),,2)),""Breakout"","""")"),"")</f>
        <v/>
      </c>
      <c r="H1767" s="16">
        <f>IFERROR(__xludf.DUMMYFUNCTION("GOOGLEFINANCE(B1767,""price"")"),160.21)</f>
        <v>160.21</v>
      </c>
      <c r="I1767" s="17">
        <f>IFERROR(__xludf.DUMMYFUNCTION("AVERAGE(QUERY(SORT(GOOGLEFINANCE(B1767,""price"",TODAY()-365,TODAY()),1,0),""select Col2 limit 10""))"),163.64799999999997)</f>
        <v>163.648</v>
      </c>
      <c r="J1767" s="17">
        <f>IFERROR(__xludf.DUMMYFUNCTION("AVERAGE(QUERY(SORT(GOOGLEFINANCE(B1767,""price"",TODAY()-365,TODAY()),1,0),""select Col2 limit 30""))"),166.64266666666666)</f>
        <v>166.6426667</v>
      </c>
      <c r="K1767" s="18">
        <f>IFERROR(__xludf.DUMMYFUNCTION("AVERAGE(QUERY(SORT(GOOGLEFINANCE(B1767,""price"",TODAY()-365,TODAY()),1,0),""select Col2 limit 60""))"),161.95066666666665)</f>
        <v>161.9506667</v>
      </c>
      <c r="L1767" s="17">
        <f>IFERROR(__xludf.DUMMYFUNCTION("AVERAGE(QUERY(SORT(GOOGLEFINANCE(B1767,""price"",TODAY()-365,TODAY()),1,0),""select Col2 limit 90""))"),156.6924444444444)</f>
        <v>156.6924444</v>
      </c>
      <c r="M1767" s="17">
        <f>IFERROR(__xludf.DUMMYFUNCTION("AVERAGE(QUERY(SORT(GOOGLEFINANCE(B1767,""price"",TODAY()-365,TODAY()),1,0),""select Col2 limit 120""))"),155.07733333333326)</f>
        <v>155.0773333</v>
      </c>
      <c r="N1767" s="19">
        <f>IFERROR(__xludf.DUMMYFUNCTION("AVERAGE(QUERY(SORT(GOOGLEFINANCE(B1767,""price"",TODAY()-365,TODAY()),1,0),""select Col2 limit 200""))"),170.0144)</f>
        <v>170.0144</v>
      </c>
      <c r="O1767" s="20" t="str">
        <f t="shared" si="2"/>
        <v>Avoid</v>
      </c>
      <c r="P1767" s="21" t="str">
        <f t="shared" si="3"/>
        <v/>
      </c>
      <c r="Q1767" s="21" t="str">
        <f t="shared" si="4"/>
        <v/>
      </c>
      <c r="R1767" s="22">
        <f>IFERROR(__xludf.DUMMYFUNCTION("GOOGLEFINANCE(B1767, ""pe"")
"),31.66)</f>
        <v>31.66</v>
      </c>
    </row>
    <row r="1768">
      <c r="A1768" s="9" t="s">
        <v>1776</v>
      </c>
      <c r="B1768" s="11" t="str">
        <f t="shared" si="1"/>
        <v>NSE:DIGJAMLMTD</v>
      </c>
      <c r="C1768" s="12">
        <f>IFERROR(__xludf.DUMMYFUNCTION("GOOGLEFINANCE(B1768,""marketcap"")/10000000"),112.2799987)</f>
        <v>112.2799987</v>
      </c>
      <c r="D1768" s="13">
        <f>IFERROR(__xludf.DUMMYFUNCTION("GOOGLEFINANCE(B1768,""price"")"),56.14)</f>
        <v>56.14</v>
      </c>
      <c r="E1768" s="14">
        <f>IFERROR(__xludf.DUMMYFUNCTION("GOOGLEFINANCE(B1768,""Volume"")"),5527.0)</f>
        <v>5527</v>
      </c>
      <c r="F1768" s="14">
        <f t="array" ref="F1768">F1767</f>
        <v>14</v>
      </c>
      <c r="G1768" s="15" t="str">
        <f>IFERROR(__xludf.DUMMYFUNCTION("IF(E1768&gt;AVERAGE(INDEX(GOOGLEFINANCE(B1768,""volume"",WORKDAY(TODAY(),-$F$1),TODAY()),,2)),""Breakout"","""")"),"")</f>
        <v/>
      </c>
      <c r="H1768" s="16">
        <f>IFERROR(__xludf.DUMMYFUNCTION("GOOGLEFINANCE(B1768,""price"")"),56.14)</f>
        <v>56.14</v>
      </c>
      <c r="I1768" s="17">
        <f>IFERROR(__xludf.DUMMYFUNCTION("AVERAGE(QUERY(SORT(GOOGLEFINANCE(B1768,""price"",TODAY()-365,TODAY()),1,0),""select Col2 limit 10""))"),54.41700000000001)</f>
        <v>54.417</v>
      </c>
      <c r="J1768" s="17">
        <f>IFERROR(__xludf.DUMMYFUNCTION("AVERAGE(QUERY(SORT(GOOGLEFINANCE(B1768,""price"",TODAY()-365,TODAY()),1,0),""select Col2 limit 30""))"),43.82133333333335)</f>
        <v>43.82133333</v>
      </c>
      <c r="K1768" s="18">
        <f>IFERROR(__xludf.DUMMYFUNCTION("AVERAGE(QUERY(SORT(GOOGLEFINANCE(B1768,""price"",TODAY()-365,TODAY()),1,0),""select Col2 limit 60""))"),41.10916666666666)</f>
        <v>41.10916667</v>
      </c>
      <c r="L1768" s="17">
        <f>IFERROR(__xludf.DUMMYFUNCTION("AVERAGE(QUERY(SORT(GOOGLEFINANCE(B1768,""price"",TODAY()-365,TODAY()),1,0),""select Col2 limit 90""))"),40.38511111111112)</f>
        <v>40.38511111</v>
      </c>
      <c r="M1768" s="17">
        <f>IFERROR(__xludf.DUMMYFUNCTION("AVERAGE(QUERY(SORT(GOOGLEFINANCE(B1768,""price"",TODAY()-365,TODAY()),1,0),""select Col2 limit 120""))"),40.96841666666667)</f>
        <v>40.96841667</v>
      </c>
      <c r="N1768" s="19">
        <f>IFERROR(__xludf.DUMMYFUNCTION("AVERAGE(QUERY(SORT(GOOGLEFINANCE(B1768,""price"",TODAY()-365,TODAY()),1,0),""select Col2 limit 200""))"),55.283600000000014)</f>
        <v>55.2836</v>
      </c>
      <c r="O1768" s="20" t="str">
        <f t="shared" si="2"/>
        <v>Avoid</v>
      </c>
      <c r="P1768" s="21" t="str">
        <f t="shared" si="3"/>
        <v/>
      </c>
      <c r="Q1768" s="21" t="str">
        <f t="shared" si="4"/>
        <v/>
      </c>
      <c r="R1768" s="22">
        <f>IFERROR(__xludf.DUMMYFUNCTION("GOOGLEFINANCE(B1768, ""pe"")
"),56.76)</f>
        <v>56.76</v>
      </c>
    </row>
    <row r="1769">
      <c r="A1769" s="9" t="s">
        <v>1777</v>
      </c>
      <c r="B1769" s="11" t="str">
        <f t="shared" si="1"/>
        <v>NSE:SURYALAXMI</v>
      </c>
      <c r="C1769" s="12">
        <f>IFERROR(__xludf.DUMMYFUNCTION("GOOGLEFINANCE(B1769,""marketcap"")/10000000"),135.5485337)</f>
        <v>135.5485337</v>
      </c>
      <c r="D1769" s="13">
        <f>IFERROR(__xludf.DUMMYFUNCTION("GOOGLEFINANCE(B1769,""price"")"),72.08)</f>
        <v>72.08</v>
      </c>
      <c r="E1769" s="14">
        <f>IFERROR(__xludf.DUMMYFUNCTION("GOOGLEFINANCE(B1769,""Volume"")"),6941.0)</f>
        <v>6941</v>
      </c>
      <c r="F1769" s="14">
        <f t="array" ref="F1769">F1768</f>
        <v>14</v>
      </c>
      <c r="G1769" s="15" t="str">
        <f>IFERROR(__xludf.DUMMYFUNCTION("IF(E1769&gt;AVERAGE(INDEX(GOOGLEFINANCE(B1769,""volume"",WORKDAY(TODAY(),-$F$1),TODAY()),,2)),""Breakout"","""")"),"")</f>
        <v/>
      </c>
      <c r="H1769" s="16">
        <f>IFERROR(__xludf.DUMMYFUNCTION("GOOGLEFINANCE(B1769,""price"")"),72.08)</f>
        <v>72.08</v>
      </c>
      <c r="I1769" s="17">
        <f>IFERROR(__xludf.DUMMYFUNCTION("AVERAGE(QUERY(SORT(GOOGLEFINANCE(B1769,""price"",TODAY()-365,TODAY()),1,0),""select Col2 limit 10""))"),73.529)</f>
        <v>73.529</v>
      </c>
      <c r="J1769" s="17">
        <f>IFERROR(__xludf.DUMMYFUNCTION("AVERAGE(QUERY(SORT(GOOGLEFINANCE(B1769,""price"",TODAY()-365,TODAY()),1,0),""select Col2 limit 30""))"),73.26600000000002)</f>
        <v>73.266</v>
      </c>
      <c r="K1769" s="18">
        <f>IFERROR(__xludf.DUMMYFUNCTION("AVERAGE(QUERY(SORT(GOOGLEFINANCE(B1769,""price"",TODAY()-365,TODAY()),1,0),""select Col2 limit 60""))"),70.58783333333332)</f>
        <v>70.58783333</v>
      </c>
      <c r="L1769" s="17">
        <f>IFERROR(__xludf.DUMMYFUNCTION("AVERAGE(QUERY(SORT(GOOGLEFINANCE(B1769,""price"",TODAY()-365,TODAY()),1,0),""select Col2 limit 90""))"),67.37066666666666)</f>
        <v>67.37066667</v>
      </c>
      <c r="M1769" s="17">
        <f>IFERROR(__xludf.DUMMYFUNCTION("AVERAGE(QUERY(SORT(GOOGLEFINANCE(B1769,""price"",TODAY()-365,TODAY()),1,0),""select Col2 limit 120""))"),67.95308333333334)</f>
        <v>67.95308333</v>
      </c>
      <c r="N1769" s="19">
        <f>IFERROR(__xludf.DUMMYFUNCTION("AVERAGE(QUERY(SORT(GOOGLEFINANCE(B1769,""price"",TODAY()-365,TODAY()),1,0),""select Col2 limit 200""))"),74.35500000000003)</f>
        <v>74.355</v>
      </c>
      <c r="O1769" s="20" t="str">
        <f t="shared" si="2"/>
        <v>Avoid</v>
      </c>
      <c r="P1769" s="21" t="str">
        <f t="shared" si="3"/>
        <v/>
      </c>
      <c r="Q1769" s="21" t="str">
        <f t="shared" si="4"/>
        <v/>
      </c>
      <c r="R1769" s="22">
        <f>IFERROR(__xludf.DUMMYFUNCTION("GOOGLEFINANCE(B1769, ""pe"")
"),37.31)</f>
        <v>37.31</v>
      </c>
    </row>
    <row r="1770">
      <c r="A1770" s="9" t="s">
        <v>1778</v>
      </c>
      <c r="B1770" s="11" t="str">
        <f t="shared" si="1"/>
        <v>NSE:TARMAT</v>
      </c>
      <c r="C1770" s="12">
        <f>IFERROR(__xludf.DUMMYFUNCTION("GOOGLEFINANCE(B1770,""marketcap"")/10000000"),136.7811973)</f>
        <v>136.7811973</v>
      </c>
      <c r="D1770" s="13">
        <f>IFERROR(__xludf.DUMMYFUNCTION("GOOGLEFINANCE(B1770,""price"")"),56.84)</f>
        <v>56.84</v>
      </c>
      <c r="E1770" s="14">
        <f>IFERROR(__xludf.DUMMYFUNCTION("GOOGLEFINANCE(B1770,""Volume"")"),9072.0)</f>
        <v>9072</v>
      </c>
      <c r="F1770" s="14">
        <f t="array" ref="F1770">F1769</f>
        <v>14</v>
      </c>
      <c r="G1770" s="15" t="str">
        <f>IFERROR(__xludf.DUMMYFUNCTION("IF(E1770&gt;AVERAGE(INDEX(GOOGLEFINANCE(B1770,""volume"",WORKDAY(TODAY(),-$F$1),TODAY()),,2)),""Breakout"","""")"),"")</f>
        <v/>
      </c>
      <c r="H1770" s="16">
        <f>IFERROR(__xludf.DUMMYFUNCTION("GOOGLEFINANCE(B1770,""price"")"),56.84)</f>
        <v>56.84</v>
      </c>
      <c r="I1770" s="17">
        <f>IFERROR(__xludf.DUMMYFUNCTION("AVERAGE(QUERY(SORT(GOOGLEFINANCE(B1770,""price"",TODAY()-365,TODAY()),1,0),""select Col2 limit 10""))"),59.463)</f>
        <v>59.463</v>
      </c>
      <c r="J1770" s="17">
        <f>IFERROR(__xludf.DUMMYFUNCTION("AVERAGE(QUERY(SORT(GOOGLEFINANCE(B1770,""price"",TODAY()-365,TODAY()),1,0),""select Col2 limit 30""))"),56.57033333333333)</f>
        <v>56.57033333</v>
      </c>
      <c r="K1770" s="18">
        <f>IFERROR(__xludf.DUMMYFUNCTION("AVERAGE(QUERY(SORT(GOOGLEFINANCE(B1770,""price"",TODAY()-365,TODAY()),1,0),""select Col2 limit 60""))"),54.757666666666665)</f>
        <v>54.75766667</v>
      </c>
      <c r="L1770" s="17">
        <f>IFERROR(__xludf.DUMMYFUNCTION("AVERAGE(QUERY(SORT(GOOGLEFINANCE(B1770,""price"",TODAY()-365,TODAY()),1,0),""select Col2 limit 90""))"),54.03300000000002)</f>
        <v>54.033</v>
      </c>
      <c r="M1770" s="17">
        <f>IFERROR(__xludf.DUMMYFUNCTION("AVERAGE(QUERY(SORT(GOOGLEFINANCE(B1770,""price"",TODAY()-365,TODAY()),1,0),""select Col2 limit 120""))"),55.67366666666668)</f>
        <v>55.67366667</v>
      </c>
      <c r="N1770" s="19">
        <f>IFERROR(__xludf.DUMMYFUNCTION("AVERAGE(QUERY(SORT(GOOGLEFINANCE(B1770,""price"",TODAY()-365,TODAY()),1,0),""select Col2 limit 200""))"),64.26530000000001)</f>
        <v>64.2653</v>
      </c>
      <c r="O1770" s="20" t="str">
        <f t="shared" si="2"/>
        <v>Avoid</v>
      </c>
      <c r="P1770" s="21" t="str">
        <f t="shared" si="3"/>
        <v/>
      </c>
      <c r="Q1770" s="21" t="str">
        <f t="shared" si="4"/>
        <v/>
      </c>
      <c r="R1770" s="22">
        <f>IFERROR(__xludf.DUMMYFUNCTION("GOOGLEFINANCE(B1770, ""pe"")
"),89.78)</f>
        <v>89.78</v>
      </c>
    </row>
    <row r="1771">
      <c r="A1771" s="9" t="s">
        <v>1779</v>
      </c>
      <c r="B1771" s="11" t="str">
        <f t="shared" si="1"/>
        <v>NSE:S&amp;SPOWER</v>
      </c>
      <c r="C1771" s="12">
        <f>IFERROR(__xludf.DUMMYFUNCTION("GOOGLEFINANCE(B1771,""marketcap"")/10000000"),453.301875)</f>
        <v>453.301875</v>
      </c>
      <c r="D1771" s="13">
        <f>IFERROR(__xludf.DUMMYFUNCTION("GOOGLEFINANCE(B1771,""price"")"),364.55)</f>
        <v>364.55</v>
      </c>
      <c r="E1771" s="14">
        <f>IFERROR(__xludf.DUMMYFUNCTION("GOOGLEFINANCE(B1771,""Volume"")"),911.0)</f>
        <v>911</v>
      </c>
      <c r="F1771" s="14">
        <f t="array" ref="F1771">F1770</f>
        <v>14</v>
      </c>
      <c r="G1771" s="15" t="str">
        <f>IFERROR(__xludf.DUMMYFUNCTION("IF(E1771&gt;AVERAGE(INDEX(GOOGLEFINANCE(B1771,""volume"",WORKDAY(TODAY(),-$F$1),TODAY()),,2)),""Breakout"","""")"),"")</f>
        <v/>
      </c>
      <c r="H1771" s="16">
        <f>IFERROR(__xludf.DUMMYFUNCTION("GOOGLEFINANCE(B1771,""price"")"),364.55)</f>
        <v>364.55</v>
      </c>
      <c r="I1771" s="17">
        <f>IFERROR(__xludf.DUMMYFUNCTION("AVERAGE(QUERY(SORT(GOOGLEFINANCE(B1771,""price"",TODAY()-365,TODAY()),1,0),""select Col2 limit 10""))"),407.96999999999997)</f>
        <v>407.97</v>
      </c>
      <c r="J1771" s="17">
        <f>IFERROR(__xludf.DUMMYFUNCTION("AVERAGE(QUERY(SORT(GOOGLEFINANCE(B1771,""price"",TODAY()-365,TODAY()),1,0),""select Col2 limit 30""))"),385.9483333333332)</f>
        <v>385.9483333</v>
      </c>
      <c r="K1771" s="18">
        <f>IFERROR(__xludf.DUMMYFUNCTION("AVERAGE(QUERY(SORT(GOOGLEFINANCE(B1771,""price"",TODAY()-365,TODAY()),1,0),""select Col2 limit 60""))"),370.16749999999985)</f>
        <v>370.1675</v>
      </c>
      <c r="L1771" s="17">
        <f>IFERROR(__xludf.DUMMYFUNCTION("AVERAGE(QUERY(SORT(GOOGLEFINANCE(B1771,""price"",TODAY()-365,TODAY()),1,0),""select Col2 limit 90""))"),369.2327777777778)</f>
        <v>369.2327778</v>
      </c>
      <c r="M1771" s="17">
        <f>IFERROR(__xludf.DUMMYFUNCTION("AVERAGE(QUERY(SORT(GOOGLEFINANCE(B1771,""price"",TODAY()-365,TODAY()),1,0),""select Col2 limit 120""))"),357.53208333333345)</f>
        <v>357.5320833</v>
      </c>
      <c r="N1771" s="19">
        <f>IFERROR(__xludf.DUMMYFUNCTION("AVERAGE(QUERY(SORT(GOOGLEFINANCE(B1771,""price"",TODAY()-365,TODAY()),1,0),""select Col2 limit 200""))"),381.97025)</f>
        <v>381.97025</v>
      </c>
      <c r="O1771" s="20" t="str">
        <f t="shared" si="2"/>
        <v>Avoid</v>
      </c>
      <c r="P1771" s="21" t="str">
        <f t="shared" si="3"/>
        <v/>
      </c>
      <c r="Q1771" s="21" t="str">
        <f t="shared" si="4"/>
        <v/>
      </c>
      <c r="R1771" s="22" t="str">
        <f>IFERROR(__xludf.DUMMYFUNCTION("GOOGLEFINANCE(B1771, ""pe"")
"),"#N/A")</f>
        <v>#N/A</v>
      </c>
    </row>
    <row r="1772">
      <c r="A1772" s="9" t="s">
        <v>1780</v>
      </c>
      <c r="B1772" s="11" t="str">
        <f t="shared" si="1"/>
        <v>NSE:KOHINOOR</v>
      </c>
      <c r="C1772" s="12">
        <f>IFERROR(__xludf.DUMMYFUNCTION("GOOGLEFINANCE(B1772,""marketcap"")/10000000"),129.9356747)</f>
        <v>129.9356747</v>
      </c>
      <c r="D1772" s="13">
        <f>IFERROR(__xludf.DUMMYFUNCTION("GOOGLEFINANCE(B1772,""price"")"),34.83)</f>
        <v>34.83</v>
      </c>
      <c r="E1772" s="14">
        <f>IFERROR(__xludf.DUMMYFUNCTION("GOOGLEFINANCE(B1772,""Volume"")"),17798.0)</f>
        <v>17798</v>
      </c>
      <c r="F1772" s="14">
        <f t="array" ref="F1772">F1771</f>
        <v>14</v>
      </c>
      <c r="G1772" s="15" t="str">
        <f>IFERROR(__xludf.DUMMYFUNCTION("IF(E1772&gt;AVERAGE(INDEX(GOOGLEFINANCE(B1772,""volume"",WORKDAY(TODAY(),-$F$1),TODAY()),,2)),""Breakout"","""")"),"")</f>
        <v/>
      </c>
      <c r="H1772" s="16">
        <f>IFERROR(__xludf.DUMMYFUNCTION("GOOGLEFINANCE(B1772,""price"")"),34.83)</f>
        <v>34.83</v>
      </c>
      <c r="I1772" s="17" t="str">
        <f>IFERROR(__xludf.DUMMYFUNCTION("AVERAGE(QUERY(SORT(GOOGLEFINANCE(B1772,""price"",TODAY()-365,TODAY()),1,0),""select Col2 limit 10""))"),"#N/A")</f>
        <v>#N/A</v>
      </c>
      <c r="J1772" s="17" t="str">
        <f>IFERROR(__xludf.DUMMYFUNCTION("AVERAGE(QUERY(SORT(GOOGLEFINANCE(B1772,""price"",TODAY()-365,TODAY()),1,0),""select Col2 limit 30""))"),"#N/A")</f>
        <v>#N/A</v>
      </c>
      <c r="K1772" s="18" t="str">
        <f>IFERROR(__xludf.DUMMYFUNCTION("AVERAGE(QUERY(SORT(GOOGLEFINANCE(B1772,""price"",TODAY()-365,TODAY()),1,0),""select Col2 limit 60""))"),"#N/A")</f>
        <v>#N/A</v>
      </c>
      <c r="L1772" s="17" t="str">
        <f>IFERROR(__xludf.DUMMYFUNCTION("AVERAGE(QUERY(SORT(GOOGLEFINANCE(B1772,""price"",TODAY()-365,TODAY()),1,0),""select Col2 limit 90""))"),"#N/A")</f>
        <v>#N/A</v>
      </c>
      <c r="M1772" s="17" t="str">
        <f>IFERROR(__xludf.DUMMYFUNCTION("AVERAGE(QUERY(SORT(GOOGLEFINANCE(B1772,""price"",TODAY()-365,TODAY()),1,0),""select Col2 limit 120""))"),"#N/A")</f>
        <v>#N/A</v>
      </c>
      <c r="N1772" s="19" t="str">
        <f>IFERROR(__xludf.DUMMYFUNCTION("AVERAGE(QUERY(SORT(GOOGLEFINANCE(B1772,""price"",TODAY()-365,TODAY()),1,0),""select Col2 limit 200""))"),"#N/A")</f>
        <v>#N/A</v>
      </c>
      <c r="O1772" s="20" t="str">
        <f t="shared" si="2"/>
        <v>#N/A</v>
      </c>
      <c r="P1772" s="21" t="str">
        <f t="shared" si="3"/>
        <v>#N/A</v>
      </c>
      <c r="Q1772" s="21" t="str">
        <f t="shared" si="4"/>
        <v>#N/A</v>
      </c>
      <c r="R1772" s="22">
        <f>IFERROR(__xludf.DUMMYFUNCTION("GOOGLEFINANCE(B1772, ""pe"")
"),0.35)</f>
        <v>0.35</v>
      </c>
    </row>
    <row r="1773">
      <c r="A1773" s="9" t="s">
        <v>1781</v>
      </c>
      <c r="B1773" s="11" t="str">
        <f t="shared" si="1"/>
        <v>NSE:PANACHE</v>
      </c>
      <c r="C1773" s="12">
        <f>IFERROR(__xludf.DUMMYFUNCTION("GOOGLEFINANCE(B1773,""marketcap"")/10000000"),329.9640014)</f>
        <v>329.9640014</v>
      </c>
      <c r="D1773" s="13">
        <f>IFERROR(__xludf.DUMMYFUNCTION("GOOGLEFINANCE(B1773,""price"")"),274.97)</f>
        <v>274.97</v>
      </c>
      <c r="E1773" s="14">
        <f>IFERROR(__xludf.DUMMYFUNCTION("GOOGLEFINANCE(B1773,""Volume"")"),6485.0)</f>
        <v>6485</v>
      </c>
      <c r="F1773" s="14">
        <f t="array" ref="F1773">F1772</f>
        <v>14</v>
      </c>
      <c r="G1773" s="15" t="str">
        <f>IFERROR(__xludf.DUMMYFUNCTION("IF(E1773&gt;AVERAGE(INDEX(GOOGLEFINANCE(B1773,""volume"",WORKDAY(TODAY(),-$F$1),TODAY()),,2)),""Breakout"","""")"),"")</f>
        <v/>
      </c>
      <c r="H1773" s="16">
        <f>IFERROR(__xludf.DUMMYFUNCTION("GOOGLEFINANCE(B1773,""price"")"),274.97)</f>
        <v>274.97</v>
      </c>
      <c r="I1773" s="17" t="str">
        <f>IFERROR(__xludf.DUMMYFUNCTION("AVERAGE(QUERY(SORT(GOOGLEFINANCE(B1773,""price"",TODAY()-365,TODAY()),1,0),""select Col2 limit 10""))"),"#N/A")</f>
        <v>#N/A</v>
      </c>
      <c r="J1773" s="17" t="str">
        <f>IFERROR(__xludf.DUMMYFUNCTION("AVERAGE(QUERY(SORT(GOOGLEFINANCE(B1773,""price"",TODAY()-365,TODAY()),1,0),""select Col2 limit 30""))"),"#N/A")</f>
        <v>#N/A</v>
      </c>
      <c r="K1773" s="18" t="str">
        <f>IFERROR(__xludf.DUMMYFUNCTION("AVERAGE(QUERY(SORT(GOOGLEFINANCE(B1773,""price"",TODAY()-365,TODAY()),1,0),""select Col2 limit 60""))"),"#N/A")</f>
        <v>#N/A</v>
      </c>
      <c r="L1773" s="17" t="str">
        <f>IFERROR(__xludf.DUMMYFUNCTION("AVERAGE(QUERY(SORT(GOOGLEFINANCE(B1773,""price"",TODAY()-365,TODAY()),1,0),""select Col2 limit 90""))"),"#N/A")</f>
        <v>#N/A</v>
      </c>
      <c r="M1773" s="17" t="str">
        <f>IFERROR(__xludf.DUMMYFUNCTION("AVERAGE(QUERY(SORT(GOOGLEFINANCE(B1773,""price"",TODAY()-365,TODAY()),1,0),""select Col2 limit 120""))"),"#N/A")</f>
        <v>#N/A</v>
      </c>
      <c r="N1773" s="19" t="str">
        <f>IFERROR(__xludf.DUMMYFUNCTION("AVERAGE(QUERY(SORT(GOOGLEFINANCE(B1773,""price"",TODAY()-365,TODAY()),1,0),""select Col2 limit 200""))"),"#N/A")</f>
        <v>#N/A</v>
      </c>
      <c r="O1773" s="20" t="str">
        <f t="shared" si="2"/>
        <v>#N/A</v>
      </c>
      <c r="P1773" s="21" t="str">
        <f t="shared" si="3"/>
        <v>#N/A</v>
      </c>
      <c r="Q1773" s="21" t="str">
        <f t="shared" si="4"/>
        <v>#N/A</v>
      </c>
      <c r="R1773" s="22">
        <f>IFERROR(__xludf.DUMMYFUNCTION("GOOGLEFINANCE(B1773, ""pe"")
"),70.68)</f>
        <v>70.68</v>
      </c>
    </row>
    <row r="1774">
      <c r="A1774" s="9" t="s">
        <v>1782</v>
      </c>
      <c r="B1774" s="11" t="str">
        <f t="shared" si="1"/>
        <v>NSE:MUKTAARTS</v>
      </c>
      <c r="C1774" s="12">
        <f>IFERROR(__xludf.DUMMYFUNCTION("GOOGLEFINANCE(B1774,""marketcap"")/10000000"),192.8776114)</f>
        <v>192.8776114</v>
      </c>
      <c r="D1774" s="13">
        <f>IFERROR(__xludf.DUMMYFUNCTION("GOOGLEFINANCE(B1774,""price"")"),85.4)</f>
        <v>85.4</v>
      </c>
      <c r="E1774" s="14">
        <f>IFERROR(__xludf.DUMMYFUNCTION("GOOGLEFINANCE(B1774,""Volume"")"),9874.0)</f>
        <v>9874</v>
      </c>
      <c r="F1774" s="14">
        <f t="array" ref="F1774">F1773</f>
        <v>14</v>
      </c>
      <c r="G1774" s="15" t="str">
        <f>IFERROR(__xludf.DUMMYFUNCTION("IF(E1774&gt;AVERAGE(INDEX(GOOGLEFINANCE(B1774,""volume"",WORKDAY(TODAY(),-$F$1),TODAY()),,2)),""Breakout"","""")"),"Breakout")</f>
        <v>Breakout</v>
      </c>
      <c r="H1774" s="16">
        <f>IFERROR(__xludf.DUMMYFUNCTION("GOOGLEFINANCE(B1774,""price"")"),85.4)</f>
        <v>85.4</v>
      </c>
      <c r="I1774" s="17" t="str">
        <f>IFERROR(__xludf.DUMMYFUNCTION("AVERAGE(QUERY(SORT(GOOGLEFINANCE(B1774,""price"",TODAY()-365,TODAY()),1,0),""select Col2 limit 10""))"),"#N/A")</f>
        <v>#N/A</v>
      </c>
      <c r="J1774" s="17" t="str">
        <f>IFERROR(__xludf.DUMMYFUNCTION("AVERAGE(QUERY(SORT(GOOGLEFINANCE(B1774,""price"",TODAY()-365,TODAY()),1,0),""select Col2 limit 30""))"),"#N/A")</f>
        <v>#N/A</v>
      </c>
      <c r="K1774" s="18" t="str">
        <f>IFERROR(__xludf.DUMMYFUNCTION("AVERAGE(QUERY(SORT(GOOGLEFINANCE(B1774,""price"",TODAY()-365,TODAY()),1,0),""select Col2 limit 60""))"),"#N/A")</f>
        <v>#N/A</v>
      </c>
      <c r="L1774" s="17" t="str">
        <f>IFERROR(__xludf.DUMMYFUNCTION("AVERAGE(QUERY(SORT(GOOGLEFINANCE(B1774,""price"",TODAY()-365,TODAY()),1,0),""select Col2 limit 90""))"),"#N/A")</f>
        <v>#N/A</v>
      </c>
      <c r="M1774" s="17" t="str">
        <f>IFERROR(__xludf.DUMMYFUNCTION("AVERAGE(QUERY(SORT(GOOGLEFINANCE(B1774,""price"",TODAY()-365,TODAY()),1,0),""select Col2 limit 120""))"),"#N/A")</f>
        <v>#N/A</v>
      </c>
      <c r="N1774" s="19" t="str">
        <f>IFERROR(__xludf.DUMMYFUNCTION("AVERAGE(QUERY(SORT(GOOGLEFINANCE(B1774,""price"",TODAY()-365,TODAY()),1,0),""select Col2 limit 200""))"),"#N/A")</f>
        <v>#N/A</v>
      </c>
      <c r="O1774" s="20" t="str">
        <f t="shared" si="2"/>
        <v>#N/A</v>
      </c>
      <c r="P1774" s="21" t="str">
        <f t="shared" si="3"/>
        <v>#N/A</v>
      </c>
      <c r="Q1774" s="21" t="str">
        <f t="shared" si="4"/>
        <v>#N/A</v>
      </c>
      <c r="R1774" s="22" t="str">
        <f>IFERROR(__xludf.DUMMYFUNCTION("GOOGLEFINANCE(B1774, ""pe"")
"),"#N/A")</f>
        <v>#N/A</v>
      </c>
    </row>
    <row r="1775">
      <c r="A1775" s="9" t="s">
        <v>1783</v>
      </c>
      <c r="B1775" s="11" t="str">
        <f t="shared" si="1"/>
        <v>NSE:INDIANCARD</v>
      </c>
      <c r="C1775" s="12">
        <f>IFERROR(__xludf.DUMMYFUNCTION("GOOGLEFINANCE(B1775,""marketcap"")/10000000"),182.3626856)</f>
        <v>182.3626856</v>
      </c>
      <c r="D1775" s="13">
        <f>IFERROR(__xludf.DUMMYFUNCTION("GOOGLEFINANCE(B1775,""price"")"),298.8)</f>
        <v>298.8</v>
      </c>
      <c r="E1775" s="14">
        <f>IFERROR(__xludf.DUMMYFUNCTION("GOOGLEFINANCE(B1775,""Volume"")"),4984.0)</f>
        <v>4984</v>
      </c>
      <c r="F1775" s="14">
        <f t="array" ref="F1775">F1774</f>
        <v>14</v>
      </c>
      <c r="G1775" s="15" t="str">
        <f>IFERROR(__xludf.DUMMYFUNCTION("IF(E1775&gt;AVERAGE(INDEX(GOOGLEFINANCE(B1775,""volume"",WORKDAY(TODAY(),-$F$1),TODAY()),,2)),""Breakout"","""")"),"")</f>
        <v/>
      </c>
      <c r="H1775" s="16">
        <f>IFERROR(__xludf.DUMMYFUNCTION("GOOGLEFINANCE(B1775,""price"")"),298.8)</f>
        <v>298.8</v>
      </c>
      <c r="I1775" s="17">
        <f>IFERROR(__xludf.DUMMYFUNCTION("AVERAGE(QUERY(SORT(GOOGLEFINANCE(B1775,""price"",TODAY()-365,TODAY()),1,0),""select Col2 limit 10""))"),312.345)</f>
        <v>312.345</v>
      </c>
      <c r="J1775" s="17">
        <f>IFERROR(__xludf.DUMMYFUNCTION("AVERAGE(QUERY(SORT(GOOGLEFINANCE(B1775,""price"",TODAY()-365,TODAY()),1,0),""select Col2 limit 30""))"),313.60999999999996)</f>
        <v>313.61</v>
      </c>
      <c r="K1775" s="18">
        <f>IFERROR(__xludf.DUMMYFUNCTION("AVERAGE(QUERY(SORT(GOOGLEFINANCE(B1775,""price"",TODAY()-365,TODAY()),1,0),""select Col2 limit 60""))"),322.7825)</f>
        <v>322.7825</v>
      </c>
      <c r="L1775" s="17">
        <f>IFERROR(__xludf.DUMMYFUNCTION("AVERAGE(QUERY(SORT(GOOGLEFINANCE(B1775,""price"",TODAY()-365,TODAY()),1,0),""select Col2 limit 90""))"),302.113)</f>
        <v>302.113</v>
      </c>
      <c r="M1775" s="17">
        <f>IFERROR(__xludf.DUMMYFUNCTION("AVERAGE(QUERY(SORT(GOOGLEFINANCE(B1775,""price"",TODAY()-365,TODAY()),1,0),""select Col2 limit 120""))"),293.4370833333333)</f>
        <v>293.4370833</v>
      </c>
      <c r="N1775" s="19">
        <f>IFERROR(__xludf.DUMMYFUNCTION("AVERAGE(QUERY(SORT(GOOGLEFINANCE(B1775,""price"",TODAY()-365,TODAY()),1,0),""select Col2 limit 200""))"),292.9019999999998)</f>
        <v>292.902</v>
      </c>
      <c r="O1775" s="20" t="str">
        <f t="shared" si="2"/>
        <v>Avoid</v>
      </c>
      <c r="P1775" s="21" t="str">
        <f t="shared" si="3"/>
        <v/>
      </c>
      <c r="Q1775" s="21" t="str">
        <f t="shared" si="4"/>
        <v/>
      </c>
      <c r="R1775" s="22">
        <f>IFERROR(__xludf.DUMMYFUNCTION("GOOGLEFINANCE(B1775, ""pe"")
"),1.92)</f>
        <v>1.92</v>
      </c>
    </row>
    <row r="1776">
      <c r="A1776" s="9" t="s">
        <v>1784</v>
      </c>
      <c r="B1776" s="11" t="str">
        <f t="shared" si="1"/>
        <v>NSE:PATINTLOG</v>
      </c>
      <c r="C1776" s="12">
        <f>IFERROR(__xludf.DUMMYFUNCTION("GOOGLEFINANCE(B1776,""marketcap"")/10000000"),118.08952)</f>
        <v>118.08952</v>
      </c>
      <c r="D1776" s="13">
        <f>IFERROR(__xludf.DUMMYFUNCTION("GOOGLEFINANCE(B1776,""price"")"),17.05)</f>
        <v>17.05</v>
      </c>
      <c r="E1776" s="14">
        <f>IFERROR(__xludf.DUMMYFUNCTION("GOOGLEFINANCE(B1776,""Volume"")"),37984.0)</f>
        <v>37984</v>
      </c>
      <c r="F1776" s="14">
        <f t="array" ref="F1776">F1775</f>
        <v>14</v>
      </c>
      <c r="G1776" s="15" t="str">
        <f>IFERROR(__xludf.DUMMYFUNCTION("IF(E1776&gt;AVERAGE(INDEX(GOOGLEFINANCE(B1776,""volume"",WORKDAY(TODAY(),-$F$1),TODAY()),,2)),""Breakout"","""")"),"")</f>
        <v/>
      </c>
      <c r="H1776" s="16">
        <f>IFERROR(__xludf.DUMMYFUNCTION("GOOGLEFINANCE(B1776,""price"")"),17.05)</f>
        <v>17.05</v>
      </c>
      <c r="I1776" s="17">
        <f>IFERROR(__xludf.DUMMYFUNCTION("AVERAGE(QUERY(SORT(GOOGLEFINANCE(B1776,""price"",TODAY()-365,TODAY()),1,0),""select Col2 limit 10""))"),17.631999999999998)</f>
        <v>17.632</v>
      </c>
      <c r="J1776" s="17">
        <f>IFERROR(__xludf.DUMMYFUNCTION("AVERAGE(QUERY(SORT(GOOGLEFINANCE(B1776,""price"",TODAY()-365,TODAY()),1,0),""select Col2 limit 30""))"),16.87066666666667)</f>
        <v>16.87066667</v>
      </c>
      <c r="K1776" s="18">
        <f>IFERROR(__xludf.DUMMYFUNCTION("AVERAGE(QUERY(SORT(GOOGLEFINANCE(B1776,""price"",TODAY()-365,TODAY()),1,0),""select Col2 limit 60""))"),16.258333333333333)</f>
        <v>16.25833333</v>
      </c>
      <c r="L1776" s="17">
        <f>IFERROR(__xludf.DUMMYFUNCTION("AVERAGE(QUERY(SORT(GOOGLEFINANCE(B1776,""price"",TODAY()-365,TODAY()),1,0),""select Col2 limit 90""))"),15.664666666666664)</f>
        <v>15.66466667</v>
      </c>
      <c r="M1776" s="17">
        <f>IFERROR(__xludf.DUMMYFUNCTION("AVERAGE(QUERY(SORT(GOOGLEFINANCE(B1776,""price"",TODAY()-365,TODAY()),1,0),""select Col2 limit 120""))"),15.961666666666664)</f>
        <v>15.96166667</v>
      </c>
      <c r="N1776" s="19">
        <f>IFERROR(__xludf.DUMMYFUNCTION("AVERAGE(QUERY(SORT(GOOGLEFINANCE(B1776,""price"",TODAY()-365,TODAY()),1,0),""select Col2 limit 200""))"),18.47485)</f>
        <v>18.47485</v>
      </c>
      <c r="O1776" s="20" t="str">
        <f t="shared" si="2"/>
        <v>Avoid</v>
      </c>
      <c r="P1776" s="21" t="str">
        <f t="shared" si="3"/>
        <v/>
      </c>
      <c r="Q1776" s="21" t="str">
        <f t="shared" si="4"/>
        <v/>
      </c>
      <c r="R1776" s="22">
        <f>IFERROR(__xludf.DUMMYFUNCTION("GOOGLEFINANCE(B1776, ""pe"")
"),15.09)</f>
        <v>15.09</v>
      </c>
    </row>
    <row r="1777">
      <c r="A1777" s="9" t="s">
        <v>1785</v>
      </c>
      <c r="B1777" s="11" t="str">
        <f t="shared" si="1"/>
        <v>NSE:PRAKASHSTL</v>
      </c>
      <c r="C1777" s="12">
        <f>IFERROR(__xludf.DUMMYFUNCTION("GOOGLEFINANCE(B1777,""marketcap"")/10000000"),104.1251751)</f>
        <v>104.1251751</v>
      </c>
      <c r="D1777" s="13">
        <f>IFERROR(__xludf.DUMMYFUNCTION("GOOGLEFINANCE(B1777,""price"")"),5.93)</f>
        <v>5.93</v>
      </c>
      <c r="E1777" s="14">
        <f>IFERROR(__xludf.DUMMYFUNCTION("GOOGLEFINANCE(B1777,""Volume"")"),130352.0)</f>
        <v>130352</v>
      </c>
      <c r="F1777" s="14">
        <f t="array" ref="F1777">F1776</f>
        <v>14</v>
      </c>
      <c r="G1777" s="15" t="str">
        <f>IFERROR(__xludf.DUMMYFUNCTION("IF(E1777&gt;AVERAGE(INDEX(GOOGLEFINANCE(B1777,""volume"",WORKDAY(TODAY(),-$F$1),TODAY()),,2)),""Breakout"","""")"),"")</f>
        <v/>
      </c>
      <c r="H1777" s="16">
        <f>IFERROR(__xludf.DUMMYFUNCTION("GOOGLEFINANCE(B1777,""price"")"),5.93)</f>
        <v>5.93</v>
      </c>
      <c r="I1777" s="17">
        <f>IFERROR(__xludf.DUMMYFUNCTION("AVERAGE(QUERY(SORT(GOOGLEFINANCE(B1777,""price"",TODAY()-365,TODAY()),1,0),""select Col2 limit 10""))"),6.095000000000001)</f>
        <v>6.095</v>
      </c>
      <c r="J1777" s="17">
        <f>IFERROR(__xludf.DUMMYFUNCTION("AVERAGE(QUERY(SORT(GOOGLEFINANCE(B1777,""price"",TODAY()-365,TODAY()),1,0),""select Col2 limit 30""))"),6.160333333333335)</f>
        <v>6.160333333</v>
      </c>
      <c r="K1777" s="18">
        <f>IFERROR(__xludf.DUMMYFUNCTION("AVERAGE(QUERY(SORT(GOOGLEFINANCE(B1777,""price"",TODAY()-365,TODAY()),1,0),""select Col2 limit 60""))"),6.3640000000000025)</f>
        <v>6.364</v>
      </c>
      <c r="L1777" s="17">
        <f>IFERROR(__xludf.DUMMYFUNCTION("AVERAGE(QUERY(SORT(GOOGLEFINANCE(B1777,""price"",TODAY()-365,TODAY()),1,0),""select Col2 limit 90""))"),6.479888888888889)</f>
        <v>6.479888889</v>
      </c>
      <c r="M1777" s="17">
        <f>IFERROR(__xludf.DUMMYFUNCTION("AVERAGE(QUERY(SORT(GOOGLEFINANCE(B1777,""price"",TODAY()-365,TODAY()),1,0),""select Col2 limit 120""))"),6.6485)</f>
        <v>6.6485</v>
      </c>
      <c r="N1777" s="19">
        <f>IFERROR(__xludf.DUMMYFUNCTION("AVERAGE(QUERY(SORT(GOOGLEFINANCE(B1777,""price"",TODAY()-365,TODAY()),1,0),""select Col2 limit 200""))"),7.343900000000001)</f>
        <v>7.3439</v>
      </c>
      <c r="O1777" s="20" t="str">
        <f t="shared" si="2"/>
        <v>Avoid</v>
      </c>
      <c r="P1777" s="21" t="str">
        <f t="shared" si="3"/>
        <v/>
      </c>
      <c r="Q1777" s="21" t="str">
        <f t="shared" si="4"/>
        <v/>
      </c>
      <c r="R1777" s="22">
        <f>IFERROR(__xludf.DUMMYFUNCTION("GOOGLEFINANCE(B1777, ""pe"")
"),84.57)</f>
        <v>84.57</v>
      </c>
    </row>
    <row r="1778">
      <c r="A1778" s="9" t="s">
        <v>1786</v>
      </c>
      <c r="B1778" s="11" t="str">
        <f t="shared" si="1"/>
        <v>NSE:SUNDARAM</v>
      </c>
      <c r="C1778" s="12">
        <f>IFERROR(__xludf.DUMMYFUNCTION("GOOGLEFINANCE(B1778,""marketcap"")/10000000"),102.3576088)</f>
        <v>102.3576088</v>
      </c>
      <c r="D1778" s="13">
        <f>IFERROR(__xludf.DUMMYFUNCTION("GOOGLEFINANCE(B1778,""price"")"),2.15)</f>
        <v>2.15</v>
      </c>
      <c r="E1778" s="14">
        <f>IFERROR(__xludf.DUMMYFUNCTION("GOOGLEFINANCE(B1778,""Volume"")"),212862.0)</f>
        <v>212862</v>
      </c>
      <c r="F1778" s="14">
        <f t="array" ref="F1778">F1777</f>
        <v>14</v>
      </c>
      <c r="G1778" s="15" t="str">
        <f>IFERROR(__xludf.DUMMYFUNCTION("IF(E1778&gt;AVERAGE(INDEX(GOOGLEFINANCE(B1778,""volume"",WORKDAY(TODAY(),-$F$1),TODAY()),,2)),""Breakout"","""")"),"")</f>
        <v/>
      </c>
      <c r="H1778" s="16">
        <f>IFERROR(__xludf.DUMMYFUNCTION("GOOGLEFINANCE(B1778,""price"")"),2.15)</f>
        <v>2.15</v>
      </c>
      <c r="I1778" s="17">
        <f>IFERROR(__xludf.DUMMYFUNCTION("AVERAGE(QUERY(SORT(GOOGLEFINANCE(B1778,""price"",TODAY()-365,TODAY()),1,0),""select Col2 limit 10""))"),2.1700000000000004)</f>
        <v>2.17</v>
      </c>
      <c r="J1778" s="17">
        <f>IFERROR(__xludf.DUMMYFUNCTION("AVERAGE(QUERY(SORT(GOOGLEFINANCE(B1778,""price"",TODAY()-365,TODAY()),1,0),""select Col2 limit 30""))"),2.157333333333333)</f>
        <v>2.157333333</v>
      </c>
      <c r="K1778" s="18">
        <f>IFERROR(__xludf.DUMMYFUNCTION("AVERAGE(QUERY(SORT(GOOGLEFINANCE(B1778,""price"",TODAY()-365,TODAY()),1,0),""select Col2 limit 60""))"),2.129)</f>
        <v>2.129</v>
      </c>
      <c r="L1778" s="17">
        <f>IFERROR(__xludf.DUMMYFUNCTION("AVERAGE(QUERY(SORT(GOOGLEFINANCE(B1778,""price"",TODAY()-365,TODAY()),1,0),""select Col2 limit 90""))"),2.0955555555555567)</f>
        <v>2.095555556</v>
      </c>
      <c r="M1778" s="17">
        <f>IFERROR(__xludf.DUMMYFUNCTION("AVERAGE(QUERY(SORT(GOOGLEFINANCE(B1778,""price"",TODAY()-365,TODAY()),1,0),""select Col2 limit 120""))"),2.111250000000001)</f>
        <v>2.11125</v>
      </c>
      <c r="N1778" s="19">
        <f>IFERROR(__xludf.DUMMYFUNCTION("AVERAGE(QUERY(SORT(GOOGLEFINANCE(B1778,""price"",TODAY()-365,TODAY()),1,0),""select Col2 limit 200""))"),2.31435)</f>
        <v>2.31435</v>
      </c>
      <c r="O1778" s="20" t="str">
        <f t="shared" si="2"/>
        <v>Avoid</v>
      </c>
      <c r="P1778" s="21" t="str">
        <f t="shared" si="3"/>
        <v>10 DMA</v>
      </c>
      <c r="Q1778" s="21" t="str">
        <f t="shared" si="4"/>
        <v/>
      </c>
      <c r="R1778" s="22" t="str">
        <f>IFERROR(__xludf.DUMMYFUNCTION("GOOGLEFINANCE(B1778, ""pe"")
"),"#N/A")</f>
        <v>#N/A</v>
      </c>
    </row>
    <row r="1779">
      <c r="A1779" s="9" t="s">
        <v>1787</v>
      </c>
      <c r="B1779" s="11" t="str">
        <f t="shared" si="1"/>
        <v>NSE:CUBEXTUB</v>
      </c>
      <c r="C1779" s="12">
        <f>IFERROR(__xludf.DUMMYFUNCTION("GOOGLEFINANCE(B1779,""marketcap"")/10000000"),128.7275424)</f>
        <v>128.7275424</v>
      </c>
      <c r="D1779" s="13">
        <f>IFERROR(__xludf.DUMMYFUNCTION("GOOGLEFINANCE(B1779,""price"")"),90.0)</f>
        <v>90</v>
      </c>
      <c r="E1779" s="14">
        <f>IFERROR(__xludf.DUMMYFUNCTION("GOOGLEFINANCE(B1779,""Volume"")"),10995.0)</f>
        <v>10995</v>
      </c>
      <c r="F1779" s="14">
        <f t="array" ref="F1779">F1778</f>
        <v>14</v>
      </c>
      <c r="G1779" s="15" t="str">
        <f>IFERROR(__xludf.DUMMYFUNCTION("IF(E1779&gt;AVERAGE(INDEX(GOOGLEFINANCE(B1779,""volume"",WORKDAY(TODAY(),-$F$1),TODAY()),,2)),""Breakout"","""")"),"")</f>
        <v/>
      </c>
      <c r="H1779" s="16">
        <f>IFERROR(__xludf.DUMMYFUNCTION("GOOGLEFINANCE(B1779,""price"")"),90.0)</f>
        <v>90</v>
      </c>
      <c r="I1779" s="17">
        <f>IFERROR(__xludf.DUMMYFUNCTION("AVERAGE(QUERY(SORT(GOOGLEFINANCE(B1779,""price"",TODAY()-365,TODAY()),1,0),""select Col2 limit 10""))"),94.17)</f>
        <v>94.17</v>
      </c>
      <c r="J1779" s="17">
        <f>IFERROR(__xludf.DUMMYFUNCTION("AVERAGE(QUERY(SORT(GOOGLEFINANCE(B1779,""price"",TODAY()-365,TODAY()),1,0),""select Col2 limit 30""))"),99.88399999999999)</f>
        <v>99.884</v>
      </c>
      <c r="K1779" s="18">
        <f>IFERROR(__xludf.DUMMYFUNCTION("AVERAGE(QUERY(SORT(GOOGLEFINANCE(B1779,""price"",TODAY()-365,TODAY()),1,0),""select Col2 limit 60""))"),96.14499999999997)</f>
        <v>96.145</v>
      </c>
      <c r="L1779" s="17">
        <f>IFERROR(__xludf.DUMMYFUNCTION("AVERAGE(QUERY(SORT(GOOGLEFINANCE(B1779,""price"",TODAY()-365,TODAY()),1,0),""select Col2 limit 90""))"),91.54833333333332)</f>
        <v>91.54833333</v>
      </c>
      <c r="M1779" s="17">
        <f>IFERROR(__xludf.DUMMYFUNCTION("AVERAGE(QUERY(SORT(GOOGLEFINANCE(B1779,""price"",TODAY()-365,TODAY()),1,0),""select Col2 limit 120""))"),93.90766666666669)</f>
        <v>93.90766667</v>
      </c>
      <c r="N1779" s="19">
        <f>IFERROR(__xludf.DUMMYFUNCTION("AVERAGE(QUERY(SORT(GOOGLEFINANCE(B1779,""price"",TODAY()-365,TODAY()),1,0),""select Col2 limit 200""))"),96.13625000000003)</f>
        <v>96.13625</v>
      </c>
      <c r="O1779" s="20" t="str">
        <f t="shared" si="2"/>
        <v>Avoid</v>
      </c>
      <c r="P1779" s="21" t="str">
        <f t="shared" si="3"/>
        <v/>
      </c>
      <c r="Q1779" s="21" t="str">
        <f t="shared" si="4"/>
        <v/>
      </c>
      <c r="R1779" s="22">
        <f>IFERROR(__xludf.DUMMYFUNCTION("GOOGLEFINANCE(B1779, ""pe"")
"),19.35)</f>
        <v>19.35</v>
      </c>
    </row>
    <row r="1780">
      <c r="A1780" s="9" t="s">
        <v>1788</v>
      </c>
      <c r="B1780" s="11" t="str">
        <f t="shared" si="1"/>
        <v>NSE:SAMPANN</v>
      </c>
      <c r="C1780" s="12">
        <f>IFERROR(__xludf.DUMMYFUNCTION("GOOGLEFINANCE(B1780,""marketcap"")/10000000"),130.6423303)</f>
        <v>130.6423303</v>
      </c>
      <c r="D1780" s="13">
        <f>IFERROR(__xludf.DUMMYFUNCTION("GOOGLEFINANCE(B1780,""price"")"),32.17)</f>
        <v>32.17</v>
      </c>
      <c r="E1780" s="14">
        <f>IFERROR(__xludf.DUMMYFUNCTION("GOOGLEFINANCE(B1780,""Volume"")"),27106.0)</f>
        <v>27106</v>
      </c>
      <c r="F1780" s="14">
        <f t="array" ref="F1780">F1779</f>
        <v>14</v>
      </c>
      <c r="G1780" s="15" t="str">
        <f>IFERROR(__xludf.DUMMYFUNCTION("IF(E1780&gt;AVERAGE(INDEX(GOOGLEFINANCE(B1780,""volume"",WORKDAY(TODAY(),-$F$1),TODAY()),,2)),""Breakout"","""")"),"")</f>
        <v/>
      </c>
      <c r="H1780" s="16">
        <f>IFERROR(__xludf.DUMMYFUNCTION("GOOGLEFINANCE(B1780,""price"")"),32.17)</f>
        <v>32.17</v>
      </c>
      <c r="I1780" s="17">
        <f>IFERROR(__xludf.DUMMYFUNCTION("AVERAGE(QUERY(SORT(GOOGLEFINANCE(B1780,""price"",TODAY()-365,TODAY()),1,0),""select Col2 limit 10""))"),32.388)</f>
        <v>32.388</v>
      </c>
      <c r="J1780" s="17">
        <f>IFERROR(__xludf.DUMMYFUNCTION("AVERAGE(QUERY(SORT(GOOGLEFINANCE(B1780,""price"",TODAY()-365,TODAY()),1,0),""select Col2 limit 30""))"),29.61966666666667)</f>
        <v>29.61966667</v>
      </c>
      <c r="K1780" s="18">
        <f>IFERROR(__xludf.DUMMYFUNCTION("AVERAGE(QUERY(SORT(GOOGLEFINANCE(B1780,""price"",TODAY()-365,TODAY()),1,0),""select Col2 limit 60""))"),29.830333333333343)</f>
        <v>29.83033333</v>
      </c>
      <c r="L1780" s="17">
        <f>IFERROR(__xludf.DUMMYFUNCTION("AVERAGE(QUERY(SORT(GOOGLEFINANCE(B1780,""price"",TODAY()-365,TODAY()),1,0),""select Col2 limit 90""))"),29.424777777777784)</f>
        <v>29.42477778</v>
      </c>
      <c r="M1780" s="17">
        <f>IFERROR(__xludf.DUMMYFUNCTION("AVERAGE(QUERY(SORT(GOOGLEFINANCE(B1780,""price"",TODAY()-365,TODAY()),1,0),""select Col2 limit 120""))"),30.014666666666663)</f>
        <v>30.01466667</v>
      </c>
      <c r="N1780" s="19">
        <f>IFERROR(__xludf.DUMMYFUNCTION("AVERAGE(QUERY(SORT(GOOGLEFINANCE(B1780,""price"",TODAY()-365,TODAY()),1,0),""select Col2 limit 200""))"),31.557849999999984)</f>
        <v>31.55785</v>
      </c>
      <c r="O1780" s="20" t="str">
        <f t="shared" si="2"/>
        <v>Avoid</v>
      </c>
      <c r="P1780" s="21" t="str">
        <f t="shared" si="3"/>
        <v>10 DMA</v>
      </c>
      <c r="Q1780" s="21" t="str">
        <f t="shared" si="4"/>
        <v/>
      </c>
      <c r="R1780" s="22">
        <f>IFERROR(__xludf.DUMMYFUNCTION("GOOGLEFINANCE(B1780, ""pe"")
"),17.87)</f>
        <v>17.87</v>
      </c>
    </row>
    <row r="1781">
      <c r="A1781" s="9" t="s">
        <v>1789</v>
      </c>
      <c r="B1781" s="11" t="str">
        <f t="shared" si="1"/>
        <v>NSE:SALONA</v>
      </c>
      <c r="C1781" s="12">
        <f>IFERROR(__xludf.DUMMYFUNCTION("GOOGLEFINANCE(B1781,""marketcap"")/10000000"),133.7175618)</f>
        <v>133.7175618</v>
      </c>
      <c r="D1781" s="13">
        <f>IFERROR(__xludf.DUMMYFUNCTION("GOOGLEFINANCE(B1781,""price"")"),254.1)</f>
        <v>254.1</v>
      </c>
      <c r="E1781" s="14">
        <f>IFERROR(__xludf.DUMMYFUNCTION("GOOGLEFINANCE(B1781,""Volume"")"),515.0)</f>
        <v>515</v>
      </c>
      <c r="F1781" s="14">
        <f t="array" ref="F1781">F1780</f>
        <v>14</v>
      </c>
      <c r="G1781" s="15" t="str">
        <f>IFERROR(__xludf.DUMMYFUNCTION("IF(E1781&gt;AVERAGE(INDEX(GOOGLEFINANCE(B1781,""volume"",WORKDAY(TODAY(),-$F$1),TODAY()),,2)),""Breakout"","""")"),"")</f>
        <v/>
      </c>
      <c r="H1781" s="16">
        <f>IFERROR(__xludf.DUMMYFUNCTION("GOOGLEFINANCE(B1781,""price"")"),254.1)</f>
        <v>254.1</v>
      </c>
      <c r="I1781" s="17">
        <f>IFERROR(__xludf.DUMMYFUNCTION("AVERAGE(QUERY(SORT(GOOGLEFINANCE(B1781,""price"",TODAY()-365,TODAY()),1,0),""select Col2 limit 10""))"),260.875)</f>
        <v>260.875</v>
      </c>
      <c r="J1781" s="17">
        <f>IFERROR(__xludf.DUMMYFUNCTION("AVERAGE(QUERY(SORT(GOOGLEFINANCE(B1781,""price"",TODAY()-365,TODAY()),1,0),""select Col2 limit 30""))"),254.9483333333333)</f>
        <v>254.9483333</v>
      </c>
      <c r="K1781" s="18">
        <f>IFERROR(__xludf.DUMMYFUNCTION("AVERAGE(QUERY(SORT(GOOGLEFINANCE(B1781,""price"",TODAY()-365,TODAY()),1,0),""select Col2 limit 60""))"),255.14083333333326)</f>
        <v>255.1408333</v>
      </c>
      <c r="L1781" s="17">
        <f>IFERROR(__xludf.DUMMYFUNCTION("AVERAGE(QUERY(SORT(GOOGLEFINANCE(B1781,""price"",TODAY()-365,TODAY()),1,0),""select Col2 limit 90""))"),251.95322222222214)</f>
        <v>251.9532222</v>
      </c>
      <c r="M1781" s="17">
        <f>IFERROR(__xludf.DUMMYFUNCTION("AVERAGE(QUERY(SORT(GOOGLEFINANCE(B1781,""price"",TODAY()-365,TODAY()),1,0),""select Col2 limit 120""))"),252.72866666666658)</f>
        <v>252.7286667</v>
      </c>
      <c r="N1781" s="19">
        <f>IFERROR(__xludf.DUMMYFUNCTION("AVERAGE(QUERY(SORT(GOOGLEFINANCE(B1781,""price"",TODAY()-365,TODAY()),1,0),""select Col2 limit 200""))"),267.1772)</f>
        <v>267.1772</v>
      </c>
      <c r="O1781" s="20" t="str">
        <f t="shared" si="2"/>
        <v>Avoid</v>
      </c>
      <c r="P1781" s="21" t="str">
        <f t="shared" si="3"/>
        <v>30 DMA</v>
      </c>
      <c r="Q1781" s="21" t="str">
        <f t="shared" si="4"/>
        <v/>
      </c>
      <c r="R1781" s="22">
        <f>IFERROR(__xludf.DUMMYFUNCTION("GOOGLEFINANCE(B1781, ""pe"")
"),42.71)</f>
        <v>42.71</v>
      </c>
    </row>
    <row r="1782">
      <c r="A1782" s="9" t="s">
        <v>1790</v>
      </c>
      <c r="B1782" s="11" t="str">
        <f t="shared" si="1"/>
        <v>NSE:MRO-TEK</v>
      </c>
      <c r="C1782" s="12" t="str">
        <f>IFERROR(__xludf.DUMMYFUNCTION("GOOGLEFINANCE(B1782,""marketcap"")/10000000"),"#N/A")</f>
        <v>#N/A</v>
      </c>
      <c r="D1782" s="13" t="str">
        <f>IFERROR(__xludf.DUMMYFUNCTION("GOOGLEFINANCE(B1782,""price"")"),"#N/A")</f>
        <v>#N/A</v>
      </c>
      <c r="E1782" s="14" t="str">
        <f>IFERROR(__xludf.DUMMYFUNCTION("GOOGLEFINANCE(B1782,""Volume"")"),"#N/A")</f>
        <v>#N/A</v>
      </c>
      <c r="F1782" s="14">
        <f t="array" ref="F1782">F1781</f>
        <v>14</v>
      </c>
      <c r="G1782" s="15" t="str">
        <f>IFERROR(__xludf.DUMMYFUNCTION("IF(E1782&gt;AVERAGE(INDEX(GOOGLEFINANCE(B1782,""volume"",WORKDAY(TODAY(),-$F$1),TODAY()),,2)),""Breakout"","""")"),"#N/A")</f>
        <v>#N/A</v>
      </c>
      <c r="H1782" s="16" t="str">
        <f>IFERROR(__xludf.DUMMYFUNCTION("GOOGLEFINANCE(B1782,""price"")"),"#N/A")</f>
        <v>#N/A</v>
      </c>
      <c r="I1782" s="17" t="str">
        <f>IFERROR(__xludf.DUMMYFUNCTION("AVERAGE(QUERY(SORT(GOOGLEFINANCE(B1782,""price"",TODAY()-365,TODAY()),1,0),""select Col2 limit 10""))"),"#N/A")</f>
        <v>#N/A</v>
      </c>
      <c r="J1782" s="17" t="str">
        <f>IFERROR(__xludf.DUMMYFUNCTION("AVERAGE(QUERY(SORT(GOOGLEFINANCE(B1782,""price"",TODAY()-365,TODAY()),1,0),""select Col2 limit 30""))"),"#N/A")</f>
        <v>#N/A</v>
      </c>
      <c r="K1782" s="18" t="str">
        <f>IFERROR(__xludf.DUMMYFUNCTION("AVERAGE(QUERY(SORT(GOOGLEFINANCE(B1782,""price"",TODAY()-365,TODAY()),1,0),""select Col2 limit 60""))"),"#N/A")</f>
        <v>#N/A</v>
      </c>
      <c r="L1782" s="17" t="str">
        <f>IFERROR(__xludf.DUMMYFUNCTION("AVERAGE(QUERY(SORT(GOOGLEFINANCE(B1782,""price"",TODAY()-365,TODAY()),1,0),""select Col2 limit 90""))"),"#N/A")</f>
        <v>#N/A</v>
      </c>
      <c r="M1782" s="17" t="str">
        <f>IFERROR(__xludf.DUMMYFUNCTION("AVERAGE(QUERY(SORT(GOOGLEFINANCE(B1782,""price"",TODAY()-365,TODAY()),1,0),""select Col2 limit 120""))"),"#N/A")</f>
        <v>#N/A</v>
      </c>
      <c r="N1782" s="19" t="str">
        <f>IFERROR(__xludf.DUMMYFUNCTION("AVERAGE(QUERY(SORT(GOOGLEFINANCE(B1782,""price"",TODAY()-365,TODAY()),1,0),""select Col2 limit 200""))"),"#N/A")</f>
        <v>#N/A</v>
      </c>
      <c r="O1782" s="20" t="str">
        <f t="shared" si="2"/>
        <v>#N/A</v>
      </c>
      <c r="P1782" s="21" t="str">
        <f t="shared" si="3"/>
        <v>#N/A</v>
      </c>
      <c r="Q1782" s="21" t="str">
        <f t="shared" si="4"/>
        <v>#N/A</v>
      </c>
      <c r="R1782" s="22" t="str">
        <f>IFERROR(__xludf.DUMMYFUNCTION("GOOGLEFINANCE(B1782, ""pe"")
"),"#N/A")</f>
        <v>#N/A</v>
      </c>
    </row>
    <row r="1783">
      <c r="A1783" s="9" t="s">
        <v>1791</v>
      </c>
      <c r="B1783" s="11" t="str">
        <f t="shared" si="1"/>
        <v>NSE:GLOBE</v>
      </c>
      <c r="C1783" s="12">
        <f>IFERROR(__xludf.DUMMYFUNCTION("GOOGLEFINANCE(B1783,""marketcap"")/10000000"),101.344185)</f>
        <v>101.344185</v>
      </c>
      <c r="D1783" s="13">
        <f>IFERROR(__xludf.DUMMYFUNCTION("GOOGLEFINANCE(B1783,""price"")"),2.26)</f>
        <v>2.26</v>
      </c>
      <c r="E1783" s="14">
        <f>IFERROR(__xludf.DUMMYFUNCTION("GOOGLEFINANCE(B1783,""Volume"")"),197383.0)</f>
        <v>197383</v>
      </c>
      <c r="F1783" s="14">
        <f t="array" ref="F1783">F1782</f>
        <v>14</v>
      </c>
      <c r="G1783" s="15" t="str">
        <f>IFERROR(__xludf.DUMMYFUNCTION("IF(E1783&gt;AVERAGE(INDEX(GOOGLEFINANCE(B1783,""volume"",WORKDAY(TODAY(),-$F$1),TODAY()),,2)),""Breakout"","""")"),"")</f>
        <v/>
      </c>
      <c r="H1783" s="16">
        <f>IFERROR(__xludf.DUMMYFUNCTION("GOOGLEFINANCE(B1783,""price"")"),2.26)</f>
        <v>2.26</v>
      </c>
      <c r="I1783" s="17">
        <f>IFERROR(__xludf.DUMMYFUNCTION("AVERAGE(QUERY(SORT(GOOGLEFINANCE(B1783,""price"",TODAY()-365,TODAY()),1,0),""select Col2 limit 10""))"),2.392)</f>
        <v>2.392</v>
      </c>
      <c r="J1783" s="17">
        <f>IFERROR(__xludf.DUMMYFUNCTION("AVERAGE(QUERY(SORT(GOOGLEFINANCE(B1783,""price"",TODAY()-365,TODAY()),1,0),""select Col2 limit 30""))"),2.4296666666666673)</f>
        <v>2.429666667</v>
      </c>
      <c r="K1783" s="18">
        <f>IFERROR(__xludf.DUMMYFUNCTION("AVERAGE(QUERY(SORT(GOOGLEFINANCE(B1783,""price"",TODAY()-365,TODAY()),1,0),""select Col2 limit 60""))"),2.443)</f>
        <v>2.443</v>
      </c>
      <c r="L1783" s="17">
        <f>IFERROR(__xludf.DUMMYFUNCTION("AVERAGE(QUERY(SORT(GOOGLEFINANCE(B1783,""price"",TODAY()-365,TODAY()),1,0),""select Col2 limit 90""))"),2.526555555555556)</f>
        <v>2.526555556</v>
      </c>
      <c r="M1783" s="17">
        <f>IFERROR(__xludf.DUMMYFUNCTION("AVERAGE(QUERY(SORT(GOOGLEFINANCE(B1783,""price"",TODAY()-365,TODAY()),1,0),""select Col2 limit 120""))"),2.8398333333333325)</f>
        <v>2.839833333</v>
      </c>
      <c r="N1783" s="19">
        <f>IFERROR(__xludf.DUMMYFUNCTION("AVERAGE(QUERY(SORT(GOOGLEFINANCE(B1783,""price"",TODAY()-365,TODAY()),1,0),""select Col2 limit 200""))"),3.398349999999998)</f>
        <v>3.39835</v>
      </c>
      <c r="O1783" s="20" t="str">
        <f t="shared" si="2"/>
        <v>Avoid</v>
      </c>
      <c r="P1783" s="21" t="str">
        <f t="shared" si="3"/>
        <v/>
      </c>
      <c r="Q1783" s="21" t="str">
        <f t="shared" si="4"/>
        <v/>
      </c>
      <c r="R1783" s="22">
        <f>IFERROR(__xludf.DUMMYFUNCTION("GOOGLEFINANCE(B1783, ""pe"")
"),3.75)</f>
        <v>3.75</v>
      </c>
    </row>
    <row r="1784">
      <c r="A1784" s="9" t="s">
        <v>1792</v>
      </c>
      <c r="B1784" s="11" t="str">
        <f t="shared" si="1"/>
        <v>NSE:TOUCHWOOD</v>
      </c>
      <c r="C1784" s="12">
        <f>IFERROR(__xludf.DUMMYFUNCTION("GOOGLEFINANCE(B1784,""marketcap"")/10000000"),111.8983652)</f>
        <v>111.8983652</v>
      </c>
      <c r="D1784" s="13">
        <f>IFERROR(__xludf.DUMMYFUNCTION("GOOGLEFINANCE(B1784,""price"")"),100.8)</f>
        <v>100.8</v>
      </c>
      <c r="E1784" s="14">
        <f>IFERROR(__xludf.DUMMYFUNCTION("GOOGLEFINANCE(B1784,""Volume"")"),1398.0)</f>
        <v>1398</v>
      </c>
      <c r="F1784" s="14">
        <f t="array" ref="F1784">F1783</f>
        <v>14</v>
      </c>
      <c r="G1784" s="15" t="str">
        <f>IFERROR(__xludf.DUMMYFUNCTION("IF(E1784&gt;AVERAGE(INDEX(GOOGLEFINANCE(B1784,""volume"",WORKDAY(TODAY(),-$F$1),TODAY()),,2)),""Breakout"","""")"),"")</f>
        <v/>
      </c>
      <c r="H1784" s="16">
        <f>IFERROR(__xludf.DUMMYFUNCTION("GOOGLEFINANCE(B1784,""price"")"),100.8)</f>
        <v>100.8</v>
      </c>
      <c r="I1784" s="17">
        <f>IFERROR(__xludf.DUMMYFUNCTION("AVERAGE(QUERY(SORT(GOOGLEFINANCE(B1784,""price"",TODAY()-365,TODAY()),1,0),""select Col2 limit 10""))"),102.203)</f>
        <v>102.203</v>
      </c>
      <c r="J1784" s="17">
        <f>IFERROR(__xludf.DUMMYFUNCTION("AVERAGE(QUERY(SORT(GOOGLEFINANCE(B1784,""price"",TODAY()-365,TODAY()),1,0),""select Col2 limit 30""))"),110.25733333333336)</f>
        <v>110.2573333</v>
      </c>
      <c r="K1784" s="18">
        <f>IFERROR(__xludf.DUMMYFUNCTION("AVERAGE(QUERY(SORT(GOOGLEFINANCE(B1784,""price"",TODAY()-365,TODAY()),1,0),""select Col2 limit 60""))"),97.69616666666667)</f>
        <v>97.69616667</v>
      </c>
      <c r="L1784" s="17">
        <f>IFERROR(__xludf.DUMMYFUNCTION("AVERAGE(QUERY(SORT(GOOGLEFINANCE(B1784,""price"",TODAY()-365,TODAY()),1,0),""select Col2 limit 90""))"),91.72466666666664)</f>
        <v>91.72466667</v>
      </c>
      <c r="M1784" s="17">
        <f>IFERROR(__xludf.DUMMYFUNCTION("AVERAGE(QUERY(SORT(GOOGLEFINANCE(B1784,""price"",TODAY()-365,TODAY()),1,0),""select Col2 limit 120""))"),93.99166666666665)</f>
        <v>93.99166667</v>
      </c>
      <c r="N1784" s="19">
        <f>IFERROR(__xludf.DUMMYFUNCTION("AVERAGE(QUERY(SORT(GOOGLEFINANCE(B1784,""price"",TODAY()-365,TODAY()),1,0),""select Col2 limit 200""))"),115.04)</f>
        <v>115.04</v>
      </c>
      <c r="O1784" s="20" t="str">
        <f t="shared" si="2"/>
        <v>Avoid</v>
      </c>
      <c r="P1784" s="21" t="str">
        <f t="shared" si="3"/>
        <v/>
      </c>
      <c r="Q1784" s="21" t="str">
        <f t="shared" si="4"/>
        <v/>
      </c>
      <c r="R1784" s="22">
        <f>IFERROR(__xludf.DUMMYFUNCTION("GOOGLEFINANCE(B1784, ""pe"")
"),21.54)</f>
        <v>21.54</v>
      </c>
    </row>
    <row r="1785">
      <c r="A1785" s="9" t="s">
        <v>1793</v>
      </c>
      <c r="B1785" s="11" t="str">
        <f t="shared" si="1"/>
        <v>NSE:BVCL</v>
      </c>
      <c r="C1785" s="12">
        <f>IFERROR(__xludf.DUMMYFUNCTION("GOOGLEFINANCE(B1785,""marketcap"")/10000000"),97.5704772)</f>
        <v>97.5704772</v>
      </c>
      <c r="D1785" s="13">
        <f>IFERROR(__xludf.DUMMYFUNCTION("GOOGLEFINANCE(B1785,""price"")"),44.15)</f>
        <v>44.15</v>
      </c>
      <c r="E1785" s="14">
        <f>IFERROR(__xludf.DUMMYFUNCTION("GOOGLEFINANCE(B1785,""Volume"")"),30704.0)</f>
        <v>30704</v>
      </c>
      <c r="F1785" s="14">
        <f t="array" ref="F1785">F1784</f>
        <v>14</v>
      </c>
      <c r="G1785" s="15" t="str">
        <f>IFERROR(__xludf.DUMMYFUNCTION("IF(E1785&gt;AVERAGE(INDEX(GOOGLEFINANCE(B1785,""volume"",WORKDAY(TODAY(),-$F$1),TODAY()),,2)),""Breakout"","""")"),"")</f>
        <v/>
      </c>
      <c r="H1785" s="16">
        <f>IFERROR(__xludf.DUMMYFUNCTION("GOOGLEFINANCE(B1785,""price"")"),44.15)</f>
        <v>44.15</v>
      </c>
      <c r="I1785" s="17">
        <f>IFERROR(__xludf.DUMMYFUNCTION("AVERAGE(QUERY(SORT(GOOGLEFINANCE(B1785,""price"",TODAY()-365,TODAY()),1,0),""select Col2 limit 10""))"),43.221)</f>
        <v>43.221</v>
      </c>
      <c r="J1785" s="17">
        <f>IFERROR(__xludf.DUMMYFUNCTION("AVERAGE(QUERY(SORT(GOOGLEFINANCE(B1785,""price"",TODAY()-365,TODAY()),1,0),""select Col2 limit 30""))"),39.218666666666664)</f>
        <v>39.21866667</v>
      </c>
      <c r="K1785" s="18">
        <f>IFERROR(__xludf.DUMMYFUNCTION("AVERAGE(QUERY(SORT(GOOGLEFINANCE(B1785,""price"",TODAY()-365,TODAY()),1,0),""select Col2 limit 60""))"),38.61516666666668)</f>
        <v>38.61516667</v>
      </c>
      <c r="L1785" s="17">
        <f>IFERROR(__xludf.DUMMYFUNCTION("AVERAGE(QUERY(SORT(GOOGLEFINANCE(B1785,""price"",TODAY()-365,TODAY()),1,0),""select Col2 limit 90""))"),38.72244444444444)</f>
        <v>38.72244444</v>
      </c>
      <c r="M1785" s="17">
        <f>IFERROR(__xludf.DUMMYFUNCTION("AVERAGE(QUERY(SORT(GOOGLEFINANCE(B1785,""price"",TODAY()-365,TODAY()),1,0),""select Col2 limit 120""))"),39.30183333333333)</f>
        <v>39.30183333</v>
      </c>
      <c r="N1785" s="19">
        <f>IFERROR(__xludf.DUMMYFUNCTION("AVERAGE(QUERY(SORT(GOOGLEFINANCE(B1785,""price"",TODAY()-365,TODAY()),1,0),""select Col2 limit 200""))"),44.38044999999999)</f>
        <v>44.38045</v>
      </c>
      <c r="O1785" s="20" t="str">
        <f t="shared" si="2"/>
        <v>Buy Above 200 DMA</v>
      </c>
      <c r="P1785" s="21" t="str">
        <f t="shared" si="3"/>
        <v>200 DMA</v>
      </c>
      <c r="Q1785" s="21" t="str">
        <f t="shared" si="4"/>
        <v>200 DMA cross best</v>
      </c>
      <c r="R1785" s="22">
        <f>IFERROR(__xludf.DUMMYFUNCTION("GOOGLEFINANCE(B1785, ""pe"")
"),18.94)</f>
        <v>18.94</v>
      </c>
    </row>
    <row r="1786">
      <c r="A1786" s="9" t="s">
        <v>1794</v>
      </c>
      <c r="B1786" s="11" t="str">
        <f t="shared" si="1"/>
        <v>NSE:MOTOGENFIN</v>
      </c>
      <c r="C1786" s="12">
        <f>IFERROR(__xludf.DUMMYFUNCTION("GOOGLEFINANCE(B1786,""marketcap"")/10000000"),101.3877584)</f>
        <v>101.3877584</v>
      </c>
      <c r="D1786" s="13">
        <f>IFERROR(__xludf.DUMMYFUNCTION("GOOGLEFINANCE(B1786,""price"")"),26.37)</f>
        <v>26.37</v>
      </c>
      <c r="E1786" s="14">
        <f>IFERROR(__xludf.DUMMYFUNCTION("GOOGLEFINANCE(B1786,""Volume"")"),11889.0)</f>
        <v>11889</v>
      </c>
      <c r="F1786" s="14">
        <f t="array" ref="F1786">F1785</f>
        <v>14</v>
      </c>
      <c r="G1786" s="15" t="str">
        <f>IFERROR(__xludf.DUMMYFUNCTION("IF(E1786&gt;AVERAGE(INDEX(GOOGLEFINANCE(B1786,""volume"",WORKDAY(TODAY(),-$F$1),TODAY()),,2)),""Breakout"","""")"),"")</f>
        <v/>
      </c>
      <c r="H1786" s="16">
        <f>IFERROR(__xludf.DUMMYFUNCTION("GOOGLEFINANCE(B1786,""price"")"),26.37)</f>
        <v>26.37</v>
      </c>
      <c r="I1786" s="17">
        <f>IFERROR(__xludf.DUMMYFUNCTION("AVERAGE(QUERY(SORT(GOOGLEFINANCE(B1786,""price"",TODAY()-365,TODAY()),1,0),""select Col2 limit 10""))"),26.933)</f>
        <v>26.933</v>
      </c>
      <c r="J1786" s="17">
        <f>IFERROR(__xludf.DUMMYFUNCTION("AVERAGE(QUERY(SORT(GOOGLEFINANCE(B1786,""price"",TODAY()-365,TODAY()),1,0),""select Col2 limit 30""))"),26.82066666666667)</f>
        <v>26.82066667</v>
      </c>
      <c r="K1786" s="18">
        <f>IFERROR(__xludf.DUMMYFUNCTION("AVERAGE(QUERY(SORT(GOOGLEFINANCE(B1786,""price"",TODAY()-365,TODAY()),1,0),""select Col2 limit 60""))"),26.884499999999992)</f>
        <v>26.8845</v>
      </c>
      <c r="L1786" s="17">
        <f>IFERROR(__xludf.DUMMYFUNCTION("AVERAGE(QUERY(SORT(GOOGLEFINANCE(B1786,""price"",TODAY()-365,TODAY()),1,0),""select Col2 limit 90""))"),26.810888888888883)</f>
        <v>26.81088889</v>
      </c>
      <c r="M1786" s="17">
        <f>IFERROR(__xludf.DUMMYFUNCTION("AVERAGE(QUERY(SORT(GOOGLEFINANCE(B1786,""price"",TODAY()-365,TODAY()),1,0),""select Col2 limit 120""))"),27.132999999999992)</f>
        <v>27.133</v>
      </c>
      <c r="N1786" s="19">
        <f>IFERROR(__xludf.DUMMYFUNCTION("AVERAGE(QUERY(SORT(GOOGLEFINANCE(B1786,""price"",TODAY()-365,TODAY()),1,0),""select Col2 limit 200""))"),29.268800000000006)</f>
        <v>29.2688</v>
      </c>
      <c r="O1786" s="20" t="str">
        <f t="shared" si="2"/>
        <v>Avoid</v>
      </c>
      <c r="P1786" s="21" t="str">
        <f t="shared" si="3"/>
        <v/>
      </c>
      <c r="Q1786" s="21" t="str">
        <f t="shared" si="4"/>
        <v/>
      </c>
      <c r="R1786" s="22">
        <f>IFERROR(__xludf.DUMMYFUNCTION("GOOGLEFINANCE(B1786, ""pe"")
"),125.57)</f>
        <v>125.57</v>
      </c>
    </row>
    <row r="1787">
      <c r="A1787" s="9" t="s">
        <v>1795</v>
      </c>
      <c r="B1787" s="11" t="str">
        <f t="shared" si="1"/>
        <v>NSE:PRAXIS</v>
      </c>
      <c r="C1787" s="12">
        <f>IFERROR(__xludf.DUMMYFUNCTION("GOOGLEFINANCE(B1787,""marketcap"")/10000000"),221.3379931)</f>
        <v>221.3379931</v>
      </c>
      <c r="D1787" s="13">
        <f>IFERROR(__xludf.DUMMYFUNCTION("GOOGLEFINANCE(B1787,""price"")"),11.97)</f>
        <v>11.97</v>
      </c>
      <c r="E1787" s="14">
        <f>IFERROR(__xludf.DUMMYFUNCTION("GOOGLEFINANCE(B1787,""Volume"")"),8333.0)</f>
        <v>8333</v>
      </c>
      <c r="F1787" s="14">
        <f t="array" ref="F1787">F1786</f>
        <v>14</v>
      </c>
      <c r="G1787" s="15" t="str">
        <f>IFERROR(__xludf.DUMMYFUNCTION("IF(E1787&gt;AVERAGE(INDEX(GOOGLEFINANCE(B1787,""volume"",WORKDAY(TODAY(),-$F$1),TODAY()),,2)),""Breakout"","""")"),"")</f>
        <v/>
      </c>
      <c r="H1787" s="16">
        <f>IFERROR(__xludf.DUMMYFUNCTION("GOOGLEFINANCE(B1787,""price"")"),11.97)</f>
        <v>11.97</v>
      </c>
      <c r="I1787" s="17">
        <f>IFERROR(__xludf.DUMMYFUNCTION("AVERAGE(QUERY(SORT(GOOGLEFINANCE(B1787,""price"",TODAY()-365,TODAY()),1,0),""select Col2 limit 10""))"),12.569999999999999)</f>
        <v>12.57</v>
      </c>
      <c r="J1787" s="17">
        <f>IFERROR(__xludf.DUMMYFUNCTION("AVERAGE(QUERY(SORT(GOOGLEFINANCE(B1787,""price"",TODAY()-365,TODAY()),1,0),""select Col2 limit 30""))"),12.679666666666666)</f>
        <v>12.67966667</v>
      </c>
      <c r="K1787" s="18">
        <f>IFERROR(__xludf.DUMMYFUNCTION("AVERAGE(QUERY(SORT(GOOGLEFINANCE(B1787,""price"",TODAY()-365,TODAY()),1,0),""select Col2 limit 60""))"),12.263833333333334)</f>
        <v>12.26383333</v>
      </c>
      <c r="L1787" s="17">
        <f>IFERROR(__xludf.DUMMYFUNCTION("AVERAGE(QUERY(SORT(GOOGLEFINANCE(B1787,""price"",TODAY()-365,TODAY()),1,0),""select Col2 limit 90""))"),11.464)</f>
        <v>11.464</v>
      </c>
      <c r="M1787" s="17">
        <f>IFERROR(__xludf.DUMMYFUNCTION("AVERAGE(QUERY(SORT(GOOGLEFINANCE(B1787,""price"",TODAY()-365,TODAY()),1,0),""select Col2 limit 120""))"),12.119833333333334)</f>
        <v>12.11983333</v>
      </c>
      <c r="N1787" s="19">
        <f>IFERROR(__xludf.DUMMYFUNCTION("AVERAGE(QUERY(SORT(GOOGLEFINANCE(B1787,""price"",TODAY()-365,TODAY()),1,0),""select Col2 limit 200""))"),15.876700000000001)</f>
        <v>15.8767</v>
      </c>
      <c r="O1787" s="20" t="str">
        <f t="shared" si="2"/>
        <v>Avoid</v>
      </c>
      <c r="P1787" s="21" t="str">
        <f t="shared" si="3"/>
        <v/>
      </c>
      <c r="Q1787" s="21" t="str">
        <f t="shared" si="4"/>
        <v/>
      </c>
      <c r="R1787" s="22" t="str">
        <f>IFERROR(__xludf.DUMMYFUNCTION("GOOGLEFINANCE(B1787, ""pe"")
"),"#N/A")</f>
        <v>#N/A</v>
      </c>
    </row>
    <row r="1788">
      <c r="A1788" s="9" t="s">
        <v>1796</v>
      </c>
      <c r="B1788" s="11" t="str">
        <f t="shared" si="1"/>
        <v>NSE:AHLADA</v>
      </c>
      <c r="C1788" s="12">
        <f>IFERROR(__xludf.DUMMYFUNCTION("GOOGLEFINANCE(B1788,""marketcap"")/10000000"),82.7719228)</f>
        <v>82.7719228</v>
      </c>
      <c r="D1788" s="13">
        <f>IFERROR(__xludf.DUMMYFUNCTION("GOOGLEFINANCE(B1788,""price"")"),64.06)</f>
        <v>64.06</v>
      </c>
      <c r="E1788" s="14">
        <f>IFERROR(__xludf.DUMMYFUNCTION("GOOGLEFINANCE(B1788,""Volume"")"),4451.0)</f>
        <v>4451</v>
      </c>
      <c r="F1788" s="14">
        <f t="array" ref="F1788">F1787</f>
        <v>14</v>
      </c>
      <c r="G1788" s="15" t="str">
        <f>IFERROR(__xludf.DUMMYFUNCTION("IF(E1788&gt;AVERAGE(INDEX(GOOGLEFINANCE(B1788,""volume"",WORKDAY(TODAY(),-$F$1),TODAY()),,2)),""Breakout"","""")"),"")</f>
        <v/>
      </c>
      <c r="H1788" s="16">
        <f>IFERROR(__xludf.DUMMYFUNCTION("GOOGLEFINANCE(B1788,""price"")"),64.06)</f>
        <v>64.06</v>
      </c>
      <c r="I1788" s="17">
        <f>IFERROR(__xludf.DUMMYFUNCTION("AVERAGE(QUERY(SORT(GOOGLEFINANCE(B1788,""price"",TODAY()-365,TODAY()),1,0),""select Col2 limit 10""))"),66.393)</f>
        <v>66.393</v>
      </c>
      <c r="J1788" s="17">
        <f>IFERROR(__xludf.DUMMYFUNCTION("AVERAGE(QUERY(SORT(GOOGLEFINANCE(B1788,""price"",TODAY()-365,TODAY()),1,0),""select Col2 limit 30""))"),67.94433333333335)</f>
        <v>67.94433333</v>
      </c>
      <c r="K1788" s="18">
        <f>IFERROR(__xludf.DUMMYFUNCTION("AVERAGE(QUERY(SORT(GOOGLEFINANCE(B1788,""price"",TODAY()-365,TODAY()),1,0),""select Col2 limit 60""))"),66.7325)</f>
        <v>66.7325</v>
      </c>
      <c r="L1788" s="17">
        <f>IFERROR(__xludf.DUMMYFUNCTION("AVERAGE(QUERY(SORT(GOOGLEFINANCE(B1788,""price"",TODAY()-365,TODAY()),1,0),""select Col2 limit 90""))"),65.35400000000001)</f>
        <v>65.354</v>
      </c>
      <c r="M1788" s="17">
        <f>IFERROR(__xludf.DUMMYFUNCTION("AVERAGE(QUERY(SORT(GOOGLEFINANCE(B1788,""price"",TODAY()-365,TODAY()),1,0),""select Col2 limit 120""))"),67.85683333333333)</f>
        <v>67.85683333</v>
      </c>
      <c r="N1788" s="19">
        <f>IFERROR(__xludf.DUMMYFUNCTION("AVERAGE(QUERY(SORT(GOOGLEFINANCE(B1788,""price"",TODAY()-365,TODAY()),1,0),""select Col2 limit 200""))"),79.09955000000001)</f>
        <v>79.09955</v>
      </c>
      <c r="O1788" s="20" t="str">
        <f t="shared" si="2"/>
        <v>Avoid</v>
      </c>
      <c r="P1788" s="21" t="str">
        <f t="shared" si="3"/>
        <v/>
      </c>
      <c r="Q1788" s="21" t="str">
        <f t="shared" si="4"/>
        <v/>
      </c>
      <c r="R1788" s="22">
        <f>IFERROR(__xludf.DUMMYFUNCTION("GOOGLEFINANCE(B1788, ""pe"")
"),22.32)</f>
        <v>22.32</v>
      </c>
    </row>
    <row r="1789">
      <c r="A1789" s="9" t="s">
        <v>1797</v>
      </c>
      <c r="B1789" s="11" t="str">
        <f t="shared" si="1"/>
        <v>NSE:FLEXITUFF</v>
      </c>
      <c r="C1789" s="12">
        <f>IFERROR(__xludf.DUMMYFUNCTION("GOOGLEFINANCE(B1789,""marketcap"")/10000000"),111.6466817)</f>
        <v>111.6466817</v>
      </c>
      <c r="D1789" s="13">
        <f>IFERROR(__xludf.DUMMYFUNCTION("GOOGLEFINANCE(B1789,""price"")"),36.45)</f>
        <v>36.45</v>
      </c>
      <c r="E1789" s="14">
        <f>IFERROR(__xludf.DUMMYFUNCTION("GOOGLEFINANCE(B1789,""Volume"")"),8204.0)</f>
        <v>8204</v>
      </c>
      <c r="F1789" s="14">
        <f t="array" ref="F1789">F1788</f>
        <v>14</v>
      </c>
      <c r="G1789" s="15" t="str">
        <f>IFERROR(__xludf.DUMMYFUNCTION("IF(E1789&gt;AVERAGE(INDEX(GOOGLEFINANCE(B1789,""volume"",WORKDAY(TODAY(),-$F$1),TODAY()),,2)),""Breakout"","""")"),"Breakout")</f>
        <v>Breakout</v>
      </c>
      <c r="H1789" s="16">
        <f>IFERROR(__xludf.DUMMYFUNCTION("GOOGLEFINANCE(B1789,""price"")"),36.45)</f>
        <v>36.45</v>
      </c>
      <c r="I1789" s="17">
        <f>IFERROR(__xludf.DUMMYFUNCTION("AVERAGE(QUERY(SORT(GOOGLEFINANCE(B1789,""price"",TODAY()-365,TODAY()),1,0),""select Col2 limit 10""))"),34.955000000000005)</f>
        <v>34.955</v>
      </c>
      <c r="J1789" s="17">
        <f>IFERROR(__xludf.DUMMYFUNCTION("AVERAGE(QUERY(SORT(GOOGLEFINANCE(B1789,""price"",TODAY()-365,TODAY()),1,0),""select Col2 limit 30""))"),35.94233333333334)</f>
        <v>35.94233333</v>
      </c>
      <c r="K1789" s="18">
        <f>IFERROR(__xludf.DUMMYFUNCTION("AVERAGE(QUERY(SORT(GOOGLEFINANCE(B1789,""price"",TODAY()-365,TODAY()),1,0),""select Col2 limit 60""))"),35.06733333333334)</f>
        <v>35.06733333</v>
      </c>
      <c r="L1789" s="17">
        <f>IFERROR(__xludf.DUMMYFUNCTION("AVERAGE(QUERY(SORT(GOOGLEFINANCE(B1789,""price"",TODAY()-365,TODAY()),1,0),""select Col2 limit 90""))"),34.27133333333333)</f>
        <v>34.27133333</v>
      </c>
      <c r="M1789" s="17">
        <f>IFERROR(__xludf.DUMMYFUNCTION("AVERAGE(QUERY(SORT(GOOGLEFINANCE(B1789,""price"",TODAY()-365,TODAY()),1,0),""select Col2 limit 120""))"),37.588583333333325)</f>
        <v>37.58858333</v>
      </c>
      <c r="N1789" s="19">
        <f>IFERROR(__xludf.DUMMYFUNCTION("AVERAGE(QUERY(SORT(GOOGLEFINANCE(B1789,""price"",TODAY()-365,TODAY()),1,0),""select Col2 limit 200""))"),48.58994999999998)</f>
        <v>48.58995</v>
      </c>
      <c r="O1789" s="20" t="str">
        <f t="shared" si="2"/>
        <v>Avoid</v>
      </c>
      <c r="P1789" s="21" t="str">
        <f t="shared" si="3"/>
        <v/>
      </c>
      <c r="Q1789" s="21" t="str">
        <f t="shared" si="4"/>
        <v/>
      </c>
      <c r="R1789" s="22">
        <f>IFERROR(__xludf.DUMMYFUNCTION("GOOGLEFINANCE(B1789, ""pe"")
"),0.52)</f>
        <v>0.52</v>
      </c>
    </row>
    <row r="1790">
      <c r="A1790" s="9" t="s">
        <v>1798</v>
      </c>
      <c r="B1790" s="11" t="str">
        <f t="shared" si="1"/>
        <v>NSE:ZENITHSTL</v>
      </c>
      <c r="C1790" s="12">
        <f>IFERROR(__xludf.DUMMYFUNCTION("GOOGLEFINANCE(B1790,""marketcap"")/10000000"),125.9182)</f>
        <v>125.9182</v>
      </c>
      <c r="D1790" s="13">
        <f>IFERROR(__xludf.DUMMYFUNCTION("GOOGLEFINANCE(B1790,""price"")"),8.73)</f>
        <v>8.73</v>
      </c>
      <c r="E1790" s="14">
        <f>IFERROR(__xludf.DUMMYFUNCTION("GOOGLEFINANCE(B1790,""Volume"")"),16432.0)</f>
        <v>16432</v>
      </c>
      <c r="F1790" s="14">
        <f t="array" ref="F1790">F1789</f>
        <v>14</v>
      </c>
      <c r="G1790" s="15" t="str">
        <f>IFERROR(__xludf.DUMMYFUNCTION("IF(E1790&gt;AVERAGE(INDEX(GOOGLEFINANCE(B1790,""volume"",WORKDAY(TODAY(),-$F$1),TODAY()),,2)),""Breakout"","""")"),"")</f>
        <v/>
      </c>
      <c r="H1790" s="16">
        <f>IFERROR(__xludf.DUMMYFUNCTION("GOOGLEFINANCE(B1790,""price"")"),8.73)</f>
        <v>8.73</v>
      </c>
      <c r="I1790" s="17">
        <f>IFERROR(__xludf.DUMMYFUNCTION("AVERAGE(QUERY(SORT(GOOGLEFINANCE(B1790,""price"",TODAY()-365,TODAY()),1,0),""select Col2 limit 10""))"),8.483999999999998)</f>
        <v>8.484</v>
      </c>
      <c r="J1790" s="17">
        <f>IFERROR(__xludf.DUMMYFUNCTION("AVERAGE(QUERY(SORT(GOOGLEFINANCE(B1790,""price"",TODAY()-365,TODAY()),1,0),""select Col2 limit 30""))"),8.408333333333335)</f>
        <v>8.408333333</v>
      </c>
      <c r="K1790" s="18">
        <f>IFERROR(__xludf.DUMMYFUNCTION("AVERAGE(QUERY(SORT(GOOGLEFINANCE(B1790,""price"",TODAY()-365,TODAY()),1,0),""select Col2 limit 60""))"),7.810166666666668)</f>
        <v>7.810166667</v>
      </c>
      <c r="L1790" s="17">
        <f>IFERROR(__xludf.DUMMYFUNCTION("AVERAGE(QUERY(SORT(GOOGLEFINANCE(B1790,""price"",TODAY()-365,TODAY()),1,0),""select Col2 limit 90""))"),7.466777777777778)</f>
        <v>7.466777778</v>
      </c>
      <c r="M1790" s="17">
        <f>IFERROR(__xludf.DUMMYFUNCTION("AVERAGE(QUERY(SORT(GOOGLEFINANCE(B1790,""price"",TODAY()-365,TODAY()),1,0),""select Col2 limit 120""))"),7.2958333333333325)</f>
        <v>7.295833333</v>
      </c>
      <c r="N1790" s="19">
        <f>IFERROR(__xludf.DUMMYFUNCTION("AVERAGE(QUERY(SORT(GOOGLEFINANCE(B1790,""price"",TODAY()-365,TODAY()),1,0),""select Col2 limit 200""))"),7.857399999999999)</f>
        <v>7.8574</v>
      </c>
      <c r="O1790" s="20" t="str">
        <f t="shared" si="2"/>
        <v>Avoid</v>
      </c>
      <c r="P1790" s="21" t="str">
        <f t="shared" si="3"/>
        <v/>
      </c>
      <c r="Q1790" s="21" t="str">
        <f t="shared" si="4"/>
        <v/>
      </c>
      <c r="R1790" s="22" t="str">
        <f>IFERROR(__xludf.DUMMYFUNCTION("GOOGLEFINANCE(B1790, ""pe"")
"),"#N/A")</f>
        <v>#N/A</v>
      </c>
    </row>
    <row r="1791">
      <c r="A1791" s="9" t="s">
        <v>1799</v>
      </c>
      <c r="B1791" s="11" t="str">
        <f t="shared" si="1"/>
        <v>NSE:MADHUCON</v>
      </c>
      <c r="C1791" s="12">
        <f>IFERROR(__xludf.DUMMYFUNCTION("GOOGLEFINANCE(B1791,""marketcap"")/10000000"),49.4426083)</f>
        <v>49.4426083</v>
      </c>
      <c r="D1791" s="13">
        <f>IFERROR(__xludf.DUMMYFUNCTION("GOOGLEFINANCE(B1791,""price"")"),6.7)</f>
        <v>6.7</v>
      </c>
      <c r="E1791" s="14">
        <f>IFERROR(__xludf.DUMMYFUNCTION("GOOGLEFINANCE(B1791,""Volume"")"),11300.0)</f>
        <v>11300</v>
      </c>
      <c r="F1791" s="14">
        <f t="array" ref="F1791">F1790</f>
        <v>14</v>
      </c>
      <c r="G1791" s="15" t="str">
        <f>IFERROR(__xludf.DUMMYFUNCTION("IF(E1791&gt;AVERAGE(INDEX(GOOGLEFINANCE(B1791,""volume"",WORKDAY(TODAY(),-$F$1),TODAY()),,2)),""Breakout"","""")"),"")</f>
        <v/>
      </c>
      <c r="H1791" s="16">
        <f>IFERROR(__xludf.DUMMYFUNCTION("GOOGLEFINANCE(B1791,""price"")"),6.7)</f>
        <v>6.7</v>
      </c>
      <c r="I1791" s="17">
        <f>IFERROR(__xludf.DUMMYFUNCTION("AVERAGE(QUERY(SORT(GOOGLEFINANCE(B1791,""price"",TODAY()-365,TODAY()),1,0),""select Col2 limit 10""))"),7.089)</f>
        <v>7.089</v>
      </c>
      <c r="J1791" s="17">
        <f>IFERROR(__xludf.DUMMYFUNCTION("AVERAGE(QUERY(SORT(GOOGLEFINANCE(B1791,""price"",TODAY()-365,TODAY()),1,0),""select Col2 limit 30""))"),7.388)</f>
        <v>7.388</v>
      </c>
      <c r="K1791" s="18">
        <f>IFERROR(__xludf.DUMMYFUNCTION("AVERAGE(QUERY(SORT(GOOGLEFINANCE(B1791,""price"",TODAY()-365,TODAY()),1,0),""select Col2 limit 60""))"),7.617500000000002)</f>
        <v>7.6175</v>
      </c>
      <c r="L1791" s="17">
        <f>IFERROR(__xludf.DUMMYFUNCTION("AVERAGE(QUERY(SORT(GOOGLEFINANCE(B1791,""price"",TODAY()-365,TODAY()),1,0),""select Col2 limit 90""))"),7.296111111111111)</f>
        <v>7.296111111</v>
      </c>
      <c r="M1791" s="17">
        <f>IFERROR(__xludf.DUMMYFUNCTION("AVERAGE(QUERY(SORT(GOOGLEFINANCE(B1791,""price"",TODAY()-365,TODAY()),1,0),""select Col2 limit 120""))"),7.24208333333333)</f>
        <v>7.242083333</v>
      </c>
      <c r="N1791" s="19">
        <f>IFERROR(__xludf.DUMMYFUNCTION("AVERAGE(QUERY(SORT(GOOGLEFINANCE(B1791,""price"",TODAY()-365,TODAY()),1,0),""select Col2 limit 200""))"),8.620650000000001)</f>
        <v>8.62065</v>
      </c>
      <c r="O1791" s="20" t="str">
        <f t="shared" si="2"/>
        <v>Avoid</v>
      </c>
      <c r="P1791" s="21" t="str">
        <f t="shared" si="3"/>
        <v/>
      </c>
      <c r="Q1791" s="21" t="str">
        <f t="shared" si="4"/>
        <v/>
      </c>
      <c r="R1791" s="22" t="str">
        <f>IFERROR(__xludf.DUMMYFUNCTION("GOOGLEFINANCE(B1791, ""pe"")
"),"#N/A")</f>
        <v>#N/A</v>
      </c>
    </row>
    <row r="1792">
      <c r="A1792" s="9" t="s">
        <v>1800</v>
      </c>
      <c r="B1792" s="11" t="str">
        <f t="shared" si="1"/>
        <v>NSE:PIONEEREMB</v>
      </c>
      <c r="C1792" s="12">
        <f>IFERROR(__xludf.DUMMYFUNCTION("GOOGLEFINANCE(B1792,""marketcap"")/10000000"),124.4635602)</f>
        <v>124.4635602</v>
      </c>
      <c r="D1792" s="13">
        <f>IFERROR(__xludf.DUMMYFUNCTION("GOOGLEFINANCE(B1792,""price"")"),40.39)</f>
        <v>40.39</v>
      </c>
      <c r="E1792" s="14">
        <f>IFERROR(__xludf.DUMMYFUNCTION("GOOGLEFINANCE(B1792,""Volume"")"),6145.0)</f>
        <v>6145</v>
      </c>
      <c r="F1792" s="14">
        <f t="array" ref="F1792">F1791</f>
        <v>14</v>
      </c>
      <c r="G1792" s="15" t="str">
        <f>IFERROR(__xludf.DUMMYFUNCTION("IF(E1792&gt;AVERAGE(INDEX(GOOGLEFINANCE(B1792,""volume"",WORKDAY(TODAY(),-$F$1),TODAY()),,2)),""Breakout"","""")"),"")</f>
        <v/>
      </c>
      <c r="H1792" s="16">
        <f>IFERROR(__xludf.DUMMYFUNCTION("GOOGLEFINANCE(B1792,""price"")"),40.39)</f>
        <v>40.39</v>
      </c>
      <c r="I1792" s="17">
        <f>IFERROR(__xludf.DUMMYFUNCTION("AVERAGE(QUERY(SORT(GOOGLEFINANCE(B1792,""price"",TODAY()-365,TODAY()),1,0),""select Col2 limit 10""))"),41.927)</f>
        <v>41.927</v>
      </c>
      <c r="J1792" s="17">
        <f>IFERROR(__xludf.DUMMYFUNCTION("AVERAGE(QUERY(SORT(GOOGLEFINANCE(B1792,""price"",TODAY()-365,TODAY()),1,0),""select Col2 limit 30""))"),42.66599999999999)</f>
        <v>42.666</v>
      </c>
      <c r="K1792" s="18">
        <f>IFERROR(__xludf.DUMMYFUNCTION("AVERAGE(QUERY(SORT(GOOGLEFINANCE(B1792,""price"",TODAY()-365,TODAY()),1,0),""select Col2 limit 60""))"),42.995000000000005)</f>
        <v>42.995</v>
      </c>
      <c r="L1792" s="17">
        <f>IFERROR(__xludf.DUMMYFUNCTION("AVERAGE(QUERY(SORT(GOOGLEFINANCE(B1792,""price"",TODAY()-365,TODAY()),1,0),""select Col2 limit 90""))"),42.494000000000014)</f>
        <v>42.494</v>
      </c>
      <c r="M1792" s="17">
        <f>IFERROR(__xludf.DUMMYFUNCTION("AVERAGE(QUERY(SORT(GOOGLEFINANCE(B1792,""price"",TODAY()-365,TODAY()),1,0),""select Col2 limit 120""))"),43.46725)</f>
        <v>43.46725</v>
      </c>
      <c r="N1792" s="19">
        <f>IFERROR(__xludf.DUMMYFUNCTION("AVERAGE(QUERY(SORT(GOOGLEFINANCE(B1792,""price"",TODAY()-365,TODAY()),1,0),""select Col2 limit 200""))"),46.6667)</f>
        <v>46.6667</v>
      </c>
      <c r="O1792" s="20" t="str">
        <f t="shared" si="2"/>
        <v>Avoid</v>
      </c>
      <c r="P1792" s="21" t="str">
        <f t="shared" si="3"/>
        <v/>
      </c>
      <c r="Q1792" s="21" t="str">
        <f t="shared" si="4"/>
        <v/>
      </c>
      <c r="R1792" s="22">
        <f>IFERROR(__xludf.DUMMYFUNCTION("GOOGLEFINANCE(B1792, ""pe"")
"),27.3)</f>
        <v>27.3</v>
      </c>
    </row>
    <row r="1793">
      <c r="A1793" s="9" t="s">
        <v>1801</v>
      </c>
      <c r="B1793" s="11" t="str">
        <f t="shared" si="1"/>
        <v>NSE:BEARDSELL</v>
      </c>
      <c r="C1793" s="12">
        <f>IFERROR(__xludf.DUMMYFUNCTION("GOOGLEFINANCE(B1793,""marketcap"")/10000000"),125.0941295)</f>
        <v>125.0941295</v>
      </c>
      <c r="D1793" s="13">
        <f>IFERROR(__xludf.DUMMYFUNCTION("GOOGLEFINANCE(B1793,""price"")"),31.72)</f>
        <v>31.72</v>
      </c>
      <c r="E1793" s="14">
        <f>IFERROR(__xludf.DUMMYFUNCTION("GOOGLEFINANCE(B1793,""Volume"")"),28840.0)</f>
        <v>28840</v>
      </c>
      <c r="F1793" s="14">
        <f t="array" ref="F1793">F1792</f>
        <v>14</v>
      </c>
      <c r="G1793" s="15" t="str">
        <f>IFERROR(__xludf.DUMMYFUNCTION("IF(E1793&gt;AVERAGE(INDEX(GOOGLEFINANCE(B1793,""volume"",WORKDAY(TODAY(),-$F$1),TODAY()),,2)),""Breakout"","""")"),"")</f>
        <v/>
      </c>
      <c r="H1793" s="16">
        <f>IFERROR(__xludf.DUMMYFUNCTION("GOOGLEFINANCE(B1793,""price"")"),31.72)</f>
        <v>31.72</v>
      </c>
      <c r="I1793" s="17">
        <f>IFERROR(__xludf.DUMMYFUNCTION("AVERAGE(QUERY(SORT(GOOGLEFINANCE(B1793,""price"",TODAY()-365,TODAY()),1,0),""select Col2 limit 10""))"),30.988)</f>
        <v>30.988</v>
      </c>
      <c r="J1793" s="17">
        <f>IFERROR(__xludf.DUMMYFUNCTION("AVERAGE(QUERY(SORT(GOOGLEFINANCE(B1793,""price"",TODAY()-365,TODAY()),1,0),""select Col2 limit 30""))"),30.39133333333333)</f>
        <v>30.39133333</v>
      </c>
      <c r="K1793" s="18">
        <f>IFERROR(__xludf.DUMMYFUNCTION("AVERAGE(QUERY(SORT(GOOGLEFINANCE(B1793,""price"",TODAY()-365,TODAY()),1,0),""select Col2 limit 60""))"),30.071500000000007)</f>
        <v>30.0715</v>
      </c>
      <c r="L1793" s="17">
        <f>IFERROR(__xludf.DUMMYFUNCTION("AVERAGE(QUERY(SORT(GOOGLEFINANCE(B1793,""price"",TODAY()-365,TODAY()),1,0),""select Col2 limit 90""))"),29.3368888888889)</f>
        <v>29.33688889</v>
      </c>
      <c r="M1793" s="17">
        <f>IFERROR(__xludf.DUMMYFUNCTION("AVERAGE(QUERY(SORT(GOOGLEFINANCE(B1793,""price"",TODAY()-365,TODAY()),1,0),""select Col2 limit 120""))"),30.340583333333345)</f>
        <v>30.34058333</v>
      </c>
      <c r="N1793" s="19">
        <f>IFERROR(__xludf.DUMMYFUNCTION("AVERAGE(QUERY(SORT(GOOGLEFINANCE(B1793,""price"",TODAY()-365,TODAY()),1,0),""select Col2 limit 200""))"),34.93770000000001)</f>
        <v>34.9377</v>
      </c>
      <c r="O1793" s="20" t="str">
        <f t="shared" si="2"/>
        <v>Buy Above 200 DMA</v>
      </c>
      <c r="P1793" s="21" t="str">
        <f t="shared" si="3"/>
        <v/>
      </c>
      <c r="Q1793" s="21" t="str">
        <f t="shared" si="4"/>
        <v/>
      </c>
      <c r="R1793" s="22">
        <f>IFERROR(__xludf.DUMMYFUNCTION("GOOGLEFINANCE(B1793, ""pe"")
"),12.73)</f>
        <v>12.73</v>
      </c>
    </row>
    <row r="1794">
      <c r="A1794" s="9" t="s">
        <v>1802</v>
      </c>
      <c r="B1794" s="11" t="str">
        <f t="shared" si="1"/>
        <v>NSE:TPHQ</v>
      </c>
      <c r="C1794" s="12">
        <f>IFERROR(__xludf.DUMMYFUNCTION("GOOGLEFINANCE(B1794,""marketcap"")/10000000"),87.6975213)</f>
        <v>87.6975213</v>
      </c>
      <c r="D1794" s="13">
        <f>IFERROR(__xludf.DUMMYFUNCTION("GOOGLEFINANCE(B1794,""price"")"),0.8)</f>
        <v>0.8</v>
      </c>
      <c r="E1794" s="14">
        <f>IFERROR(__xludf.DUMMYFUNCTION("GOOGLEFINANCE(B1794,""Volume"")"),342313.0)</f>
        <v>342313</v>
      </c>
      <c r="F1794" s="14">
        <f t="array" ref="F1794">F1793</f>
        <v>14</v>
      </c>
      <c r="G1794" s="15" t="str">
        <f>IFERROR(__xludf.DUMMYFUNCTION("IF(E1794&gt;AVERAGE(INDEX(GOOGLEFINANCE(B1794,""volume"",WORKDAY(TODAY(),-$F$1),TODAY()),,2)),""Breakout"","""")"),"")</f>
        <v/>
      </c>
      <c r="H1794" s="16">
        <f>IFERROR(__xludf.DUMMYFUNCTION("GOOGLEFINANCE(B1794,""price"")"),0.8)</f>
        <v>0.8</v>
      </c>
      <c r="I1794" s="17">
        <f>IFERROR(__xludf.DUMMYFUNCTION("AVERAGE(QUERY(SORT(GOOGLEFINANCE(B1794,""price"",TODAY()-365,TODAY()),1,0),""select Col2 limit 10""))"),0.8719999999999999)</f>
        <v>0.872</v>
      </c>
      <c r="J1794" s="17">
        <f>IFERROR(__xludf.DUMMYFUNCTION("AVERAGE(QUERY(SORT(GOOGLEFINANCE(B1794,""price"",TODAY()-365,TODAY()),1,0),""select Col2 limit 30""))"),0.8076666666666669)</f>
        <v>0.8076666667</v>
      </c>
      <c r="K1794" s="18">
        <f>IFERROR(__xludf.DUMMYFUNCTION("AVERAGE(QUERY(SORT(GOOGLEFINANCE(B1794,""price"",TODAY()-365,TODAY()),1,0),""select Col2 limit 60""))"),0.7703333333333334)</f>
        <v>0.7703333333</v>
      </c>
      <c r="L1794" s="17">
        <f>IFERROR(__xludf.DUMMYFUNCTION("AVERAGE(QUERY(SORT(GOOGLEFINANCE(B1794,""price"",TODAY()-365,TODAY()),1,0),""select Col2 limit 90""))"),0.9072222222222219)</f>
        <v>0.9072222222</v>
      </c>
      <c r="M1794" s="17">
        <f>IFERROR(__xludf.DUMMYFUNCTION("AVERAGE(QUERY(SORT(GOOGLEFINANCE(B1794,""price"",TODAY()-365,TODAY()),1,0),""select Col2 limit 120""))"),1.0564999999999996)</f>
        <v>1.0565</v>
      </c>
      <c r="N1794" s="19">
        <f>IFERROR(__xludf.DUMMYFUNCTION("AVERAGE(QUERY(SORT(GOOGLEFINANCE(B1794,""price"",TODAY()-365,TODAY()),1,0),""select Col2 limit 200""))"),1.33685)</f>
        <v>1.33685</v>
      </c>
      <c r="O1794" s="20" t="str">
        <f t="shared" si="2"/>
        <v>Avoid</v>
      </c>
      <c r="P1794" s="21" t="str">
        <f t="shared" si="3"/>
        <v>30 DMA</v>
      </c>
      <c r="Q1794" s="21" t="str">
        <f t="shared" si="4"/>
        <v/>
      </c>
      <c r="R1794" s="22">
        <f>IFERROR(__xludf.DUMMYFUNCTION("GOOGLEFINANCE(B1794, ""pe"")
"),24.08)</f>
        <v>24.08</v>
      </c>
    </row>
    <row r="1795">
      <c r="A1795" s="9" t="s">
        <v>1803</v>
      </c>
      <c r="B1795" s="11" t="str">
        <f t="shared" si="1"/>
        <v>NSE:AAKASH</v>
      </c>
      <c r="C1795" s="12">
        <f>IFERROR(__xludf.DUMMYFUNCTION("GOOGLEFINANCE(B1795,""marketcap"")/10000000"),99.0223994)</f>
        <v>99.0223994</v>
      </c>
      <c r="D1795" s="13">
        <f>IFERROR(__xludf.DUMMYFUNCTION("GOOGLEFINANCE(B1795,""price"")"),9.79)</f>
        <v>9.79</v>
      </c>
      <c r="E1795" s="14">
        <f>IFERROR(__xludf.DUMMYFUNCTION("GOOGLEFINANCE(B1795,""Volume"")"),60594.0)</f>
        <v>60594</v>
      </c>
      <c r="F1795" s="14">
        <f t="array" ref="F1795">F1794</f>
        <v>14</v>
      </c>
      <c r="G1795" s="15" t="str">
        <f>IFERROR(__xludf.DUMMYFUNCTION("IF(E1795&gt;AVERAGE(INDEX(GOOGLEFINANCE(B1795,""volume"",WORKDAY(TODAY(),-$F$1),TODAY()),,2)),""Breakout"","""")"),"")</f>
        <v/>
      </c>
      <c r="H1795" s="16">
        <f>IFERROR(__xludf.DUMMYFUNCTION("GOOGLEFINANCE(B1795,""price"")"),9.79)</f>
        <v>9.79</v>
      </c>
      <c r="I1795" s="17">
        <f>IFERROR(__xludf.DUMMYFUNCTION("AVERAGE(QUERY(SORT(GOOGLEFINANCE(B1795,""price"",TODAY()-365,TODAY()),1,0),""select Col2 limit 10""))"),10.05)</f>
        <v>10.05</v>
      </c>
      <c r="J1795" s="17">
        <f>IFERROR(__xludf.DUMMYFUNCTION("AVERAGE(QUERY(SORT(GOOGLEFINANCE(B1795,""price"",TODAY()-365,TODAY()),1,0),""select Col2 limit 30""))"),10.224999999999998)</f>
        <v>10.225</v>
      </c>
      <c r="K1795" s="18">
        <f>IFERROR(__xludf.DUMMYFUNCTION("AVERAGE(QUERY(SORT(GOOGLEFINANCE(B1795,""price"",TODAY()-365,TODAY()),1,0),""select Col2 limit 60""))"),9.234999999999998)</f>
        <v>9.235</v>
      </c>
      <c r="L1795" s="17">
        <f>IFERROR(__xludf.DUMMYFUNCTION("AVERAGE(QUERY(SORT(GOOGLEFINANCE(B1795,""price"",TODAY()-365,TODAY()),1,0),""select Col2 limit 90""))"),8.93533333333333)</f>
        <v>8.935333333</v>
      </c>
      <c r="M1795" s="17">
        <f>IFERROR(__xludf.DUMMYFUNCTION("AVERAGE(QUERY(SORT(GOOGLEFINANCE(B1795,""price"",TODAY()-365,TODAY()),1,0),""select Col2 limit 120""))"),9.031583333333332)</f>
        <v>9.031583333</v>
      </c>
      <c r="N1795" s="19">
        <f>IFERROR(__xludf.DUMMYFUNCTION("AVERAGE(QUERY(SORT(GOOGLEFINANCE(B1795,""price"",TODAY()-365,TODAY()),1,0),""select Col2 limit 200""))"),9.762449999999996)</f>
        <v>9.76245</v>
      </c>
      <c r="O1795" s="20" t="str">
        <f t="shared" si="2"/>
        <v>Avoid</v>
      </c>
      <c r="P1795" s="21" t="str">
        <f t="shared" si="3"/>
        <v/>
      </c>
      <c r="Q1795" s="21" t="str">
        <f t="shared" si="4"/>
        <v/>
      </c>
      <c r="R1795" s="22">
        <f>IFERROR(__xludf.DUMMYFUNCTION("GOOGLEFINANCE(B1795, ""pe"")
"),54.33)</f>
        <v>54.33</v>
      </c>
    </row>
    <row r="1796">
      <c r="A1796" s="9" t="s">
        <v>1804</v>
      </c>
      <c r="B1796" s="11" t="str">
        <f t="shared" si="1"/>
        <v>NSE:AKSHOPTFBR</v>
      </c>
      <c r="C1796" s="12">
        <f>IFERROR(__xludf.DUMMYFUNCTION("GOOGLEFINANCE(B1796,""marketcap"")/10000000"),135.8527527)</f>
        <v>135.8527527</v>
      </c>
      <c r="D1796" s="13">
        <f>IFERROR(__xludf.DUMMYFUNCTION("GOOGLEFINANCE(B1796,""price"")"),8.35)</f>
        <v>8.35</v>
      </c>
      <c r="E1796" s="14">
        <f>IFERROR(__xludf.DUMMYFUNCTION("GOOGLEFINANCE(B1796,""Volume"")"),135461.0)</f>
        <v>135461</v>
      </c>
      <c r="F1796" s="14">
        <f t="array" ref="F1796">F1795</f>
        <v>14</v>
      </c>
      <c r="G1796" s="15" t="str">
        <f>IFERROR(__xludf.DUMMYFUNCTION("IF(E1796&gt;AVERAGE(INDEX(GOOGLEFINANCE(B1796,""volume"",WORKDAY(TODAY(),-$F$1),TODAY()),,2)),""Breakout"","""")"),"")</f>
        <v/>
      </c>
      <c r="H1796" s="16">
        <f>IFERROR(__xludf.DUMMYFUNCTION("GOOGLEFINANCE(B1796,""price"")"),8.35)</f>
        <v>8.35</v>
      </c>
      <c r="I1796" s="17">
        <f>IFERROR(__xludf.DUMMYFUNCTION("AVERAGE(QUERY(SORT(GOOGLEFINANCE(B1796,""price"",TODAY()-365,TODAY()),1,0),""select Col2 limit 10""))"),8.599999999999998)</f>
        <v>8.6</v>
      </c>
      <c r="J1796" s="17">
        <f>IFERROR(__xludf.DUMMYFUNCTION("AVERAGE(QUERY(SORT(GOOGLEFINANCE(B1796,""price"",TODAY()-365,TODAY()),1,0),""select Col2 limit 30""))"),8.836999999999998)</f>
        <v>8.837</v>
      </c>
      <c r="K1796" s="18">
        <f>IFERROR(__xludf.DUMMYFUNCTION("AVERAGE(QUERY(SORT(GOOGLEFINANCE(B1796,""price"",TODAY()-365,TODAY()),1,0),""select Col2 limit 60""))"),9.100833333333334)</f>
        <v>9.100833333</v>
      </c>
      <c r="L1796" s="17">
        <f>IFERROR(__xludf.DUMMYFUNCTION("AVERAGE(QUERY(SORT(GOOGLEFINANCE(B1796,""price"",TODAY()-365,TODAY()),1,0),""select Col2 limit 90""))"),9.298222222222225)</f>
        <v>9.298222222</v>
      </c>
      <c r="M1796" s="17">
        <f>IFERROR(__xludf.DUMMYFUNCTION("AVERAGE(QUERY(SORT(GOOGLEFINANCE(B1796,""price"",TODAY()-365,TODAY()),1,0),""select Col2 limit 120""))"),9.190416666666668)</f>
        <v>9.190416667</v>
      </c>
      <c r="N1796" s="19">
        <f>IFERROR(__xludf.DUMMYFUNCTION("AVERAGE(QUERY(SORT(GOOGLEFINANCE(B1796,""price"",TODAY()-365,TODAY()),1,0),""select Col2 limit 200""))"),9.803850000000002)</f>
        <v>9.80385</v>
      </c>
      <c r="O1796" s="20" t="str">
        <f t="shared" si="2"/>
        <v>Avoid</v>
      </c>
      <c r="P1796" s="21" t="str">
        <f t="shared" si="3"/>
        <v/>
      </c>
      <c r="Q1796" s="21" t="str">
        <f t="shared" si="4"/>
        <v/>
      </c>
      <c r="R1796" s="22" t="str">
        <f>IFERROR(__xludf.DUMMYFUNCTION("GOOGLEFINANCE(B1796, ""pe"")
"),"#N/A")</f>
        <v>#N/A</v>
      </c>
    </row>
    <row r="1797">
      <c r="A1797" s="9" t="s">
        <v>1805</v>
      </c>
      <c r="B1797" s="11" t="str">
        <f t="shared" si="1"/>
        <v>NSE:AAREYDRUGS</v>
      </c>
      <c r="C1797" s="12">
        <f>IFERROR(__xludf.DUMMYFUNCTION("GOOGLEFINANCE(B1797,""marketcap"")/10000000"),183.9770265)</f>
        <v>183.9770265</v>
      </c>
      <c r="D1797" s="13">
        <f>IFERROR(__xludf.DUMMYFUNCTION("GOOGLEFINANCE(B1797,""price"")"),64.55)</f>
        <v>64.55</v>
      </c>
      <c r="E1797" s="14">
        <f>IFERROR(__xludf.DUMMYFUNCTION("GOOGLEFINANCE(B1797,""Volume"")"),9178.0)</f>
        <v>9178</v>
      </c>
      <c r="F1797" s="14">
        <f t="array" ref="F1797">F1796</f>
        <v>14</v>
      </c>
      <c r="G1797" s="15" t="str">
        <f>IFERROR(__xludf.DUMMYFUNCTION("IF(E1797&gt;AVERAGE(INDEX(GOOGLEFINANCE(B1797,""volume"",WORKDAY(TODAY(),-$F$1),TODAY()),,2)),""Breakout"","""")"),"")</f>
        <v/>
      </c>
      <c r="H1797" s="16">
        <f>IFERROR(__xludf.DUMMYFUNCTION("GOOGLEFINANCE(B1797,""price"")"),64.55)</f>
        <v>64.55</v>
      </c>
      <c r="I1797" s="17">
        <f>IFERROR(__xludf.DUMMYFUNCTION("AVERAGE(QUERY(SORT(GOOGLEFINANCE(B1797,""price"",TODAY()-365,TODAY()),1,0),""select Col2 limit 10""))"),66.82500000000002)</f>
        <v>66.825</v>
      </c>
      <c r="J1797" s="17">
        <f>IFERROR(__xludf.DUMMYFUNCTION("AVERAGE(QUERY(SORT(GOOGLEFINANCE(B1797,""price"",TODAY()-365,TODAY()),1,0),""select Col2 limit 30""))"),65.48766666666667)</f>
        <v>65.48766667</v>
      </c>
      <c r="K1797" s="18">
        <f>IFERROR(__xludf.DUMMYFUNCTION("AVERAGE(QUERY(SORT(GOOGLEFINANCE(B1797,""price"",TODAY()-365,TODAY()),1,0),""select Col2 limit 60""))"),59.627500000000005)</f>
        <v>59.6275</v>
      </c>
      <c r="L1797" s="17">
        <f>IFERROR(__xludf.DUMMYFUNCTION("AVERAGE(QUERY(SORT(GOOGLEFINANCE(B1797,""price"",TODAY()-365,TODAY()),1,0),""select Col2 limit 90""))"),55.175555555555555)</f>
        <v>55.17555556</v>
      </c>
      <c r="M1797" s="17">
        <f>IFERROR(__xludf.DUMMYFUNCTION("AVERAGE(QUERY(SORT(GOOGLEFINANCE(B1797,""price"",TODAY()-365,TODAY()),1,0),""select Col2 limit 120""))"),52.09833333333334)</f>
        <v>52.09833333</v>
      </c>
      <c r="N1797" s="19">
        <f>IFERROR(__xludf.DUMMYFUNCTION("AVERAGE(QUERY(SORT(GOOGLEFINANCE(B1797,""price"",TODAY()-365,TODAY()),1,0),""select Col2 limit 200""))"),54.72720000000002)</f>
        <v>54.7272</v>
      </c>
      <c r="O1797" s="20" t="str">
        <f t="shared" si="2"/>
        <v>Avoid</v>
      </c>
      <c r="P1797" s="21" t="str">
        <f t="shared" si="3"/>
        <v/>
      </c>
      <c r="Q1797" s="21" t="str">
        <f t="shared" si="4"/>
        <v/>
      </c>
      <c r="R1797" s="22">
        <f>IFERROR(__xludf.DUMMYFUNCTION("GOOGLEFINANCE(B1797, ""pe"")
"),35.08)</f>
        <v>35.08</v>
      </c>
    </row>
    <row r="1798">
      <c r="A1798" s="9" t="s">
        <v>1806</v>
      </c>
      <c r="B1798" s="11" t="str">
        <f t="shared" si="1"/>
        <v>NSE:ALKALI</v>
      </c>
      <c r="C1798" s="12">
        <f>IFERROR(__xludf.DUMMYFUNCTION("GOOGLEFINANCE(B1798,""marketcap"")/10000000"),96.5301031)</f>
        <v>96.5301031</v>
      </c>
      <c r="D1798" s="13">
        <f>IFERROR(__xludf.DUMMYFUNCTION("GOOGLEFINANCE(B1798,""price"")"),94.8)</f>
        <v>94.8</v>
      </c>
      <c r="E1798" s="14">
        <f>IFERROR(__xludf.DUMMYFUNCTION("GOOGLEFINANCE(B1798,""Volume"")"),1714.0)</f>
        <v>1714</v>
      </c>
      <c r="F1798" s="14">
        <f t="array" ref="F1798">F1797</f>
        <v>14</v>
      </c>
      <c r="G1798" s="15" t="str">
        <f>IFERROR(__xludf.DUMMYFUNCTION("IF(E1798&gt;AVERAGE(INDEX(GOOGLEFINANCE(B1798,""volume"",WORKDAY(TODAY(),-$F$1),TODAY()),,2)),""Breakout"","""")"),"")</f>
        <v/>
      </c>
      <c r="H1798" s="16">
        <f>IFERROR(__xludf.DUMMYFUNCTION("GOOGLEFINANCE(B1798,""price"")"),94.8)</f>
        <v>94.8</v>
      </c>
      <c r="I1798" s="17">
        <f>IFERROR(__xludf.DUMMYFUNCTION("AVERAGE(QUERY(SORT(GOOGLEFINANCE(B1798,""price"",TODAY()-365,TODAY()),1,0),""select Col2 limit 10""))"),97.074)</f>
        <v>97.074</v>
      </c>
      <c r="J1798" s="17">
        <f>IFERROR(__xludf.DUMMYFUNCTION("AVERAGE(QUERY(SORT(GOOGLEFINANCE(B1798,""price"",TODAY()-365,TODAY()),1,0),""select Col2 limit 30""))"),98.30933333333336)</f>
        <v>98.30933333</v>
      </c>
      <c r="K1798" s="18">
        <f>IFERROR(__xludf.DUMMYFUNCTION("AVERAGE(QUERY(SORT(GOOGLEFINANCE(B1798,""price"",TODAY()-365,TODAY()),1,0),""select Col2 limit 60""))"),96.833)</f>
        <v>96.833</v>
      </c>
      <c r="L1798" s="17">
        <f>IFERROR(__xludf.DUMMYFUNCTION("AVERAGE(QUERY(SORT(GOOGLEFINANCE(B1798,""price"",TODAY()-365,TODAY()),1,0),""select Col2 limit 90""))"),92.86022222222218)</f>
        <v>92.86022222</v>
      </c>
      <c r="M1798" s="17">
        <f>IFERROR(__xludf.DUMMYFUNCTION("AVERAGE(QUERY(SORT(GOOGLEFINANCE(B1798,""price"",TODAY()-365,TODAY()),1,0),""select Col2 limit 120""))"),92.47258333333329)</f>
        <v>92.47258333</v>
      </c>
      <c r="N1798" s="19">
        <f>IFERROR(__xludf.DUMMYFUNCTION("AVERAGE(QUERY(SORT(GOOGLEFINANCE(B1798,""price"",TODAY()-365,TODAY()),1,0),""select Col2 limit 200""))"),101.12274999999988)</f>
        <v>101.12275</v>
      </c>
      <c r="O1798" s="20" t="str">
        <f t="shared" si="2"/>
        <v>Avoid</v>
      </c>
      <c r="P1798" s="21" t="str">
        <f t="shared" si="3"/>
        <v/>
      </c>
      <c r="Q1798" s="21" t="str">
        <f t="shared" si="4"/>
        <v/>
      </c>
      <c r="R1798" s="22" t="str">
        <f>IFERROR(__xludf.DUMMYFUNCTION("GOOGLEFINANCE(B1798, ""pe"")
"),"#N/A")</f>
        <v>#N/A</v>
      </c>
    </row>
    <row r="1799">
      <c r="A1799" s="9" t="s">
        <v>1807</v>
      </c>
      <c r="B1799" s="11" t="str">
        <f t="shared" si="1"/>
        <v>NSE:PALASHSECU</v>
      </c>
      <c r="C1799" s="12">
        <f>IFERROR(__xludf.DUMMYFUNCTION("GOOGLEFINANCE(B1799,""marketcap"")/10000000"),123.7182174)</f>
        <v>123.7182174</v>
      </c>
      <c r="D1799" s="13">
        <f>IFERROR(__xludf.DUMMYFUNCTION("GOOGLEFINANCE(B1799,""price"")"),123.68)</f>
        <v>123.68</v>
      </c>
      <c r="E1799" s="14">
        <f>IFERROR(__xludf.DUMMYFUNCTION("GOOGLEFINANCE(B1799,""Volume"")"),2074.0)</f>
        <v>2074</v>
      </c>
      <c r="F1799" s="14">
        <f t="array" ref="F1799">F1798</f>
        <v>14</v>
      </c>
      <c r="G1799" s="15" t="str">
        <f>IFERROR(__xludf.DUMMYFUNCTION("IF(E1799&gt;AVERAGE(INDEX(GOOGLEFINANCE(B1799,""volume"",WORKDAY(TODAY(),-$F$1),TODAY()),,2)),""Breakout"","""")"),"")</f>
        <v/>
      </c>
      <c r="H1799" s="16">
        <f>IFERROR(__xludf.DUMMYFUNCTION("GOOGLEFINANCE(B1799,""price"")"),123.68)</f>
        <v>123.68</v>
      </c>
      <c r="I1799" s="17">
        <f>IFERROR(__xludf.DUMMYFUNCTION("AVERAGE(QUERY(SORT(GOOGLEFINANCE(B1799,""price"",TODAY()-365,TODAY()),1,0),""select Col2 limit 10""))"),125.84099999999998)</f>
        <v>125.841</v>
      </c>
      <c r="J1799" s="17">
        <f>IFERROR(__xludf.DUMMYFUNCTION("AVERAGE(QUERY(SORT(GOOGLEFINANCE(B1799,""price"",TODAY()-365,TODAY()),1,0),""select Col2 limit 30""))"),126.66933333333331)</f>
        <v>126.6693333</v>
      </c>
      <c r="K1799" s="18">
        <f>IFERROR(__xludf.DUMMYFUNCTION("AVERAGE(QUERY(SORT(GOOGLEFINANCE(B1799,""price"",TODAY()-365,TODAY()),1,0),""select Col2 limit 60""))"),125.14149999999997)</f>
        <v>125.1415</v>
      </c>
      <c r="L1799" s="17">
        <f>IFERROR(__xludf.DUMMYFUNCTION("AVERAGE(QUERY(SORT(GOOGLEFINANCE(B1799,""price"",TODAY()-365,TODAY()),1,0),""select Col2 limit 90""))"),124.69822222222228)</f>
        <v>124.6982222</v>
      </c>
      <c r="M1799" s="17">
        <f>IFERROR(__xludf.DUMMYFUNCTION("AVERAGE(QUERY(SORT(GOOGLEFINANCE(B1799,""price"",TODAY()-365,TODAY()),1,0),""select Col2 limit 120""))"),125.92400000000005)</f>
        <v>125.924</v>
      </c>
      <c r="N1799" s="19">
        <f>IFERROR(__xludf.DUMMYFUNCTION("AVERAGE(QUERY(SORT(GOOGLEFINANCE(B1799,""price"",TODAY()-365,TODAY()),1,0),""select Col2 limit 200""))"),139.32110000000003)</f>
        <v>139.3211</v>
      </c>
      <c r="O1799" s="20" t="str">
        <f t="shared" si="2"/>
        <v>Avoid</v>
      </c>
      <c r="P1799" s="21" t="str">
        <f t="shared" si="3"/>
        <v>90 DMA</v>
      </c>
      <c r="Q1799" s="21" t="str">
        <f t="shared" si="4"/>
        <v/>
      </c>
      <c r="R1799" s="22" t="str">
        <f>IFERROR(__xludf.DUMMYFUNCTION("GOOGLEFINANCE(B1799, ""pe"")
"),"#N/A")</f>
        <v>#N/A</v>
      </c>
    </row>
    <row r="1800">
      <c r="A1800" s="9" t="s">
        <v>1808</v>
      </c>
      <c r="B1800" s="11" t="str">
        <f t="shared" si="1"/>
        <v>NSE:AMDIND</v>
      </c>
      <c r="C1800" s="12">
        <f>IFERROR(__xludf.DUMMYFUNCTION("GOOGLEFINANCE(B1800,""marketcap"")/10000000"),98.3828799)</f>
        <v>98.3828799</v>
      </c>
      <c r="D1800" s="13">
        <f>IFERROR(__xludf.DUMMYFUNCTION("GOOGLEFINANCE(B1800,""price"")"),51.25)</f>
        <v>51.25</v>
      </c>
      <c r="E1800" s="14">
        <f>IFERROR(__xludf.DUMMYFUNCTION("GOOGLEFINANCE(B1800,""Volume"")"),9591.0)</f>
        <v>9591</v>
      </c>
      <c r="F1800" s="14">
        <f t="array" ref="F1800">F1799</f>
        <v>14</v>
      </c>
      <c r="G1800" s="15" t="str">
        <f>IFERROR(__xludf.DUMMYFUNCTION("IF(E1800&gt;AVERAGE(INDEX(GOOGLEFINANCE(B1800,""volume"",WORKDAY(TODAY(),-$F$1),TODAY()),,2)),""Breakout"","""")"),"")</f>
        <v/>
      </c>
      <c r="H1800" s="16">
        <f>IFERROR(__xludf.DUMMYFUNCTION("GOOGLEFINANCE(B1800,""price"")"),51.25)</f>
        <v>51.25</v>
      </c>
      <c r="I1800" s="17">
        <f>IFERROR(__xludf.DUMMYFUNCTION("AVERAGE(QUERY(SORT(GOOGLEFINANCE(B1800,""price"",TODAY()-365,TODAY()),1,0),""select Col2 limit 10""))"),51.793000000000006)</f>
        <v>51.793</v>
      </c>
      <c r="J1800" s="17">
        <f>IFERROR(__xludf.DUMMYFUNCTION("AVERAGE(QUERY(SORT(GOOGLEFINANCE(B1800,""price"",TODAY()-365,TODAY()),1,0),""select Col2 limit 30""))"),50.94399999999999)</f>
        <v>50.944</v>
      </c>
      <c r="K1800" s="18">
        <f>IFERROR(__xludf.DUMMYFUNCTION("AVERAGE(QUERY(SORT(GOOGLEFINANCE(B1800,""price"",TODAY()-365,TODAY()),1,0),""select Col2 limit 60""))"),50.425)</f>
        <v>50.425</v>
      </c>
      <c r="L1800" s="17">
        <f>IFERROR(__xludf.DUMMYFUNCTION("AVERAGE(QUERY(SORT(GOOGLEFINANCE(B1800,""price"",TODAY()-365,TODAY()),1,0),""select Col2 limit 90""))"),49.11944444444441)</f>
        <v>49.11944444</v>
      </c>
      <c r="M1800" s="17">
        <f>IFERROR(__xludf.DUMMYFUNCTION("AVERAGE(QUERY(SORT(GOOGLEFINANCE(B1800,""price"",TODAY()-365,TODAY()),1,0),""select Col2 limit 120""))"),48.964916666666646)</f>
        <v>48.96491667</v>
      </c>
      <c r="N1800" s="19">
        <f>IFERROR(__xludf.DUMMYFUNCTION("AVERAGE(QUERY(SORT(GOOGLEFINANCE(B1800,""price"",TODAY()-365,TODAY()),1,0),""select Col2 limit 200""))"),54.307299999999984)</f>
        <v>54.3073</v>
      </c>
      <c r="O1800" s="20" t="str">
        <f t="shared" si="2"/>
        <v>Avoid</v>
      </c>
      <c r="P1800" s="21" t="str">
        <f t="shared" si="3"/>
        <v/>
      </c>
      <c r="Q1800" s="21" t="str">
        <f t="shared" si="4"/>
        <v/>
      </c>
      <c r="R1800" s="22">
        <f>IFERROR(__xludf.DUMMYFUNCTION("GOOGLEFINANCE(B1800, ""pe"")
"),98.71)</f>
        <v>98.71</v>
      </c>
    </row>
    <row r="1801">
      <c r="A1801" s="9" t="s">
        <v>1809</v>
      </c>
      <c r="B1801" s="11" t="str">
        <f t="shared" si="1"/>
        <v>NSE:AAATECH</v>
      </c>
      <c r="C1801" s="12">
        <f>IFERROR(__xludf.DUMMYFUNCTION("GOOGLEFINANCE(B1801,""marketcap"")/10000000"),112.5550822)</f>
        <v>112.5550822</v>
      </c>
      <c r="D1801" s="13">
        <f>IFERROR(__xludf.DUMMYFUNCTION("GOOGLEFINANCE(B1801,""price"")"),87.75)</f>
        <v>87.75</v>
      </c>
      <c r="E1801" s="14">
        <f>IFERROR(__xludf.DUMMYFUNCTION("GOOGLEFINANCE(B1801,""Volume"")"),5778.0)</f>
        <v>5778</v>
      </c>
      <c r="F1801" s="14">
        <f t="array" ref="F1801">F1800</f>
        <v>14</v>
      </c>
      <c r="G1801" s="15" t="str">
        <f>IFERROR(__xludf.DUMMYFUNCTION("IF(E1801&gt;AVERAGE(INDEX(GOOGLEFINANCE(B1801,""volume"",WORKDAY(TODAY(),-$F$1),TODAY()),,2)),""Breakout"","""")"),"")</f>
        <v/>
      </c>
      <c r="H1801" s="16">
        <f>IFERROR(__xludf.DUMMYFUNCTION("GOOGLEFINANCE(B1801,""price"")"),87.75)</f>
        <v>87.75</v>
      </c>
      <c r="I1801" s="17" t="str">
        <f>IFERROR(__xludf.DUMMYFUNCTION("AVERAGE(QUERY(SORT(GOOGLEFINANCE(B1801,""price"",TODAY()-365,TODAY()),1,0),""select Col2 limit 10""))"),"#N/A")</f>
        <v>#N/A</v>
      </c>
      <c r="J1801" s="17" t="str">
        <f>IFERROR(__xludf.DUMMYFUNCTION("AVERAGE(QUERY(SORT(GOOGLEFINANCE(B1801,""price"",TODAY()-365,TODAY()),1,0),""select Col2 limit 30""))"),"#N/A")</f>
        <v>#N/A</v>
      </c>
      <c r="K1801" s="18" t="str">
        <f>IFERROR(__xludf.DUMMYFUNCTION("AVERAGE(QUERY(SORT(GOOGLEFINANCE(B1801,""price"",TODAY()-365,TODAY()),1,0),""select Col2 limit 60""))"),"#N/A")</f>
        <v>#N/A</v>
      </c>
      <c r="L1801" s="17" t="str">
        <f>IFERROR(__xludf.DUMMYFUNCTION("AVERAGE(QUERY(SORT(GOOGLEFINANCE(B1801,""price"",TODAY()-365,TODAY()),1,0),""select Col2 limit 90""))"),"#N/A")</f>
        <v>#N/A</v>
      </c>
      <c r="M1801" s="17" t="str">
        <f>IFERROR(__xludf.DUMMYFUNCTION("AVERAGE(QUERY(SORT(GOOGLEFINANCE(B1801,""price"",TODAY()-365,TODAY()),1,0),""select Col2 limit 120""))"),"#N/A")</f>
        <v>#N/A</v>
      </c>
      <c r="N1801" s="19" t="str">
        <f>IFERROR(__xludf.DUMMYFUNCTION("AVERAGE(QUERY(SORT(GOOGLEFINANCE(B1801,""price"",TODAY()-365,TODAY()),1,0),""select Col2 limit 200""))"),"#N/A")</f>
        <v>#N/A</v>
      </c>
      <c r="O1801" s="20" t="str">
        <f t="shared" si="2"/>
        <v>#N/A</v>
      </c>
      <c r="P1801" s="21" t="str">
        <f t="shared" si="3"/>
        <v>#N/A</v>
      </c>
      <c r="Q1801" s="21" t="str">
        <f t="shared" si="4"/>
        <v>#N/A</v>
      </c>
      <c r="R1801" s="22">
        <f>IFERROR(__xludf.DUMMYFUNCTION("GOOGLEFINANCE(B1801, ""pe"")
"),32.03)</f>
        <v>32.03</v>
      </c>
    </row>
    <row r="1802">
      <c r="A1802" s="9" t="s">
        <v>1810</v>
      </c>
      <c r="B1802" s="11" t="str">
        <f t="shared" si="1"/>
        <v>NSE:REGENCERAM</v>
      </c>
      <c r="C1802" s="12">
        <f>IFERROR(__xludf.DUMMYFUNCTION("GOOGLEFINANCE(B1802,""marketcap"")/10000000"),131.5996951)</f>
        <v>131.5996951</v>
      </c>
      <c r="D1802" s="13">
        <f>IFERROR(__xludf.DUMMYFUNCTION("GOOGLEFINANCE(B1802,""price"")"),49.77)</f>
        <v>49.77</v>
      </c>
      <c r="E1802" s="14">
        <f>IFERROR(__xludf.DUMMYFUNCTION("GOOGLEFINANCE(B1802,""Volume"")"),478.0)</f>
        <v>478</v>
      </c>
      <c r="F1802" s="14">
        <f t="array" ref="F1802">F1801</f>
        <v>14</v>
      </c>
      <c r="G1802" s="15" t="str">
        <f>IFERROR(__xludf.DUMMYFUNCTION("IF(E1802&gt;AVERAGE(INDEX(GOOGLEFINANCE(B1802,""volume"",WORKDAY(TODAY(),-$F$1),TODAY()),,2)),""Breakout"","""")"),"")</f>
        <v/>
      </c>
      <c r="H1802" s="16">
        <f>IFERROR(__xludf.DUMMYFUNCTION("GOOGLEFINANCE(B1802,""price"")"),49.77)</f>
        <v>49.77</v>
      </c>
      <c r="I1802" s="17" t="str">
        <f>IFERROR(__xludf.DUMMYFUNCTION("AVERAGE(QUERY(SORT(GOOGLEFINANCE(B1802,""price"",TODAY()-365,TODAY()),1,0),""select Col2 limit 10""))"),"#N/A")</f>
        <v>#N/A</v>
      </c>
      <c r="J1802" s="17" t="str">
        <f>IFERROR(__xludf.DUMMYFUNCTION("AVERAGE(QUERY(SORT(GOOGLEFINANCE(B1802,""price"",TODAY()-365,TODAY()),1,0),""select Col2 limit 30""))"),"#N/A")</f>
        <v>#N/A</v>
      </c>
      <c r="K1802" s="18" t="str">
        <f>IFERROR(__xludf.DUMMYFUNCTION("AVERAGE(QUERY(SORT(GOOGLEFINANCE(B1802,""price"",TODAY()-365,TODAY()),1,0),""select Col2 limit 60""))"),"#N/A")</f>
        <v>#N/A</v>
      </c>
      <c r="L1802" s="17" t="str">
        <f>IFERROR(__xludf.DUMMYFUNCTION("AVERAGE(QUERY(SORT(GOOGLEFINANCE(B1802,""price"",TODAY()-365,TODAY()),1,0),""select Col2 limit 90""))"),"#N/A")</f>
        <v>#N/A</v>
      </c>
      <c r="M1802" s="17" t="str">
        <f>IFERROR(__xludf.DUMMYFUNCTION("AVERAGE(QUERY(SORT(GOOGLEFINANCE(B1802,""price"",TODAY()-365,TODAY()),1,0),""select Col2 limit 120""))"),"#N/A")</f>
        <v>#N/A</v>
      </c>
      <c r="N1802" s="19" t="str">
        <f>IFERROR(__xludf.DUMMYFUNCTION("AVERAGE(QUERY(SORT(GOOGLEFINANCE(B1802,""price"",TODAY()-365,TODAY()),1,0),""select Col2 limit 200""))"),"#N/A")</f>
        <v>#N/A</v>
      </c>
      <c r="O1802" s="20" t="str">
        <f t="shared" si="2"/>
        <v>#N/A</v>
      </c>
      <c r="P1802" s="21" t="str">
        <f t="shared" si="3"/>
        <v>#N/A</v>
      </c>
      <c r="Q1802" s="21" t="str">
        <f t="shared" si="4"/>
        <v>#N/A</v>
      </c>
      <c r="R1802" s="22">
        <f>IFERROR(__xludf.DUMMYFUNCTION("GOOGLEFINANCE(B1802, ""pe"")
"),58.55)</f>
        <v>58.55</v>
      </c>
    </row>
    <row r="1803">
      <c r="A1803" s="9" t="s">
        <v>1811</v>
      </c>
      <c r="B1803" s="11" t="str">
        <f t="shared" si="1"/>
        <v>NSE:STEELCITY</v>
      </c>
      <c r="C1803" s="12">
        <f>IFERROR(__xludf.DUMMYFUNCTION("GOOGLEFINANCE(B1803,""marketcap"")/10000000"),162.4012175)</f>
        <v>162.4012175</v>
      </c>
      <c r="D1803" s="13">
        <f>IFERROR(__xludf.DUMMYFUNCTION("GOOGLEFINANCE(B1803,""price"")"),107.5)</f>
        <v>107.5</v>
      </c>
      <c r="E1803" s="14">
        <f>IFERROR(__xludf.DUMMYFUNCTION("GOOGLEFINANCE(B1803,""Volume"")"),12244.0)</f>
        <v>12244</v>
      </c>
      <c r="F1803" s="14">
        <f t="array" ref="F1803">F1802</f>
        <v>14</v>
      </c>
      <c r="G1803" s="15" t="str">
        <f>IFERROR(__xludf.DUMMYFUNCTION("IF(E1803&gt;AVERAGE(INDEX(GOOGLEFINANCE(B1803,""volume"",WORKDAY(TODAY(),-$F$1),TODAY()),,2)),""Breakout"","""")"),"Breakout")</f>
        <v>Breakout</v>
      </c>
      <c r="H1803" s="16">
        <f>IFERROR(__xludf.DUMMYFUNCTION("GOOGLEFINANCE(B1803,""price"")"),107.5)</f>
        <v>107.5</v>
      </c>
      <c r="I1803" s="17" t="str">
        <f>IFERROR(__xludf.DUMMYFUNCTION("AVERAGE(QUERY(SORT(GOOGLEFINANCE(B1803,""price"",TODAY()-365,TODAY()),1,0),""select Col2 limit 10""))"),"#N/A")</f>
        <v>#N/A</v>
      </c>
      <c r="J1803" s="17" t="str">
        <f>IFERROR(__xludf.DUMMYFUNCTION("AVERAGE(QUERY(SORT(GOOGLEFINANCE(B1803,""price"",TODAY()-365,TODAY()),1,0),""select Col2 limit 30""))"),"#N/A")</f>
        <v>#N/A</v>
      </c>
      <c r="K1803" s="18" t="str">
        <f>IFERROR(__xludf.DUMMYFUNCTION("AVERAGE(QUERY(SORT(GOOGLEFINANCE(B1803,""price"",TODAY()-365,TODAY()),1,0),""select Col2 limit 60""))"),"#N/A")</f>
        <v>#N/A</v>
      </c>
      <c r="L1803" s="17" t="str">
        <f>IFERROR(__xludf.DUMMYFUNCTION("AVERAGE(QUERY(SORT(GOOGLEFINANCE(B1803,""price"",TODAY()-365,TODAY()),1,0),""select Col2 limit 90""))"),"#N/A")</f>
        <v>#N/A</v>
      </c>
      <c r="M1803" s="17" t="str">
        <f>IFERROR(__xludf.DUMMYFUNCTION("AVERAGE(QUERY(SORT(GOOGLEFINANCE(B1803,""price"",TODAY()-365,TODAY()),1,0),""select Col2 limit 120""))"),"#N/A")</f>
        <v>#N/A</v>
      </c>
      <c r="N1803" s="19" t="str">
        <f>IFERROR(__xludf.DUMMYFUNCTION("AVERAGE(QUERY(SORT(GOOGLEFINANCE(B1803,""price"",TODAY()-365,TODAY()),1,0),""select Col2 limit 200""))"),"#N/A")</f>
        <v>#N/A</v>
      </c>
      <c r="O1803" s="20" t="str">
        <f t="shared" si="2"/>
        <v>#N/A</v>
      </c>
      <c r="P1803" s="21" t="str">
        <f t="shared" si="3"/>
        <v>#N/A</v>
      </c>
      <c r="Q1803" s="21" t="str">
        <f t="shared" si="4"/>
        <v>#N/A</v>
      </c>
      <c r="R1803" s="22">
        <f>IFERROR(__xludf.DUMMYFUNCTION("GOOGLEFINANCE(B1803, ""pe"")
"),9.47)</f>
        <v>9.47</v>
      </c>
    </row>
    <row r="1804">
      <c r="A1804" s="9" t="s">
        <v>1812</v>
      </c>
      <c r="B1804" s="11" t="str">
        <f t="shared" si="1"/>
        <v>NSE:HECPROJECT</v>
      </c>
      <c r="C1804" s="12">
        <f>IFERROR(__xludf.DUMMYFUNCTION("GOOGLEFINANCE(B1804,""marketcap"")/10000000"),176.662)</f>
        <v>176.662</v>
      </c>
      <c r="D1804" s="13">
        <f>IFERROR(__xludf.DUMMYFUNCTION("GOOGLEFINANCE(B1804,""price"")"),166.26)</f>
        <v>166.26</v>
      </c>
      <c r="E1804" s="14">
        <f>IFERROR(__xludf.DUMMYFUNCTION("GOOGLEFINANCE(B1804,""Volume"")"),13156.0)</f>
        <v>13156</v>
      </c>
      <c r="F1804" s="14">
        <f t="array" ref="F1804">F1803</f>
        <v>14</v>
      </c>
      <c r="G1804" s="15" t="str">
        <f>IFERROR(__xludf.DUMMYFUNCTION("IF(E1804&gt;AVERAGE(INDEX(GOOGLEFINANCE(B1804,""volume"",WORKDAY(TODAY(),-$F$1),TODAY()),,2)),""Breakout"","""")"),"Breakout")</f>
        <v>Breakout</v>
      </c>
      <c r="H1804" s="16">
        <f>IFERROR(__xludf.DUMMYFUNCTION("GOOGLEFINANCE(B1804,""price"")"),166.26)</f>
        <v>166.26</v>
      </c>
      <c r="I1804" s="17">
        <f>IFERROR(__xludf.DUMMYFUNCTION("AVERAGE(QUERY(SORT(GOOGLEFINANCE(B1804,""price"",TODAY()-365,TODAY()),1,0),""select Col2 limit 10""))"),158.22099999999998)</f>
        <v>158.221</v>
      </c>
      <c r="J1804" s="17">
        <f>IFERROR(__xludf.DUMMYFUNCTION("AVERAGE(QUERY(SORT(GOOGLEFINANCE(B1804,""price"",TODAY()-365,TODAY()),1,0),""select Col2 limit 30""))"),161.566)</f>
        <v>161.566</v>
      </c>
      <c r="K1804" s="18">
        <f>IFERROR(__xludf.DUMMYFUNCTION("AVERAGE(QUERY(SORT(GOOGLEFINANCE(B1804,""price"",TODAY()-365,TODAY()),1,0),""select Col2 limit 60""))"),146.05016666666668)</f>
        <v>146.0501667</v>
      </c>
      <c r="L1804" s="17">
        <f>IFERROR(__xludf.DUMMYFUNCTION("AVERAGE(QUERY(SORT(GOOGLEFINANCE(B1804,""price"",TODAY()-365,TODAY()),1,0),""select Col2 limit 90""))"),130.5005555555556)</f>
        <v>130.5005556</v>
      </c>
      <c r="M1804" s="17">
        <f>IFERROR(__xludf.DUMMYFUNCTION("AVERAGE(QUERY(SORT(GOOGLEFINANCE(B1804,""price"",TODAY()-365,TODAY()),1,0),""select Col2 limit 120""))"),124.35883333333337)</f>
        <v>124.3588333</v>
      </c>
      <c r="N1804" s="19">
        <f>IFERROR(__xludf.DUMMYFUNCTION("AVERAGE(QUERY(SORT(GOOGLEFINANCE(B1804,""price"",TODAY()-365,TODAY()),1,0),""select Col2 limit 200""))"),123.40230000000003)</f>
        <v>123.4023</v>
      </c>
      <c r="O1804" s="20" t="str">
        <f t="shared" si="2"/>
        <v>Avoid</v>
      </c>
      <c r="P1804" s="21" t="str">
        <f t="shared" si="3"/>
        <v/>
      </c>
      <c r="Q1804" s="21" t="str">
        <f t="shared" si="4"/>
        <v/>
      </c>
      <c r="R1804" s="22" t="str">
        <f>IFERROR(__xludf.DUMMYFUNCTION("GOOGLEFINANCE(B1804, ""pe"")
"),"#N/A")</f>
        <v>#N/A</v>
      </c>
    </row>
    <row r="1805">
      <c r="A1805" s="9" t="s">
        <v>1813</v>
      </c>
      <c r="B1805" s="11" t="str">
        <f t="shared" si="1"/>
        <v>NSE:WIPL</v>
      </c>
      <c r="C1805" s="12">
        <f>IFERROR(__xludf.DUMMYFUNCTION("GOOGLEFINANCE(B1805,""marketcap"")/10000000"),133.921669)</f>
        <v>133.921669</v>
      </c>
      <c r="D1805" s="13">
        <f>IFERROR(__xludf.DUMMYFUNCTION("GOOGLEFINANCE(B1805,""price"")"),155.2)</f>
        <v>155.2</v>
      </c>
      <c r="E1805" s="14">
        <f>IFERROR(__xludf.DUMMYFUNCTION("GOOGLEFINANCE(B1805,""Volume"")"),1038.0)</f>
        <v>1038</v>
      </c>
      <c r="F1805" s="14">
        <f t="array" ref="F1805">F1804</f>
        <v>14</v>
      </c>
      <c r="G1805" s="15" t="str">
        <f>IFERROR(__xludf.DUMMYFUNCTION("IF(E1805&gt;AVERAGE(INDEX(GOOGLEFINANCE(B1805,""volume"",WORKDAY(TODAY(),-$F$1),TODAY()),,2)),""Breakout"","""")"),"")</f>
        <v/>
      </c>
      <c r="H1805" s="16">
        <f>IFERROR(__xludf.DUMMYFUNCTION("GOOGLEFINANCE(B1805,""price"")"),155.2)</f>
        <v>155.2</v>
      </c>
      <c r="I1805" s="17">
        <f>IFERROR(__xludf.DUMMYFUNCTION("AVERAGE(QUERY(SORT(GOOGLEFINANCE(B1805,""price"",TODAY()-365,TODAY()),1,0),""select Col2 limit 10""))"),159.264)</f>
        <v>159.264</v>
      </c>
      <c r="J1805" s="17">
        <f>IFERROR(__xludf.DUMMYFUNCTION("AVERAGE(QUERY(SORT(GOOGLEFINANCE(B1805,""price"",TODAY()-365,TODAY()),1,0),""select Col2 limit 30""))"),158.11633333333336)</f>
        <v>158.1163333</v>
      </c>
      <c r="K1805" s="18">
        <f>IFERROR(__xludf.DUMMYFUNCTION("AVERAGE(QUERY(SORT(GOOGLEFINANCE(B1805,""price"",TODAY()-365,TODAY()),1,0),""select Col2 limit 60""))"),154.3791666666666)</f>
        <v>154.3791667</v>
      </c>
      <c r="L1805" s="17">
        <f>IFERROR(__xludf.DUMMYFUNCTION("AVERAGE(QUERY(SORT(GOOGLEFINANCE(B1805,""price"",TODAY()-365,TODAY()),1,0),""select Col2 limit 90""))"),158.14255555555548)</f>
        <v>158.1425556</v>
      </c>
      <c r="M1805" s="17">
        <f>IFERROR(__xludf.DUMMYFUNCTION("AVERAGE(QUERY(SORT(GOOGLEFINANCE(B1805,""price"",TODAY()-365,TODAY()),1,0),""select Col2 limit 120""))"),167.5637499999999)</f>
        <v>167.56375</v>
      </c>
      <c r="N1805" s="19">
        <f>IFERROR(__xludf.DUMMYFUNCTION("AVERAGE(QUERY(SORT(GOOGLEFINANCE(B1805,""price"",TODAY()-365,TODAY()),1,0),""select Col2 limit 200""))"),184.64649999999995)</f>
        <v>184.6465</v>
      </c>
      <c r="O1805" s="20" t="str">
        <f t="shared" si="2"/>
        <v>Avoid</v>
      </c>
      <c r="P1805" s="21" t="str">
        <f t="shared" si="3"/>
        <v/>
      </c>
      <c r="Q1805" s="21" t="str">
        <f t="shared" si="4"/>
        <v/>
      </c>
      <c r="R1805" s="22">
        <f>IFERROR(__xludf.DUMMYFUNCTION("GOOGLEFINANCE(B1805, ""pe"")
"),172.44)</f>
        <v>172.44</v>
      </c>
    </row>
    <row r="1806">
      <c r="A1806" s="9" t="s">
        <v>1814</v>
      </c>
      <c r="B1806" s="11" t="str">
        <f t="shared" si="1"/>
        <v>NSE:GOYALALUM</v>
      </c>
      <c r="C1806" s="12">
        <f>IFERROR(__xludf.DUMMYFUNCTION("GOOGLEFINANCE(B1806,""marketcap"")/10000000"),106.5899496)</f>
        <v>106.5899496</v>
      </c>
      <c r="D1806" s="13">
        <f>IFERROR(__xludf.DUMMYFUNCTION("GOOGLEFINANCE(B1806,""price"")"),7.65)</f>
        <v>7.65</v>
      </c>
      <c r="E1806" s="14">
        <f>IFERROR(__xludf.DUMMYFUNCTION("GOOGLEFINANCE(B1806,""Volume"")"),43495.0)</f>
        <v>43495</v>
      </c>
      <c r="F1806" s="14">
        <f t="array" ref="F1806">F1805</f>
        <v>14</v>
      </c>
      <c r="G1806" s="15" t="str">
        <f>IFERROR(__xludf.DUMMYFUNCTION("IF(E1806&gt;AVERAGE(INDEX(GOOGLEFINANCE(B1806,""volume"",WORKDAY(TODAY(),-$F$1),TODAY()),,2)),""Breakout"","""")"),"")</f>
        <v/>
      </c>
      <c r="H1806" s="16">
        <f>IFERROR(__xludf.DUMMYFUNCTION("GOOGLEFINANCE(B1806,""price"")"),7.65)</f>
        <v>7.65</v>
      </c>
      <c r="I1806" s="17">
        <f>IFERROR(__xludf.DUMMYFUNCTION("AVERAGE(QUERY(SORT(GOOGLEFINANCE(B1806,""price"",TODAY()-365,TODAY()),1,0),""select Col2 limit 10""))"),7.9399999999999995)</f>
        <v>7.94</v>
      </c>
      <c r="J1806" s="17">
        <f>IFERROR(__xludf.DUMMYFUNCTION("AVERAGE(QUERY(SORT(GOOGLEFINANCE(B1806,""price"",TODAY()-365,TODAY()),1,0),""select Col2 limit 30""))"),8.059)</f>
        <v>8.059</v>
      </c>
      <c r="K1806" s="18">
        <f>IFERROR(__xludf.DUMMYFUNCTION("AVERAGE(QUERY(SORT(GOOGLEFINANCE(B1806,""price"",TODAY()-365,TODAY()),1,0),""select Col2 limit 60""))"),8.176499999999999)</f>
        <v>8.1765</v>
      </c>
      <c r="L1806" s="17">
        <f>IFERROR(__xludf.DUMMYFUNCTION("AVERAGE(QUERY(SORT(GOOGLEFINANCE(B1806,""price"",TODAY()-365,TODAY()),1,0),""select Col2 limit 90""))"),8.255888888888888)</f>
        <v>8.255888889</v>
      </c>
      <c r="M1806" s="17">
        <f>IFERROR(__xludf.DUMMYFUNCTION("AVERAGE(QUERY(SORT(GOOGLEFINANCE(B1806,""price"",TODAY()-365,TODAY()),1,0),""select Col2 limit 120""))"),8.383333333333335)</f>
        <v>8.383333333</v>
      </c>
      <c r="N1806" s="19">
        <f>IFERROR(__xludf.DUMMYFUNCTION("AVERAGE(QUERY(SORT(GOOGLEFINANCE(B1806,""price"",TODAY()-365,TODAY()),1,0),""select Col2 limit 200""))"),8.958349999999998)</f>
        <v>8.95835</v>
      </c>
      <c r="O1806" s="20" t="str">
        <f t="shared" si="2"/>
        <v>Avoid</v>
      </c>
      <c r="P1806" s="21" t="str">
        <f t="shared" si="3"/>
        <v/>
      </c>
      <c r="Q1806" s="21" t="str">
        <f t="shared" si="4"/>
        <v/>
      </c>
      <c r="R1806" s="22">
        <f>IFERROR(__xludf.DUMMYFUNCTION("GOOGLEFINANCE(B1806, ""pe"")
"),47.81)</f>
        <v>47.81</v>
      </c>
    </row>
    <row r="1807">
      <c r="A1807" s="9" t="s">
        <v>1815</v>
      </c>
      <c r="B1807" s="11" t="str">
        <f t="shared" si="1"/>
        <v>NSE:GAYAPROJ</v>
      </c>
      <c r="C1807" s="12">
        <f>IFERROR(__xludf.DUMMYFUNCTION("GOOGLEFINANCE(B1807,""marketcap"")/10000000"),160.054892)</f>
        <v>160.054892</v>
      </c>
      <c r="D1807" s="13">
        <f>IFERROR(__xludf.DUMMYFUNCTION("GOOGLEFINANCE(B1807,""price"")"),8.55)</f>
        <v>8.55</v>
      </c>
      <c r="E1807" s="14">
        <f>IFERROR(__xludf.DUMMYFUNCTION("GOOGLEFINANCE(B1807,""Volume"")"),31944.0)</f>
        <v>31944</v>
      </c>
      <c r="F1807" s="14">
        <f t="array" ref="F1807">F1806</f>
        <v>14</v>
      </c>
      <c r="G1807" s="15" t="str">
        <f>IFERROR(__xludf.DUMMYFUNCTION("IF(E1807&gt;AVERAGE(INDEX(GOOGLEFINANCE(B1807,""volume"",WORKDAY(TODAY(),-$F$1),TODAY()),,2)),""Breakout"","""")"),"")</f>
        <v/>
      </c>
      <c r="H1807" s="16">
        <f>IFERROR(__xludf.DUMMYFUNCTION("GOOGLEFINANCE(B1807,""price"")"),8.55)</f>
        <v>8.55</v>
      </c>
      <c r="I1807" s="17">
        <f>IFERROR(__xludf.DUMMYFUNCTION("AVERAGE(QUERY(SORT(GOOGLEFINANCE(B1807,""price"",TODAY()-365,TODAY()),1,0),""select Col2 limit 10""))"),8.466)</f>
        <v>8.466</v>
      </c>
      <c r="J1807" s="17">
        <f>IFERROR(__xludf.DUMMYFUNCTION("AVERAGE(QUERY(SORT(GOOGLEFINANCE(B1807,""price"",TODAY()-365,TODAY()),1,0),""select Col2 limit 30""))"),8.527)</f>
        <v>8.527</v>
      </c>
      <c r="K1807" s="18">
        <f>IFERROR(__xludf.DUMMYFUNCTION("AVERAGE(QUERY(SORT(GOOGLEFINANCE(B1807,""price"",TODAY()-365,TODAY()),1,0),""select Col2 limit 60""))"),7.908333333333331)</f>
        <v>7.908333333</v>
      </c>
      <c r="L1807" s="17">
        <f>IFERROR(__xludf.DUMMYFUNCTION("AVERAGE(QUERY(SORT(GOOGLEFINANCE(B1807,""price"",TODAY()-365,TODAY()),1,0),""select Col2 limit 90""))"),7.48433333333333)</f>
        <v>7.484333333</v>
      </c>
      <c r="M1807" s="17">
        <f>IFERROR(__xludf.DUMMYFUNCTION("AVERAGE(QUERY(SORT(GOOGLEFINANCE(B1807,""price"",TODAY()-365,TODAY()),1,0),""select Col2 limit 120""))"),7.573749999999996)</f>
        <v>7.57375</v>
      </c>
      <c r="N1807" s="19">
        <f>IFERROR(__xludf.DUMMYFUNCTION("AVERAGE(QUERY(SORT(GOOGLEFINANCE(B1807,""price"",TODAY()-365,TODAY()),1,0),""select Col2 limit 200""))"),7.87755813953488)</f>
        <v>7.87755814</v>
      </c>
      <c r="O1807" s="20" t="str">
        <f t="shared" si="2"/>
        <v>Avoid</v>
      </c>
      <c r="P1807" s="21" t="str">
        <f t="shared" si="3"/>
        <v/>
      </c>
      <c r="Q1807" s="21" t="str">
        <f t="shared" si="4"/>
        <v/>
      </c>
      <c r="R1807" s="22" t="str">
        <f>IFERROR(__xludf.DUMMYFUNCTION("GOOGLEFINANCE(B1807, ""pe"")
"),"#N/A")</f>
        <v>#N/A</v>
      </c>
    </row>
    <row r="1808">
      <c r="A1808" s="9" t="s">
        <v>1816</v>
      </c>
      <c r="B1808" s="11" t="str">
        <f t="shared" si="1"/>
        <v>NSE:ARSHIYA</v>
      </c>
      <c r="C1808" s="12">
        <f>IFERROR(__xludf.DUMMYFUNCTION("GOOGLEFINANCE(B1808,""marketcap"")/10000000"),80.3601482)</f>
        <v>80.3601482</v>
      </c>
      <c r="D1808" s="13">
        <f>IFERROR(__xludf.DUMMYFUNCTION("GOOGLEFINANCE(B1808,""price"")"),3.05)</f>
        <v>3.05</v>
      </c>
      <c r="E1808" s="14">
        <f>IFERROR(__xludf.DUMMYFUNCTION("GOOGLEFINANCE(B1808,""Volume"")"),10800.0)</f>
        <v>10800</v>
      </c>
      <c r="F1808" s="14">
        <f t="array" ref="F1808">F1807</f>
        <v>14</v>
      </c>
      <c r="G1808" s="15" t="str">
        <f>IFERROR(__xludf.DUMMYFUNCTION("IF(E1808&gt;AVERAGE(INDEX(GOOGLEFINANCE(B1808,""volume"",WORKDAY(TODAY(),-$F$1),TODAY()),,2)),""Breakout"","""")"),"")</f>
        <v/>
      </c>
      <c r="H1808" s="16">
        <f>IFERROR(__xludf.DUMMYFUNCTION("GOOGLEFINANCE(B1808,""price"")"),3.05)</f>
        <v>3.05</v>
      </c>
      <c r="I1808" s="17">
        <f>IFERROR(__xludf.DUMMYFUNCTION("AVERAGE(QUERY(SORT(GOOGLEFINANCE(B1808,""price"",TODAY()-365,TODAY()),1,0),""select Col2 limit 10""))"),2.714)</f>
        <v>2.714</v>
      </c>
      <c r="J1808" s="17">
        <f>IFERROR(__xludf.DUMMYFUNCTION("AVERAGE(QUERY(SORT(GOOGLEFINANCE(B1808,""price"",TODAY()-365,TODAY()),1,0),""select Col2 limit 30""))"),2.5763333333333334)</f>
        <v>2.576333333</v>
      </c>
      <c r="K1808" s="18">
        <f>IFERROR(__xludf.DUMMYFUNCTION("AVERAGE(QUERY(SORT(GOOGLEFINANCE(B1808,""price"",TODAY()-365,TODAY()),1,0),""select Col2 limit 60""))"),2.6778333333333326)</f>
        <v>2.677833333</v>
      </c>
      <c r="L1808" s="17">
        <f>IFERROR(__xludf.DUMMYFUNCTION("AVERAGE(QUERY(SORT(GOOGLEFINANCE(B1808,""price"",TODAY()-365,TODAY()),1,0),""select Col2 limit 90""))"),2.7867777777777762)</f>
        <v>2.786777778</v>
      </c>
      <c r="M1808" s="17">
        <f>IFERROR(__xludf.DUMMYFUNCTION("AVERAGE(QUERY(SORT(GOOGLEFINANCE(B1808,""price"",TODAY()-365,TODAY()),1,0),""select Col2 limit 120""))"),2.9213333333333322)</f>
        <v>2.921333333</v>
      </c>
      <c r="N1808" s="19">
        <f>IFERROR(__xludf.DUMMYFUNCTION("AVERAGE(QUERY(SORT(GOOGLEFINANCE(B1808,""price"",TODAY()-365,TODAY()),1,0),""select Col2 limit 200""))"),3.350773195876288)</f>
        <v>3.350773196</v>
      </c>
      <c r="O1808" s="20" t="str">
        <f t="shared" si="2"/>
        <v>Buy Above 200 DMA</v>
      </c>
      <c r="P1808" s="21" t="str">
        <f t="shared" si="3"/>
        <v/>
      </c>
      <c r="Q1808" s="21" t="str">
        <f t="shared" si="4"/>
        <v/>
      </c>
      <c r="R1808" s="22" t="str">
        <f>IFERROR(__xludf.DUMMYFUNCTION("GOOGLEFINANCE(B1808, ""pe"")
"),"#N/A")</f>
        <v>#N/A</v>
      </c>
    </row>
    <row r="1809">
      <c r="A1809" s="9" t="s">
        <v>1817</v>
      </c>
      <c r="B1809" s="11" t="str">
        <f t="shared" si="1"/>
        <v>NSE:BANKA</v>
      </c>
      <c r="C1809" s="12">
        <f>IFERROR(__xludf.DUMMYFUNCTION("GOOGLEFINANCE(B1809,""marketcap"")/10000000"),94.8121524)</f>
        <v>94.8121524</v>
      </c>
      <c r="D1809" s="13">
        <f>IFERROR(__xludf.DUMMYFUNCTION("GOOGLEFINANCE(B1809,""price"")"),87.19)</f>
        <v>87.19</v>
      </c>
      <c r="E1809" s="14">
        <f>IFERROR(__xludf.DUMMYFUNCTION("GOOGLEFINANCE(B1809,""Volume"")"),22499.0)</f>
        <v>22499</v>
      </c>
      <c r="F1809" s="14">
        <f t="array" ref="F1809">F1808</f>
        <v>14</v>
      </c>
      <c r="G1809" s="15" t="str">
        <f>IFERROR(__xludf.DUMMYFUNCTION("IF(E1809&gt;AVERAGE(INDEX(GOOGLEFINANCE(B1809,""volume"",WORKDAY(TODAY(),-$F$1),TODAY()),,2)),""Breakout"","""")"),"Breakout")</f>
        <v>Breakout</v>
      </c>
      <c r="H1809" s="16">
        <f>IFERROR(__xludf.DUMMYFUNCTION("GOOGLEFINANCE(B1809,""price"")"),87.19)</f>
        <v>87.19</v>
      </c>
      <c r="I1809" s="17">
        <f>IFERROR(__xludf.DUMMYFUNCTION("AVERAGE(QUERY(SORT(GOOGLEFINANCE(B1809,""price"",TODAY()-365,TODAY()),1,0),""select Col2 limit 10""))"),78.751)</f>
        <v>78.751</v>
      </c>
      <c r="J1809" s="17">
        <f>IFERROR(__xludf.DUMMYFUNCTION("AVERAGE(QUERY(SORT(GOOGLEFINANCE(B1809,""price"",TODAY()-365,TODAY()),1,0),""select Col2 limit 30""))"),74.177)</f>
        <v>74.177</v>
      </c>
      <c r="K1809" s="18">
        <f>IFERROR(__xludf.DUMMYFUNCTION("AVERAGE(QUERY(SORT(GOOGLEFINANCE(B1809,""price"",TODAY()-365,TODAY()),1,0),""select Col2 limit 60""))"),70.94516666666668)</f>
        <v>70.94516667</v>
      </c>
      <c r="L1809" s="17">
        <f>IFERROR(__xludf.DUMMYFUNCTION("AVERAGE(QUERY(SORT(GOOGLEFINANCE(B1809,""price"",TODAY()-365,TODAY()),1,0),""select Col2 limit 90""))"),72.28744444444446)</f>
        <v>72.28744444</v>
      </c>
      <c r="M1809" s="17">
        <f>IFERROR(__xludf.DUMMYFUNCTION("AVERAGE(QUERY(SORT(GOOGLEFINANCE(B1809,""price"",TODAY()-365,TODAY()),1,0),""select Col2 limit 120""))"),73.82100000000001)</f>
        <v>73.821</v>
      </c>
      <c r="N1809" s="19">
        <f>IFERROR(__xludf.DUMMYFUNCTION("AVERAGE(QUERY(SORT(GOOGLEFINANCE(B1809,""price"",TODAY()-365,TODAY()),1,0),""select Col2 limit 200""))"),87.31139999999998)</f>
        <v>87.3114</v>
      </c>
      <c r="O1809" s="20" t="str">
        <f t="shared" si="2"/>
        <v>Buy Above 200 DMA</v>
      </c>
      <c r="P1809" s="21" t="str">
        <f t="shared" si="3"/>
        <v>200 DMA</v>
      </c>
      <c r="Q1809" s="21" t="str">
        <f t="shared" si="4"/>
        <v>200 DMA cross best</v>
      </c>
      <c r="R1809" s="22" t="str">
        <f>IFERROR(__xludf.DUMMYFUNCTION("GOOGLEFINANCE(B1809, ""pe"")
"),"#N/A")</f>
        <v>#N/A</v>
      </c>
    </row>
    <row r="1810">
      <c r="A1810" s="9" t="s">
        <v>1818</v>
      </c>
      <c r="B1810" s="11" t="str">
        <f t="shared" si="1"/>
        <v>NSE:PARASPETRO</v>
      </c>
      <c r="C1810" s="12">
        <f>IFERROR(__xludf.DUMMYFUNCTION("GOOGLEFINANCE(B1810,""marketcap"")/10000000"),83.555225)</f>
        <v>83.555225</v>
      </c>
      <c r="D1810" s="13">
        <f>IFERROR(__xludf.DUMMYFUNCTION("GOOGLEFINANCE(B1810,""price"")"),2.5)</f>
        <v>2.5</v>
      </c>
      <c r="E1810" s="14">
        <f>IFERROR(__xludf.DUMMYFUNCTION("GOOGLEFINANCE(B1810,""Volume"")"),63381.0)</f>
        <v>63381</v>
      </c>
      <c r="F1810" s="14">
        <f t="array" ref="F1810">F1809</f>
        <v>14</v>
      </c>
      <c r="G1810" s="15" t="str">
        <f>IFERROR(__xludf.DUMMYFUNCTION("IF(E1810&gt;AVERAGE(INDEX(GOOGLEFINANCE(B1810,""volume"",WORKDAY(TODAY(),-$F$1),TODAY()),,2)),""Breakout"","""")"),"")</f>
        <v/>
      </c>
      <c r="H1810" s="16">
        <f>IFERROR(__xludf.DUMMYFUNCTION("GOOGLEFINANCE(B1810,""price"")"),2.5)</f>
        <v>2.5</v>
      </c>
      <c r="I1810" s="17">
        <f>IFERROR(__xludf.DUMMYFUNCTION("AVERAGE(QUERY(SORT(GOOGLEFINANCE(B1810,""price"",TODAY()-365,TODAY()),1,0),""select Col2 limit 10""))"),2.546)</f>
        <v>2.546</v>
      </c>
      <c r="J1810" s="17">
        <f>IFERROR(__xludf.DUMMYFUNCTION("AVERAGE(QUERY(SORT(GOOGLEFINANCE(B1810,""price"",TODAY()-365,TODAY()),1,0),""select Col2 limit 30""))"),2.5860000000000003)</f>
        <v>2.586</v>
      </c>
      <c r="K1810" s="18">
        <f>IFERROR(__xludf.DUMMYFUNCTION("AVERAGE(QUERY(SORT(GOOGLEFINANCE(B1810,""price"",TODAY()-365,TODAY()),1,0),""select Col2 limit 60""))"),2.614333333333334)</f>
        <v>2.614333333</v>
      </c>
      <c r="L1810" s="17">
        <f>IFERROR(__xludf.DUMMYFUNCTION("AVERAGE(QUERY(SORT(GOOGLEFINANCE(B1810,""price"",TODAY()-365,TODAY()),1,0),""select Col2 limit 90""))"),2.637444444444445)</f>
        <v>2.637444444</v>
      </c>
      <c r="M1810" s="17">
        <f>IFERROR(__xludf.DUMMYFUNCTION("AVERAGE(QUERY(SORT(GOOGLEFINANCE(B1810,""price"",TODAY()-365,TODAY()),1,0),""select Col2 limit 120""))"),2.648333333333335)</f>
        <v>2.648333333</v>
      </c>
      <c r="N1810" s="19">
        <f>IFERROR(__xludf.DUMMYFUNCTION("AVERAGE(QUERY(SORT(GOOGLEFINANCE(B1810,""price"",TODAY()-365,TODAY()),1,0),""select Col2 limit 200""))"),2.846600000000002)</f>
        <v>2.8466</v>
      </c>
      <c r="O1810" s="20" t="str">
        <f t="shared" si="2"/>
        <v>Avoid</v>
      </c>
      <c r="P1810" s="21" t="str">
        <f t="shared" si="3"/>
        <v/>
      </c>
      <c r="Q1810" s="21" t="str">
        <f t="shared" si="4"/>
        <v/>
      </c>
      <c r="R1810" s="22">
        <f>IFERROR(__xludf.DUMMYFUNCTION("GOOGLEFINANCE(B1810, ""pe"")
"),1068.38)</f>
        <v>1068.38</v>
      </c>
    </row>
    <row r="1811">
      <c r="A1811" s="9" t="s">
        <v>1819</v>
      </c>
      <c r="B1811" s="11" t="str">
        <f t="shared" si="1"/>
        <v>NSE:SECURKLOUD</v>
      </c>
      <c r="C1811" s="12">
        <f>IFERROR(__xludf.DUMMYFUNCTION("GOOGLEFINANCE(B1811,""marketcap"")/10000000"),83.52651)</f>
        <v>83.52651</v>
      </c>
      <c r="D1811" s="13">
        <f>IFERROR(__xludf.DUMMYFUNCTION("GOOGLEFINANCE(B1811,""price"")"),24.81)</f>
        <v>24.81</v>
      </c>
      <c r="E1811" s="14">
        <f>IFERROR(__xludf.DUMMYFUNCTION("GOOGLEFINANCE(B1811,""Volume"")"),2553.0)</f>
        <v>2553</v>
      </c>
      <c r="F1811" s="14">
        <f t="array" ref="F1811">F1810</f>
        <v>14</v>
      </c>
      <c r="G1811" s="15" t="str">
        <f>IFERROR(__xludf.DUMMYFUNCTION("IF(E1811&gt;AVERAGE(INDEX(GOOGLEFINANCE(B1811,""volume"",WORKDAY(TODAY(),-$F$1),TODAY()),,2)),""Breakout"","""")"),"")</f>
        <v/>
      </c>
      <c r="H1811" s="16">
        <f>IFERROR(__xludf.DUMMYFUNCTION("GOOGLEFINANCE(B1811,""price"")"),24.81)</f>
        <v>24.81</v>
      </c>
      <c r="I1811" s="17">
        <f>IFERROR(__xludf.DUMMYFUNCTION("AVERAGE(QUERY(SORT(GOOGLEFINANCE(B1811,""price"",TODAY()-365,TODAY()),1,0),""select Col2 limit 10""))"),24.065)</f>
        <v>24.065</v>
      </c>
      <c r="J1811" s="17">
        <f>IFERROR(__xludf.DUMMYFUNCTION("AVERAGE(QUERY(SORT(GOOGLEFINANCE(B1811,""price"",TODAY()-365,TODAY()),1,0),""select Col2 limit 30""))"),24.444000000000006)</f>
        <v>24.444</v>
      </c>
      <c r="K1811" s="18">
        <f>IFERROR(__xludf.DUMMYFUNCTION("AVERAGE(QUERY(SORT(GOOGLEFINANCE(B1811,""price"",TODAY()-365,TODAY()),1,0),""select Col2 limit 60""))"),25.423333333333343)</f>
        <v>25.42333333</v>
      </c>
      <c r="L1811" s="17">
        <f>IFERROR(__xludf.DUMMYFUNCTION("AVERAGE(QUERY(SORT(GOOGLEFINANCE(B1811,""price"",TODAY()-365,TODAY()),1,0),""select Col2 limit 90""))"),24.143666666666668)</f>
        <v>24.14366667</v>
      </c>
      <c r="M1811" s="17">
        <f>IFERROR(__xludf.DUMMYFUNCTION("AVERAGE(QUERY(SORT(GOOGLEFINANCE(B1811,""price"",TODAY()-365,TODAY()),1,0),""select Col2 limit 120""))"),25.310583333333337)</f>
        <v>25.31058333</v>
      </c>
      <c r="N1811" s="19">
        <f>IFERROR(__xludf.DUMMYFUNCTION("AVERAGE(QUERY(SORT(GOOGLEFINANCE(B1811,""price"",TODAY()-365,TODAY()),1,0),""select Col2 limit 200""))"),29.049500000000016)</f>
        <v>29.0495</v>
      </c>
      <c r="O1811" s="20" t="str">
        <f t="shared" si="2"/>
        <v>Avoid</v>
      </c>
      <c r="P1811" s="21" t="str">
        <f t="shared" si="3"/>
        <v/>
      </c>
      <c r="Q1811" s="21" t="str">
        <f t="shared" si="4"/>
        <v/>
      </c>
      <c r="R1811" s="22" t="str">
        <f>IFERROR(__xludf.DUMMYFUNCTION("GOOGLEFINANCE(B1811, ""pe"")
"),"#N/A")</f>
        <v>#N/A</v>
      </c>
    </row>
    <row r="1812">
      <c r="A1812" s="9" t="s">
        <v>1820</v>
      </c>
      <c r="B1812" s="11" t="str">
        <f t="shared" si="1"/>
        <v>NSE:DIGIDRIVE</v>
      </c>
      <c r="C1812" s="12">
        <f>IFERROR(__xludf.DUMMYFUNCTION("GOOGLEFINANCE(B1812,""marketcap"")/10000000"),117.292041)</f>
        <v>117.292041</v>
      </c>
      <c r="D1812" s="13">
        <f>IFERROR(__xludf.DUMMYFUNCTION("GOOGLEFINANCE(B1812,""price"")"),30.45)</f>
        <v>30.45</v>
      </c>
      <c r="E1812" s="14">
        <f>IFERROR(__xludf.DUMMYFUNCTION("GOOGLEFINANCE(B1812,""Volume"")"),8519.0)</f>
        <v>8519</v>
      </c>
      <c r="F1812" s="14">
        <f t="array" ref="F1812">F1811</f>
        <v>14</v>
      </c>
      <c r="G1812" s="15" t="str">
        <f>IFERROR(__xludf.DUMMYFUNCTION("IF(E1812&gt;AVERAGE(INDEX(GOOGLEFINANCE(B1812,""volume"",WORKDAY(TODAY(),-$F$1),TODAY()),,2)),""Breakout"","""")"),"")</f>
        <v/>
      </c>
      <c r="H1812" s="16">
        <f>IFERROR(__xludf.DUMMYFUNCTION("GOOGLEFINANCE(B1812,""price"")"),30.45)</f>
        <v>30.45</v>
      </c>
      <c r="I1812" s="17">
        <f>IFERROR(__xludf.DUMMYFUNCTION("AVERAGE(QUERY(SORT(GOOGLEFINANCE(B1812,""price"",TODAY()-365,TODAY()),1,0),""select Col2 limit 10""))"),30.991000000000003)</f>
        <v>30.991</v>
      </c>
      <c r="J1812" s="17">
        <f>IFERROR(__xludf.DUMMYFUNCTION("AVERAGE(QUERY(SORT(GOOGLEFINANCE(B1812,""price"",TODAY()-365,TODAY()),1,0),""select Col2 limit 30""))"),31.000666666666667)</f>
        <v>31.00066667</v>
      </c>
      <c r="K1812" s="18">
        <f>IFERROR(__xludf.DUMMYFUNCTION("AVERAGE(QUERY(SORT(GOOGLEFINANCE(B1812,""price"",TODAY()-365,TODAY()),1,0),""select Col2 limit 60""))"),31.708666666666673)</f>
        <v>31.70866667</v>
      </c>
      <c r="L1812" s="17">
        <f>IFERROR(__xludf.DUMMYFUNCTION("AVERAGE(QUERY(SORT(GOOGLEFINANCE(B1812,""price"",TODAY()-365,TODAY()),1,0),""select Col2 limit 90""))"),31.242444444444445)</f>
        <v>31.24244444</v>
      </c>
      <c r="M1812" s="17">
        <f>IFERROR(__xludf.DUMMYFUNCTION("AVERAGE(QUERY(SORT(GOOGLEFINANCE(B1812,""price"",TODAY()-365,TODAY()),1,0),""select Col2 limit 120""))"),31.769000000000002)</f>
        <v>31.769</v>
      </c>
      <c r="N1812" s="19">
        <f>IFERROR(__xludf.DUMMYFUNCTION("AVERAGE(QUERY(SORT(GOOGLEFINANCE(B1812,""price"",TODAY()-365,TODAY()),1,0),""select Col2 limit 200""))"),36.220400000000005)</f>
        <v>36.2204</v>
      </c>
      <c r="O1812" s="20" t="str">
        <f t="shared" si="2"/>
        <v>Avoid</v>
      </c>
      <c r="P1812" s="21" t="str">
        <f t="shared" si="3"/>
        <v/>
      </c>
      <c r="Q1812" s="21" t="str">
        <f t="shared" si="4"/>
        <v/>
      </c>
      <c r="R1812" s="22">
        <f>IFERROR(__xludf.DUMMYFUNCTION("GOOGLEFINANCE(B1812, ""pe"")
"),14.87)</f>
        <v>14.87</v>
      </c>
    </row>
    <row r="1813">
      <c r="A1813" s="9" t="s">
        <v>1821</v>
      </c>
      <c r="B1813" s="11" t="str">
        <f t="shared" si="1"/>
        <v>NSE:VASWANI</v>
      </c>
      <c r="C1813" s="12">
        <f>IFERROR(__xludf.DUMMYFUNCTION("GOOGLEFINANCE(B1813,""marketcap"")/10000000"),160.6489675)</f>
        <v>160.6489675</v>
      </c>
      <c r="D1813" s="13">
        <f>IFERROR(__xludf.DUMMYFUNCTION("GOOGLEFINANCE(B1813,""price"")"),51.2)</f>
        <v>51.2</v>
      </c>
      <c r="E1813" s="14">
        <f>IFERROR(__xludf.DUMMYFUNCTION("GOOGLEFINANCE(B1813,""Volume"")"),17375.0)</f>
        <v>17375</v>
      </c>
      <c r="F1813" s="14">
        <f t="array" ref="F1813">F1812</f>
        <v>14</v>
      </c>
      <c r="G1813" s="15" t="str">
        <f>IFERROR(__xludf.DUMMYFUNCTION("IF(E1813&gt;AVERAGE(INDEX(GOOGLEFINANCE(B1813,""volume"",WORKDAY(TODAY(),-$F$1),TODAY()),,2)),""Breakout"","""")"),"")</f>
        <v/>
      </c>
      <c r="H1813" s="16">
        <f>IFERROR(__xludf.DUMMYFUNCTION("GOOGLEFINANCE(B1813,""price"")"),51.2)</f>
        <v>51.2</v>
      </c>
      <c r="I1813" s="17">
        <f>IFERROR(__xludf.DUMMYFUNCTION("AVERAGE(QUERY(SORT(GOOGLEFINANCE(B1813,""price"",TODAY()-365,TODAY()),1,0),""select Col2 limit 10""))"),54.98299999999999)</f>
        <v>54.983</v>
      </c>
      <c r="J1813" s="17">
        <f>IFERROR(__xludf.DUMMYFUNCTION("AVERAGE(QUERY(SORT(GOOGLEFINANCE(B1813,""price"",TODAY()-365,TODAY()),1,0),""select Col2 limit 30""))"),49.742)</f>
        <v>49.742</v>
      </c>
      <c r="K1813" s="18">
        <f>IFERROR(__xludf.DUMMYFUNCTION("AVERAGE(QUERY(SORT(GOOGLEFINANCE(B1813,""price"",TODAY()-365,TODAY()),1,0),""select Col2 limit 60""))"),46.57783333333334)</f>
        <v>46.57783333</v>
      </c>
      <c r="L1813" s="17">
        <f>IFERROR(__xludf.DUMMYFUNCTION("AVERAGE(QUERY(SORT(GOOGLEFINANCE(B1813,""price"",TODAY()-365,TODAY()),1,0),""select Col2 limit 90""))"),44.08733333333333)</f>
        <v>44.08733333</v>
      </c>
      <c r="M1813" s="17">
        <f>IFERROR(__xludf.DUMMYFUNCTION("AVERAGE(QUERY(SORT(GOOGLEFINANCE(B1813,""price"",TODAY()-365,TODAY()),1,0),""select Col2 limit 120""))"),43.94741666666668)</f>
        <v>43.94741667</v>
      </c>
      <c r="N1813" s="19">
        <f>IFERROR(__xludf.DUMMYFUNCTION("AVERAGE(QUERY(SORT(GOOGLEFINANCE(B1813,""price"",TODAY()-365,TODAY()),1,0),""select Col2 limit 200""))"),46.92750000000003)</f>
        <v>46.9275</v>
      </c>
      <c r="O1813" s="20" t="str">
        <f t="shared" si="2"/>
        <v>Avoid</v>
      </c>
      <c r="P1813" s="21" t="str">
        <f t="shared" si="3"/>
        <v/>
      </c>
      <c r="Q1813" s="21" t="str">
        <f t="shared" si="4"/>
        <v/>
      </c>
      <c r="R1813" s="22">
        <f>IFERROR(__xludf.DUMMYFUNCTION("GOOGLEFINANCE(B1813, ""pe"")
"),18.22)</f>
        <v>18.22</v>
      </c>
    </row>
    <row r="1814">
      <c r="A1814" s="9" t="s">
        <v>1822</v>
      </c>
      <c r="B1814" s="11" t="str">
        <f t="shared" si="1"/>
        <v>NSE:ASTRON</v>
      </c>
      <c r="C1814" s="12">
        <f>IFERROR(__xludf.DUMMYFUNCTION("GOOGLEFINANCE(B1814,""marketcap"")/10000000"),68.5636991)</f>
        <v>68.5636991</v>
      </c>
      <c r="D1814" s="13">
        <f>IFERROR(__xludf.DUMMYFUNCTION("GOOGLEFINANCE(B1814,""price"")"),14.9)</f>
        <v>14.9</v>
      </c>
      <c r="E1814" s="14">
        <f>IFERROR(__xludf.DUMMYFUNCTION("GOOGLEFINANCE(B1814,""Volume"")"),9360.0)</f>
        <v>9360</v>
      </c>
      <c r="F1814" s="14">
        <f t="array" ref="F1814">F1813</f>
        <v>14</v>
      </c>
      <c r="G1814" s="15" t="str">
        <f>IFERROR(__xludf.DUMMYFUNCTION("IF(E1814&gt;AVERAGE(INDEX(GOOGLEFINANCE(B1814,""volume"",WORKDAY(TODAY(),-$F$1),TODAY()),,2)),""Breakout"","""")"),"")</f>
        <v/>
      </c>
      <c r="H1814" s="16">
        <f>IFERROR(__xludf.DUMMYFUNCTION("GOOGLEFINANCE(B1814,""price"")"),14.9)</f>
        <v>14.9</v>
      </c>
      <c r="I1814" s="17">
        <f>IFERROR(__xludf.DUMMYFUNCTION("AVERAGE(QUERY(SORT(GOOGLEFINANCE(B1814,""price"",TODAY()-365,TODAY()),1,0),""select Col2 limit 10""))"),15.66)</f>
        <v>15.66</v>
      </c>
      <c r="J1814" s="17">
        <f>IFERROR(__xludf.DUMMYFUNCTION("AVERAGE(QUERY(SORT(GOOGLEFINANCE(B1814,""price"",TODAY()-365,TODAY()),1,0),""select Col2 limit 30""))"),16.233)</f>
        <v>16.233</v>
      </c>
      <c r="K1814" s="18">
        <f>IFERROR(__xludf.DUMMYFUNCTION("AVERAGE(QUERY(SORT(GOOGLEFINANCE(B1814,""price"",TODAY()-365,TODAY()),1,0),""select Col2 limit 60""))"),17.378833333333333)</f>
        <v>17.37883333</v>
      </c>
      <c r="L1814" s="17">
        <f>IFERROR(__xludf.DUMMYFUNCTION("AVERAGE(QUERY(SORT(GOOGLEFINANCE(B1814,""price"",TODAY()-365,TODAY()),1,0),""select Col2 limit 90""))"),15.803111111111118)</f>
        <v>15.80311111</v>
      </c>
      <c r="M1814" s="17">
        <f>IFERROR(__xludf.DUMMYFUNCTION("AVERAGE(QUERY(SORT(GOOGLEFINANCE(B1814,""price"",TODAY()-365,TODAY()),1,0),""select Col2 limit 120""))"),15.562916666666672)</f>
        <v>15.56291667</v>
      </c>
      <c r="N1814" s="19">
        <f>IFERROR(__xludf.DUMMYFUNCTION("AVERAGE(QUERY(SORT(GOOGLEFINANCE(B1814,""price"",TODAY()-365,TODAY()),1,0),""select Col2 limit 200""))"),17.519450000000003)</f>
        <v>17.51945</v>
      </c>
      <c r="O1814" s="20" t="str">
        <f t="shared" si="2"/>
        <v>Avoid</v>
      </c>
      <c r="P1814" s="21" t="str">
        <f t="shared" si="3"/>
        <v/>
      </c>
      <c r="Q1814" s="21" t="str">
        <f t="shared" si="4"/>
        <v/>
      </c>
      <c r="R1814" s="22" t="str">
        <f>IFERROR(__xludf.DUMMYFUNCTION("GOOGLEFINANCE(B1814, ""pe"")
"),"#N/A")</f>
        <v>#N/A</v>
      </c>
    </row>
    <row r="1815">
      <c r="A1815" s="9" t="s">
        <v>1823</v>
      </c>
      <c r="B1815" s="11" t="str">
        <f t="shared" si="1"/>
        <v>NSE:MEP</v>
      </c>
      <c r="C1815" s="12">
        <f>IFERROR(__xludf.DUMMYFUNCTION("GOOGLEFINANCE(B1815,""marketcap"")/10000000"),33.0202791)</f>
        <v>33.0202791</v>
      </c>
      <c r="D1815" s="13">
        <f>IFERROR(__xludf.DUMMYFUNCTION("GOOGLEFINANCE(B1815,""price"")"),1.8)</f>
        <v>1.8</v>
      </c>
      <c r="E1815" s="14">
        <f>IFERROR(__xludf.DUMMYFUNCTION("GOOGLEFINANCE(B1815,""Volume"")"),174614.0)</f>
        <v>174614</v>
      </c>
      <c r="F1815" s="14">
        <f t="array" ref="F1815">F1814</f>
        <v>14</v>
      </c>
      <c r="G1815" s="15" t="str">
        <f>IFERROR(__xludf.DUMMYFUNCTION("IF(E1815&gt;AVERAGE(INDEX(GOOGLEFINANCE(B1815,""volume"",WORKDAY(TODAY(),-$F$1),TODAY()),,2)),""Breakout"","""")"),"Breakout")</f>
        <v>Breakout</v>
      </c>
      <c r="H1815" s="16">
        <f>IFERROR(__xludf.DUMMYFUNCTION("GOOGLEFINANCE(B1815,""price"")"),1.8)</f>
        <v>1.8</v>
      </c>
      <c r="I1815" s="17">
        <f>IFERROR(__xludf.DUMMYFUNCTION("AVERAGE(QUERY(SORT(GOOGLEFINANCE(B1815,""price"",TODAY()-365,TODAY()),1,0),""select Col2 limit 10""))"),1.7570000000000001)</f>
        <v>1.757</v>
      </c>
      <c r="J1815" s="17">
        <f>IFERROR(__xludf.DUMMYFUNCTION("AVERAGE(QUERY(SORT(GOOGLEFINANCE(B1815,""price"",TODAY()-365,TODAY()),1,0),""select Col2 limit 30""))"),2.0153333333333334)</f>
        <v>2.015333333</v>
      </c>
      <c r="K1815" s="18">
        <f>IFERROR(__xludf.DUMMYFUNCTION("AVERAGE(QUERY(SORT(GOOGLEFINANCE(B1815,""price"",TODAY()-365,TODAY()),1,0),""select Col2 limit 60""))"),1.9631666666666672)</f>
        <v>1.963166667</v>
      </c>
      <c r="L1815" s="17">
        <f>IFERROR(__xludf.DUMMYFUNCTION("AVERAGE(QUERY(SORT(GOOGLEFINANCE(B1815,""price"",TODAY()-365,TODAY()),1,0),""select Col2 limit 90""))"),1.7613333333333332)</f>
        <v>1.761333333</v>
      </c>
      <c r="M1815" s="17">
        <f>IFERROR(__xludf.DUMMYFUNCTION("AVERAGE(QUERY(SORT(GOOGLEFINANCE(B1815,""price"",TODAY()-365,TODAY()),1,0),""select Col2 limit 120""))"),1.9964166666666672)</f>
        <v>1.996416667</v>
      </c>
      <c r="N1815" s="19">
        <f>IFERROR(__xludf.DUMMYFUNCTION("AVERAGE(QUERY(SORT(GOOGLEFINANCE(B1815,""price"",TODAY()-365,TODAY()),1,0),""select Col2 limit 200""))"),2.823891891891893)</f>
        <v>2.823891892</v>
      </c>
      <c r="O1815" s="20" t="str">
        <f t="shared" si="2"/>
        <v>Avoid</v>
      </c>
      <c r="P1815" s="21" t="str">
        <f t="shared" si="3"/>
        <v/>
      </c>
      <c r="Q1815" s="21" t="str">
        <f t="shared" si="4"/>
        <v/>
      </c>
      <c r="R1815" s="22" t="str">
        <f>IFERROR(__xludf.DUMMYFUNCTION("GOOGLEFINANCE(B1815, ""pe"")
"),"#N/A")</f>
        <v>#N/A</v>
      </c>
    </row>
    <row r="1816">
      <c r="A1816" s="9" t="s">
        <v>1824</v>
      </c>
      <c r="B1816" s="11" t="str">
        <f t="shared" si="1"/>
        <v>NSE:PKTEA</v>
      </c>
      <c r="C1816" s="12">
        <f>IFERROR(__xludf.DUMMYFUNCTION("GOOGLEFINANCE(B1816,""marketcap"")/10000000"),209.5909406)</f>
        <v>209.5909406</v>
      </c>
      <c r="D1816" s="13">
        <f>IFERROR(__xludf.DUMMYFUNCTION("GOOGLEFINANCE(B1816,""price"")"),677.0)</f>
        <v>677</v>
      </c>
      <c r="E1816" s="14">
        <f>IFERROR(__xludf.DUMMYFUNCTION("GOOGLEFINANCE(B1816,""Volume"")"),745.0)</f>
        <v>745</v>
      </c>
      <c r="F1816" s="14">
        <f t="array" ref="F1816">F1815</f>
        <v>14</v>
      </c>
      <c r="G1816" s="15" t="str">
        <f>IFERROR(__xludf.DUMMYFUNCTION("IF(E1816&gt;AVERAGE(INDEX(GOOGLEFINANCE(B1816,""volume"",WORKDAY(TODAY(),-$F$1),TODAY()),,2)),""Breakout"","""")"),"Breakout")</f>
        <v>Breakout</v>
      </c>
      <c r="H1816" s="16">
        <f>IFERROR(__xludf.DUMMYFUNCTION("GOOGLEFINANCE(B1816,""price"")"),677.0)</f>
        <v>677</v>
      </c>
      <c r="I1816" s="17">
        <f>IFERROR(__xludf.DUMMYFUNCTION("AVERAGE(QUERY(SORT(GOOGLEFINANCE(B1816,""price"",TODAY()-365,TODAY()),1,0),""select Col2 limit 10""))"),711.92)</f>
        <v>711.92</v>
      </c>
      <c r="J1816" s="17">
        <f>IFERROR(__xludf.DUMMYFUNCTION("AVERAGE(QUERY(SORT(GOOGLEFINANCE(B1816,""price"",TODAY()-365,TODAY()),1,0),""select Col2 limit 30""))"),760.4966666666664)</f>
        <v>760.4966667</v>
      </c>
      <c r="K1816" s="18">
        <f>IFERROR(__xludf.DUMMYFUNCTION("AVERAGE(QUERY(SORT(GOOGLEFINANCE(B1816,""price"",TODAY()-365,TODAY()),1,0),""select Col2 limit 60""))"),767.3058333333331)</f>
        <v>767.3058333</v>
      </c>
      <c r="L1816" s="17">
        <f>IFERROR(__xludf.DUMMYFUNCTION("AVERAGE(QUERY(SORT(GOOGLEFINANCE(B1816,""price"",TODAY()-365,TODAY()),1,0),""select Col2 limit 90""))"),749.0694444444441)</f>
        <v>749.0694444</v>
      </c>
      <c r="M1816" s="17">
        <f>IFERROR(__xludf.DUMMYFUNCTION("AVERAGE(QUERY(SORT(GOOGLEFINANCE(B1816,""price"",TODAY()-365,TODAY()),1,0),""select Col2 limit 120""))"),730.4299999999997)</f>
        <v>730.43</v>
      </c>
      <c r="N1816" s="19">
        <f>IFERROR(__xludf.DUMMYFUNCTION("AVERAGE(QUERY(SORT(GOOGLEFINANCE(B1816,""price"",TODAY()-365,TODAY()),1,0),""select Col2 limit 200""))"),686.1234999999999)</f>
        <v>686.1235</v>
      </c>
      <c r="O1816" s="20" t="str">
        <f t="shared" si="2"/>
        <v>Avoid</v>
      </c>
      <c r="P1816" s="21" t="str">
        <f t="shared" si="3"/>
        <v/>
      </c>
      <c r="Q1816" s="21" t="str">
        <f t="shared" si="4"/>
        <v/>
      </c>
      <c r="R1816" s="22">
        <f>IFERROR(__xludf.DUMMYFUNCTION("GOOGLEFINANCE(B1816, ""pe"")
"),867.95)</f>
        <v>867.95</v>
      </c>
    </row>
    <row r="1817">
      <c r="A1817" s="9" t="s">
        <v>1825</v>
      </c>
      <c r="B1817" s="11" t="str">
        <f t="shared" si="1"/>
        <v>NSE:FIBERWEB</v>
      </c>
      <c r="C1817" s="12">
        <f>IFERROR(__xludf.DUMMYFUNCTION("GOOGLEFINANCE(B1817,""marketcap"")/10000000"),137.6531694)</f>
        <v>137.6531694</v>
      </c>
      <c r="D1817" s="13">
        <f>IFERROR(__xludf.DUMMYFUNCTION("GOOGLEFINANCE(B1817,""price"")"),47.81)</f>
        <v>47.81</v>
      </c>
      <c r="E1817" s="14">
        <f>IFERROR(__xludf.DUMMYFUNCTION("GOOGLEFINANCE(B1817,""Volume"")"),40583.0)</f>
        <v>40583</v>
      </c>
      <c r="F1817" s="14">
        <f t="array" ref="F1817">F1816</f>
        <v>14</v>
      </c>
      <c r="G1817" s="15" t="str">
        <f>IFERROR(__xludf.DUMMYFUNCTION("IF(E1817&gt;AVERAGE(INDEX(GOOGLEFINANCE(B1817,""volume"",WORKDAY(TODAY(),-$F$1),TODAY()),,2)),""Breakout"","""")"),"")</f>
        <v/>
      </c>
      <c r="H1817" s="16">
        <f>IFERROR(__xludf.DUMMYFUNCTION("GOOGLEFINANCE(B1817,""price"")"),47.81)</f>
        <v>47.81</v>
      </c>
      <c r="I1817" s="17">
        <f>IFERROR(__xludf.DUMMYFUNCTION("AVERAGE(QUERY(SORT(GOOGLEFINANCE(B1817,""price"",TODAY()-365,TODAY()),1,0),""select Col2 limit 10""))"),49.939)</f>
        <v>49.939</v>
      </c>
      <c r="J1817" s="17">
        <f>IFERROR(__xludf.DUMMYFUNCTION("AVERAGE(QUERY(SORT(GOOGLEFINANCE(B1817,""price"",TODAY()-365,TODAY()),1,0),""select Col2 limit 30""))"),50.065666666666665)</f>
        <v>50.06566667</v>
      </c>
      <c r="K1817" s="18">
        <f>IFERROR(__xludf.DUMMYFUNCTION("AVERAGE(QUERY(SORT(GOOGLEFINANCE(B1817,""price"",TODAY()-365,TODAY()),1,0),""select Col2 limit 60""))"),47.814166666666665)</f>
        <v>47.81416667</v>
      </c>
      <c r="L1817" s="17">
        <f>IFERROR(__xludf.DUMMYFUNCTION("AVERAGE(QUERY(SORT(GOOGLEFINANCE(B1817,""price"",TODAY()-365,TODAY()),1,0),""select Col2 limit 90""))"),45.46922222222224)</f>
        <v>45.46922222</v>
      </c>
      <c r="M1817" s="17">
        <f>IFERROR(__xludf.DUMMYFUNCTION("AVERAGE(QUERY(SORT(GOOGLEFINANCE(B1817,""price"",TODAY()-365,TODAY()),1,0),""select Col2 limit 120""))"),45.017250000000026)</f>
        <v>45.01725</v>
      </c>
      <c r="N1817" s="19">
        <f>IFERROR(__xludf.DUMMYFUNCTION("AVERAGE(QUERY(SORT(GOOGLEFINANCE(B1817,""price"",TODAY()-365,TODAY()),1,0),""select Col2 limit 200""))"),47.58000000000002)</f>
        <v>47.58</v>
      </c>
      <c r="O1817" s="20" t="str">
        <f t="shared" si="2"/>
        <v>Avoid</v>
      </c>
      <c r="P1817" s="21" t="str">
        <f t="shared" si="3"/>
        <v>60 DMA</v>
      </c>
      <c r="Q1817" s="21" t="str">
        <f t="shared" si="4"/>
        <v/>
      </c>
      <c r="R1817" s="22">
        <f>IFERROR(__xludf.DUMMYFUNCTION("GOOGLEFINANCE(B1817, ""pe"")
"),9.18)</f>
        <v>9.18</v>
      </c>
    </row>
    <row r="1818">
      <c r="A1818" s="9" t="s">
        <v>1826</v>
      </c>
      <c r="B1818" s="11" t="str">
        <f t="shared" si="1"/>
        <v>NSE:TFL</v>
      </c>
      <c r="C1818" s="12">
        <f>IFERROR(__xludf.DUMMYFUNCTION("GOOGLEFINANCE(B1818,""marketcap"")/10000000"),94.4554275)</f>
        <v>94.4554275</v>
      </c>
      <c r="D1818" s="13">
        <f>IFERROR(__xludf.DUMMYFUNCTION("GOOGLEFINANCE(B1818,""price"")"),17.5)</f>
        <v>17.5</v>
      </c>
      <c r="E1818" s="14">
        <f>IFERROR(__xludf.DUMMYFUNCTION("GOOGLEFINANCE(B1818,""Volume"")"),2132.0)</f>
        <v>2132</v>
      </c>
      <c r="F1818" s="14">
        <f t="array" ref="F1818">F1817</f>
        <v>14</v>
      </c>
      <c r="G1818" s="15" t="str">
        <f>IFERROR(__xludf.DUMMYFUNCTION("IF(E1818&gt;AVERAGE(INDEX(GOOGLEFINANCE(B1818,""volume"",WORKDAY(TODAY(),-$F$1),TODAY()),,2)),""Breakout"","""")"),"")</f>
        <v/>
      </c>
      <c r="H1818" s="16">
        <f>IFERROR(__xludf.DUMMYFUNCTION("GOOGLEFINANCE(B1818,""price"")"),17.5)</f>
        <v>17.5</v>
      </c>
      <c r="I1818" s="17">
        <f>IFERROR(__xludf.DUMMYFUNCTION("AVERAGE(QUERY(SORT(GOOGLEFINANCE(B1818,""price"",TODAY()-365,TODAY()),1,0),""select Col2 limit 10""))"),18.177999999999997)</f>
        <v>18.178</v>
      </c>
      <c r="J1818" s="17">
        <f>IFERROR(__xludf.DUMMYFUNCTION("AVERAGE(QUERY(SORT(GOOGLEFINANCE(B1818,""price"",TODAY()-365,TODAY()),1,0),""select Col2 limit 30""))"),17.901666666666667)</f>
        <v>17.90166667</v>
      </c>
      <c r="K1818" s="18">
        <f>IFERROR(__xludf.DUMMYFUNCTION("AVERAGE(QUERY(SORT(GOOGLEFINANCE(B1818,""price"",TODAY()-365,TODAY()),1,0),""select Col2 limit 60""))"),16.6835)</f>
        <v>16.6835</v>
      </c>
      <c r="L1818" s="17">
        <f>IFERROR(__xludf.DUMMYFUNCTION("AVERAGE(QUERY(SORT(GOOGLEFINANCE(B1818,""price"",TODAY()-365,TODAY()),1,0),""select Col2 limit 90""))"),15.855999999999996)</f>
        <v>15.856</v>
      </c>
      <c r="M1818" s="17">
        <f>IFERROR(__xludf.DUMMYFUNCTION("AVERAGE(QUERY(SORT(GOOGLEFINANCE(B1818,""price"",TODAY()-365,TODAY()),1,0),""select Col2 limit 120""))"),15.852666666666664)</f>
        <v>15.85266667</v>
      </c>
      <c r="N1818" s="19">
        <f>IFERROR(__xludf.DUMMYFUNCTION("AVERAGE(QUERY(SORT(GOOGLEFINANCE(B1818,""price"",TODAY()-365,TODAY()),1,0),""select Col2 limit 200""))"),19.697100000000006)</f>
        <v>19.6971</v>
      </c>
      <c r="O1818" s="20" t="str">
        <f t="shared" si="2"/>
        <v>Avoid</v>
      </c>
      <c r="P1818" s="21" t="str">
        <f t="shared" si="3"/>
        <v/>
      </c>
      <c r="Q1818" s="21" t="str">
        <f t="shared" si="4"/>
        <v/>
      </c>
      <c r="R1818" s="22" t="str">
        <f>IFERROR(__xludf.DUMMYFUNCTION("GOOGLEFINANCE(B1818, ""pe"")
"),"#N/A")</f>
        <v>#N/A</v>
      </c>
    </row>
    <row r="1819">
      <c r="A1819" s="9" t="s">
        <v>1827</v>
      </c>
      <c r="B1819" s="11" t="str">
        <f t="shared" si="1"/>
        <v>NSE:SHAHALLOYS</v>
      </c>
      <c r="C1819" s="12">
        <f>IFERROR(__xludf.DUMMYFUNCTION("GOOGLEFINANCE(B1819,""marketcap"")/10000000"),117.7953035)</f>
        <v>117.7953035</v>
      </c>
      <c r="D1819" s="13">
        <f>IFERROR(__xludf.DUMMYFUNCTION("GOOGLEFINANCE(B1819,""price"")"),59.5)</f>
        <v>59.5</v>
      </c>
      <c r="E1819" s="14">
        <f>IFERROR(__xludf.DUMMYFUNCTION("GOOGLEFINANCE(B1819,""Volume"")"),9133.0)</f>
        <v>9133</v>
      </c>
      <c r="F1819" s="14">
        <f t="array" ref="F1819">F1818</f>
        <v>14</v>
      </c>
      <c r="G1819" s="15" t="str">
        <f>IFERROR(__xludf.DUMMYFUNCTION("IF(E1819&gt;AVERAGE(INDEX(GOOGLEFINANCE(B1819,""volume"",WORKDAY(TODAY(),-$F$1),TODAY()),,2)),""Breakout"","""")"),"")</f>
        <v/>
      </c>
      <c r="H1819" s="16">
        <f>IFERROR(__xludf.DUMMYFUNCTION("GOOGLEFINANCE(B1819,""price"")"),59.5)</f>
        <v>59.5</v>
      </c>
      <c r="I1819" s="17">
        <f>IFERROR(__xludf.DUMMYFUNCTION("AVERAGE(QUERY(SORT(GOOGLEFINANCE(B1819,""price"",TODAY()-365,TODAY()),1,0),""select Col2 limit 10""))"),61.624)</f>
        <v>61.624</v>
      </c>
      <c r="J1819" s="17">
        <f>IFERROR(__xludf.DUMMYFUNCTION("AVERAGE(QUERY(SORT(GOOGLEFINANCE(B1819,""price"",TODAY()-365,TODAY()),1,0),""select Col2 limit 30""))"),61.81033333333334)</f>
        <v>61.81033333</v>
      </c>
      <c r="K1819" s="18">
        <f>IFERROR(__xludf.DUMMYFUNCTION("AVERAGE(QUERY(SORT(GOOGLEFINANCE(B1819,""price"",TODAY()-365,TODAY()),1,0),""select Col2 limit 60""))"),59.35983333333333)</f>
        <v>59.35983333</v>
      </c>
      <c r="L1819" s="17">
        <f>IFERROR(__xludf.DUMMYFUNCTION("AVERAGE(QUERY(SORT(GOOGLEFINANCE(B1819,""price"",TODAY()-365,TODAY()),1,0),""select Col2 limit 90""))"),57.968444444444444)</f>
        <v>57.96844444</v>
      </c>
      <c r="M1819" s="17">
        <f>IFERROR(__xludf.DUMMYFUNCTION("AVERAGE(QUERY(SORT(GOOGLEFINANCE(B1819,""price"",TODAY()-365,TODAY()),1,0),""select Col2 limit 120""))"),57.34141666666667)</f>
        <v>57.34141667</v>
      </c>
      <c r="N1819" s="19">
        <f>IFERROR(__xludf.DUMMYFUNCTION("AVERAGE(QUERY(SORT(GOOGLEFINANCE(B1819,""price"",TODAY()-365,TODAY()),1,0),""select Col2 limit 200""))"),63.18710000000003)</f>
        <v>63.1871</v>
      </c>
      <c r="O1819" s="20" t="str">
        <f t="shared" si="2"/>
        <v>Avoid</v>
      </c>
      <c r="P1819" s="21" t="str">
        <f t="shared" si="3"/>
        <v/>
      </c>
      <c r="Q1819" s="21" t="str">
        <f t="shared" si="4"/>
        <v/>
      </c>
      <c r="R1819" s="22" t="str">
        <f>IFERROR(__xludf.DUMMYFUNCTION("GOOGLEFINANCE(B1819, ""pe"")
"),"#N/A")</f>
        <v>#N/A</v>
      </c>
    </row>
    <row r="1820">
      <c r="A1820" s="9" t="s">
        <v>1828</v>
      </c>
      <c r="B1820" s="11" t="str">
        <f t="shared" si="1"/>
        <v>NSE:PALREDTEC</v>
      </c>
      <c r="C1820" s="12">
        <f>IFERROR(__xludf.DUMMYFUNCTION("GOOGLEFINANCE(B1820,""marketcap"")/10000000"),72.172104)</f>
        <v>72.172104</v>
      </c>
      <c r="D1820" s="13">
        <f>IFERROR(__xludf.DUMMYFUNCTION("GOOGLEFINANCE(B1820,""price"")"),59.0)</f>
        <v>59</v>
      </c>
      <c r="E1820" s="14">
        <f>IFERROR(__xludf.DUMMYFUNCTION("GOOGLEFINANCE(B1820,""Volume"")"),65.0)</f>
        <v>65</v>
      </c>
      <c r="F1820" s="14">
        <f t="array" ref="F1820">F1819</f>
        <v>14</v>
      </c>
      <c r="G1820" s="15" t="str">
        <f>IFERROR(__xludf.DUMMYFUNCTION("IF(E1820&gt;AVERAGE(INDEX(GOOGLEFINANCE(B1820,""volume"",WORKDAY(TODAY(),-$F$1),TODAY()),,2)),""Breakout"","""")"),"")</f>
        <v/>
      </c>
      <c r="H1820" s="16">
        <f>IFERROR(__xludf.DUMMYFUNCTION("GOOGLEFINANCE(B1820,""price"")"),59.0)</f>
        <v>59</v>
      </c>
      <c r="I1820" s="17">
        <f>IFERROR(__xludf.DUMMYFUNCTION("AVERAGE(QUERY(SORT(GOOGLEFINANCE(B1820,""price"",TODAY()-365,TODAY()),1,0),""select Col2 limit 10""))"),61.325)</f>
        <v>61.325</v>
      </c>
      <c r="J1820" s="17">
        <f>IFERROR(__xludf.DUMMYFUNCTION("AVERAGE(QUERY(SORT(GOOGLEFINANCE(B1820,""price"",TODAY()-365,TODAY()),1,0),""select Col2 limit 30""))"),53.996999999999986)</f>
        <v>53.997</v>
      </c>
      <c r="K1820" s="18">
        <f>IFERROR(__xludf.DUMMYFUNCTION("AVERAGE(QUERY(SORT(GOOGLEFINANCE(B1820,""price"",TODAY()-365,TODAY()),1,0),""select Col2 limit 60""))"),53.08849999999999)</f>
        <v>53.0885</v>
      </c>
      <c r="L1820" s="17">
        <f>IFERROR(__xludf.DUMMYFUNCTION("AVERAGE(QUERY(SORT(GOOGLEFINANCE(B1820,""price"",TODAY()-365,TODAY()),1,0),""select Col2 limit 90""))"),51.26644444444445)</f>
        <v>51.26644444</v>
      </c>
      <c r="M1820" s="17">
        <f>IFERROR(__xludf.DUMMYFUNCTION("AVERAGE(QUERY(SORT(GOOGLEFINANCE(B1820,""price"",TODAY()-365,TODAY()),1,0),""select Col2 limit 120""))"),53.59183333333335)</f>
        <v>53.59183333</v>
      </c>
      <c r="N1820" s="19">
        <f>IFERROR(__xludf.DUMMYFUNCTION("AVERAGE(QUERY(SORT(GOOGLEFINANCE(B1820,""price"",TODAY()-365,TODAY()),1,0),""select Col2 limit 200""))"),69.53225000000002)</f>
        <v>69.53225</v>
      </c>
      <c r="O1820" s="20" t="str">
        <f t="shared" si="2"/>
        <v>Avoid</v>
      </c>
      <c r="P1820" s="21" t="str">
        <f t="shared" si="3"/>
        <v/>
      </c>
      <c r="Q1820" s="21" t="str">
        <f t="shared" si="4"/>
        <v/>
      </c>
      <c r="R1820" s="22" t="str">
        <f>IFERROR(__xludf.DUMMYFUNCTION("GOOGLEFINANCE(B1820, ""pe"")
"),"#N/A")</f>
        <v>#N/A</v>
      </c>
    </row>
    <row r="1821">
      <c r="A1821" s="9" t="s">
        <v>1829</v>
      </c>
      <c r="B1821" s="11" t="str">
        <f t="shared" si="1"/>
        <v>NSE:OBCL</v>
      </c>
      <c r="C1821" s="12">
        <f>IFERROR(__xludf.DUMMYFUNCTION("GOOGLEFINANCE(B1821,""marketcap"")/10000000"),116.1872569)</f>
        <v>116.1872569</v>
      </c>
      <c r="D1821" s="13">
        <f>IFERROR(__xludf.DUMMYFUNCTION("GOOGLEFINANCE(B1821,""price"")"),55.11)</f>
        <v>55.11</v>
      </c>
      <c r="E1821" s="14">
        <f>IFERROR(__xludf.DUMMYFUNCTION("GOOGLEFINANCE(B1821,""Volume"")"),2101.0)</f>
        <v>2101</v>
      </c>
      <c r="F1821" s="14">
        <f t="array" ref="F1821">F1820</f>
        <v>14</v>
      </c>
      <c r="G1821" s="15" t="str">
        <f>IFERROR(__xludf.DUMMYFUNCTION("IF(E1821&gt;AVERAGE(INDEX(GOOGLEFINANCE(B1821,""volume"",WORKDAY(TODAY(),-$F$1),TODAY()),,2)),""Breakout"","""")"),"")</f>
        <v/>
      </c>
      <c r="H1821" s="16">
        <f>IFERROR(__xludf.DUMMYFUNCTION("GOOGLEFINANCE(B1821,""price"")"),55.11)</f>
        <v>55.11</v>
      </c>
      <c r="I1821" s="17">
        <f>IFERROR(__xludf.DUMMYFUNCTION("AVERAGE(QUERY(SORT(GOOGLEFINANCE(B1821,""price"",TODAY()-365,TODAY()),1,0),""select Col2 limit 10""))"),54.913)</f>
        <v>54.913</v>
      </c>
      <c r="J1821" s="17">
        <f>IFERROR(__xludf.DUMMYFUNCTION("AVERAGE(QUERY(SORT(GOOGLEFINANCE(B1821,""price"",TODAY()-365,TODAY()),1,0),""select Col2 limit 30""))"),54.85299999999999)</f>
        <v>54.853</v>
      </c>
      <c r="K1821" s="18">
        <f>IFERROR(__xludf.DUMMYFUNCTION("AVERAGE(QUERY(SORT(GOOGLEFINANCE(B1821,""price"",TODAY()-365,TODAY()),1,0),""select Col2 limit 60""))"),54.97616666666669)</f>
        <v>54.97616667</v>
      </c>
      <c r="L1821" s="17">
        <f>IFERROR(__xludf.DUMMYFUNCTION("AVERAGE(QUERY(SORT(GOOGLEFINANCE(B1821,""price"",TODAY()-365,TODAY()),1,0),""select Col2 limit 90""))"),54.362777777777794)</f>
        <v>54.36277778</v>
      </c>
      <c r="M1821" s="17">
        <f>IFERROR(__xludf.DUMMYFUNCTION("AVERAGE(QUERY(SORT(GOOGLEFINANCE(B1821,""price"",TODAY()-365,TODAY()),1,0),""select Col2 limit 120""))"),54.2751666666667)</f>
        <v>54.27516667</v>
      </c>
      <c r="N1821" s="19">
        <f>IFERROR(__xludf.DUMMYFUNCTION("AVERAGE(QUERY(SORT(GOOGLEFINANCE(B1821,""price"",TODAY()-365,TODAY()),1,0),""select Col2 limit 200""))"),55.322100000000034)</f>
        <v>55.3221</v>
      </c>
      <c r="O1821" s="20" t="str">
        <f t="shared" si="2"/>
        <v>Buy Above 200 DMA</v>
      </c>
      <c r="P1821" s="21" t="str">
        <f t="shared" si="3"/>
        <v>200 DMA</v>
      </c>
      <c r="Q1821" s="21" t="str">
        <f t="shared" si="4"/>
        <v>200 DMA cross best</v>
      </c>
      <c r="R1821" s="22">
        <f>IFERROR(__xludf.DUMMYFUNCTION("GOOGLEFINANCE(B1821, ""pe"")
"),50.1)</f>
        <v>50.1</v>
      </c>
    </row>
    <row r="1822">
      <c r="A1822" s="9" t="s">
        <v>1830</v>
      </c>
      <c r="B1822" s="11" t="str">
        <f t="shared" si="1"/>
        <v>NSE:DIL</v>
      </c>
      <c r="C1822" s="12">
        <f>IFERROR(__xludf.DUMMYFUNCTION("GOOGLEFINANCE(B1822,""marketcap"")/10000000"),32.0589924)</f>
        <v>32.0589924</v>
      </c>
      <c r="D1822" s="13">
        <f>IFERROR(__xludf.DUMMYFUNCTION("GOOGLEFINANCE(B1822,""price"")"),1.99)</f>
        <v>1.99</v>
      </c>
      <c r="E1822" s="14">
        <f>IFERROR(__xludf.DUMMYFUNCTION("GOOGLEFINANCE(B1822,""Volume"")"),92308.0)</f>
        <v>92308</v>
      </c>
      <c r="F1822" s="14">
        <f t="array" ref="F1822">F1821</f>
        <v>14</v>
      </c>
      <c r="G1822" s="15" t="str">
        <f>IFERROR(__xludf.DUMMYFUNCTION("IF(E1822&gt;AVERAGE(INDEX(GOOGLEFINANCE(B1822,""volume"",WORKDAY(TODAY(),-$F$1),TODAY()),,2)),""Breakout"","""")"),"")</f>
        <v/>
      </c>
      <c r="H1822" s="16">
        <f>IFERROR(__xludf.DUMMYFUNCTION("GOOGLEFINANCE(B1822,""price"")"),1.99)</f>
        <v>1.99</v>
      </c>
      <c r="I1822" s="17">
        <f>IFERROR(__xludf.DUMMYFUNCTION("AVERAGE(QUERY(SORT(GOOGLEFINANCE(B1822,""price"",TODAY()-365,TODAY()),1,0),""select Col2 limit 10""))"),2.056)</f>
        <v>2.056</v>
      </c>
      <c r="J1822" s="17">
        <f>IFERROR(__xludf.DUMMYFUNCTION("AVERAGE(QUERY(SORT(GOOGLEFINANCE(B1822,""price"",TODAY()-365,TODAY()),1,0),""select Col2 limit 30""))"),2.263)</f>
        <v>2.263</v>
      </c>
      <c r="K1822" s="18">
        <f>IFERROR(__xludf.DUMMYFUNCTION("AVERAGE(QUERY(SORT(GOOGLEFINANCE(B1822,""price"",TODAY()-365,TODAY()),1,0),""select Col2 limit 60""))"),2.3340000000000005)</f>
        <v>2.334</v>
      </c>
      <c r="L1822" s="17">
        <f>IFERROR(__xludf.DUMMYFUNCTION("AVERAGE(QUERY(SORT(GOOGLEFINANCE(B1822,""price"",TODAY()-365,TODAY()),1,0),""select Col2 limit 90""))"),2.3042222222222226)</f>
        <v>2.304222222</v>
      </c>
      <c r="M1822" s="17">
        <f>IFERROR(__xludf.DUMMYFUNCTION("AVERAGE(QUERY(SORT(GOOGLEFINANCE(B1822,""price"",TODAY()-365,TODAY()),1,0),""select Col2 limit 120""))"),2.3605833333333335)</f>
        <v>2.360583333</v>
      </c>
      <c r="N1822" s="19">
        <f>IFERROR(__xludf.DUMMYFUNCTION("AVERAGE(QUERY(SORT(GOOGLEFINANCE(B1822,""price"",TODAY()-365,TODAY()),1,0),""select Col2 limit 200""))"),3.15945)</f>
        <v>3.15945</v>
      </c>
      <c r="O1822" s="20" t="str">
        <f t="shared" si="2"/>
        <v>Avoid</v>
      </c>
      <c r="P1822" s="21" t="str">
        <f t="shared" si="3"/>
        <v/>
      </c>
      <c r="Q1822" s="21" t="str">
        <f t="shared" si="4"/>
        <v/>
      </c>
      <c r="R1822" s="22" t="str">
        <f>IFERROR(__xludf.DUMMYFUNCTION("GOOGLEFINANCE(B1822, ""pe"")
"),"#N/A")</f>
        <v>#N/A</v>
      </c>
    </row>
    <row r="1823">
      <c r="A1823" s="9" t="s">
        <v>1831</v>
      </c>
      <c r="B1823" s="11" t="str">
        <f t="shared" si="1"/>
        <v>NSE:LASA</v>
      </c>
      <c r="C1823" s="12">
        <f>IFERROR(__xludf.DUMMYFUNCTION("GOOGLEFINANCE(B1823,""marketcap"")/10000000"),52.9172342)</f>
        <v>52.9172342</v>
      </c>
      <c r="D1823" s="13">
        <f>IFERROR(__xludf.DUMMYFUNCTION("GOOGLEFINANCE(B1823,""price"")"),10.73)</f>
        <v>10.73</v>
      </c>
      <c r="E1823" s="14">
        <f>IFERROR(__xludf.DUMMYFUNCTION("GOOGLEFINANCE(B1823,""Volume"")"),10494.0)</f>
        <v>10494</v>
      </c>
      <c r="F1823" s="14">
        <f t="array" ref="F1823">F1822</f>
        <v>14</v>
      </c>
      <c r="G1823" s="15" t="str">
        <f>IFERROR(__xludf.DUMMYFUNCTION("IF(E1823&gt;AVERAGE(INDEX(GOOGLEFINANCE(B1823,""volume"",WORKDAY(TODAY(),-$F$1),TODAY()),,2)),""Breakout"","""")"),"")</f>
        <v/>
      </c>
      <c r="H1823" s="16">
        <f>IFERROR(__xludf.DUMMYFUNCTION("GOOGLEFINANCE(B1823,""price"")"),10.73)</f>
        <v>10.73</v>
      </c>
      <c r="I1823" s="17">
        <f>IFERROR(__xludf.DUMMYFUNCTION("AVERAGE(QUERY(SORT(GOOGLEFINANCE(B1823,""price"",TODAY()-365,TODAY()),1,0),""select Col2 limit 10""))"),11.451)</f>
        <v>11.451</v>
      </c>
      <c r="J1823" s="17">
        <f>IFERROR(__xludf.DUMMYFUNCTION("AVERAGE(QUERY(SORT(GOOGLEFINANCE(B1823,""price"",TODAY()-365,TODAY()),1,0),""select Col2 limit 30""))"),11.227)</f>
        <v>11.227</v>
      </c>
      <c r="K1823" s="18">
        <f>IFERROR(__xludf.DUMMYFUNCTION("AVERAGE(QUERY(SORT(GOOGLEFINANCE(B1823,""price"",TODAY()-365,TODAY()),1,0),""select Col2 limit 60""))"),13.529833333333334)</f>
        <v>13.52983333</v>
      </c>
      <c r="L1823" s="17">
        <f>IFERROR(__xludf.DUMMYFUNCTION("AVERAGE(QUERY(SORT(GOOGLEFINANCE(B1823,""price"",TODAY()-365,TODAY()),1,0),""select Col2 limit 90""))"),15.12722222222222)</f>
        <v>15.12722222</v>
      </c>
      <c r="M1823" s="17">
        <f>IFERROR(__xludf.DUMMYFUNCTION("AVERAGE(QUERY(SORT(GOOGLEFINANCE(B1823,""price"",TODAY()-365,TODAY()),1,0),""select Col2 limit 120""))"),17.213499999999996)</f>
        <v>17.2135</v>
      </c>
      <c r="N1823" s="19">
        <f>IFERROR(__xludf.DUMMYFUNCTION("AVERAGE(QUERY(SORT(GOOGLEFINANCE(B1823,""price"",TODAY()-365,TODAY()),1,0),""select Col2 limit 200""))"),21.017850000000003)</f>
        <v>21.01785</v>
      </c>
      <c r="O1823" s="20" t="str">
        <f t="shared" si="2"/>
        <v>Avoid</v>
      </c>
      <c r="P1823" s="21" t="str">
        <f t="shared" si="3"/>
        <v/>
      </c>
      <c r="Q1823" s="21" t="str">
        <f t="shared" si="4"/>
        <v/>
      </c>
      <c r="R1823" s="22" t="str">
        <f>IFERROR(__xludf.DUMMYFUNCTION("GOOGLEFINANCE(B1823, ""pe"")
"),"#N/A")</f>
        <v>#N/A</v>
      </c>
    </row>
    <row r="1824">
      <c r="A1824" s="9" t="s">
        <v>1832</v>
      </c>
      <c r="B1824" s="11" t="str">
        <f t="shared" si="1"/>
        <v>NSE:NAGREEKEXP</v>
      </c>
      <c r="C1824" s="12">
        <f>IFERROR(__xludf.DUMMYFUNCTION("GOOGLEFINANCE(B1824,""marketcap"")/10000000"),81.4684695)</f>
        <v>81.4684695</v>
      </c>
      <c r="D1824" s="13">
        <f>IFERROR(__xludf.DUMMYFUNCTION("GOOGLEFINANCE(B1824,""price"")"),26.61)</f>
        <v>26.61</v>
      </c>
      <c r="E1824" s="14">
        <f>IFERROR(__xludf.DUMMYFUNCTION("GOOGLEFINANCE(B1824,""Volume"")"),1201.0)</f>
        <v>1201</v>
      </c>
      <c r="F1824" s="14">
        <f t="array" ref="F1824">F1823</f>
        <v>14</v>
      </c>
      <c r="G1824" s="15" t="str">
        <f>IFERROR(__xludf.DUMMYFUNCTION("IF(E1824&gt;AVERAGE(INDEX(GOOGLEFINANCE(B1824,""volume"",WORKDAY(TODAY(),-$F$1),TODAY()),,2)),""Breakout"","""")"),"")</f>
        <v/>
      </c>
      <c r="H1824" s="16">
        <f>IFERROR(__xludf.DUMMYFUNCTION("GOOGLEFINANCE(B1824,""price"")"),26.61)</f>
        <v>26.61</v>
      </c>
      <c r="I1824" s="17">
        <f>IFERROR(__xludf.DUMMYFUNCTION("AVERAGE(QUERY(SORT(GOOGLEFINANCE(B1824,""price"",TODAY()-365,TODAY()),1,0),""select Col2 limit 10""))"),27.155)</f>
        <v>27.155</v>
      </c>
      <c r="J1824" s="17">
        <f>IFERROR(__xludf.DUMMYFUNCTION("AVERAGE(QUERY(SORT(GOOGLEFINANCE(B1824,""price"",TODAY()-365,TODAY()),1,0),""select Col2 limit 30""))"),28.206666666666667)</f>
        <v>28.20666667</v>
      </c>
      <c r="K1824" s="18">
        <f>IFERROR(__xludf.DUMMYFUNCTION("AVERAGE(QUERY(SORT(GOOGLEFINANCE(B1824,""price"",TODAY()-365,TODAY()),1,0),""select Col2 limit 60""))"),28.44150000000001)</f>
        <v>28.4415</v>
      </c>
      <c r="L1824" s="17">
        <f>IFERROR(__xludf.DUMMYFUNCTION("AVERAGE(QUERY(SORT(GOOGLEFINANCE(B1824,""price"",TODAY()-365,TODAY()),1,0),""select Col2 limit 90""))"),27.77199999999999)</f>
        <v>27.772</v>
      </c>
      <c r="M1824" s="17">
        <f>IFERROR(__xludf.DUMMYFUNCTION("AVERAGE(QUERY(SORT(GOOGLEFINANCE(B1824,""price"",TODAY()-365,TODAY()),1,0),""select Col2 limit 120""))"),28.741166666666654)</f>
        <v>28.74116667</v>
      </c>
      <c r="N1824" s="19">
        <f>IFERROR(__xludf.DUMMYFUNCTION("AVERAGE(QUERY(SORT(GOOGLEFINANCE(B1824,""price"",TODAY()-365,TODAY()),1,0),""select Col2 limit 200""))"),32.04869999999998)</f>
        <v>32.0487</v>
      </c>
      <c r="O1824" s="20" t="str">
        <f t="shared" si="2"/>
        <v>Avoid</v>
      </c>
      <c r="P1824" s="21" t="str">
        <f t="shared" si="3"/>
        <v/>
      </c>
      <c r="Q1824" s="21" t="str">
        <f t="shared" si="4"/>
        <v/>
      </c>
      <c r="R1824" s="22">
        <f>IFERROR(__xludf.DUMMYFUNCTION("GOOGLEFINANCE(B1824, ""pe"")
"),13.89)</f>
        <v>13.89</v>
      </c>
    </row>
    <row r="1825">
      <c r="A1825" s="9" t="s">
        <v>1833</v>
      </c>
      <c r="B1825" s="11" t="str">
        <f t="shared" si="1"/>
        <v>NSE:INDSWFTLTD</v>
      </c>
      <c r="C1825" s="12">
        <f>IFERROR(__xludf.DUMMYFUNCTION("GOOGLEFINANCE(B1825,""marketcap"")/10000000"),89.5928519)</f>
        <v>89.5928519</v>
      </c>
      <c r="D1825" s="13">
        <f>IFERROR(__xludf.DUMMYFUNCTION("GOOGLEFINANCE(B1825,""price"")"),16.64)</f>
        <v>16.64</v>
      </c>
      <c r="E1825" s="14">
        <f>IFERROR(__xludf.DUMMYFUNCTION("GOOGLEFINANCE(B1825,""Volume"")"),22040.0)</f>
        <v>22040</v>
      </c>
      <c r="F1825" s="14">
        <f t="array" ref="F1825">F1824</f>
        <v>14</v>
      </c>
      <c r="G1825" s="15" t="str">
        <f>IFERROR(__xludf.DUMMYFUNCTION("IF(E1825&gt;AVERAGE(INDEX(GOOGLEFINANCE(B1825,""volume"",WORKDAY(TODAY(),-$F$1),TODAY()),,2)),""Breakout"","""")"),"")</f>
        <v/>
      </c>
      <c r="H1825" s="16">
        <f>IFERROR(__xludf.DUMMYFUNCTION("GOOGLEFINANCE(B1825,""price"")"),16.64)</f>
        <v>16.64</v>
      </c>
      <c r="I1825" s="17">
        <f>IFERROR(__xludf.DUMMYFUNCTION("AVERAGE(QUERY(SORT(GOOGLEFINANCE(B1825,""price"",TODAY()-365,TODAY()),1,0),""select Col2 limit 10""))"),17.64)</f>
        <v>17.64</v>
      </c>
      <c r="J1825" s="17">
        <f>IFERROR(__xludf.DUMMYFUNCTION("AVERAGE(QUERY(SORT(GOOGLEFINANCE(B1825,""price"",TODAY()-365,TODAY()),1,0),""select Col2 limit 30""))"),17.1)</f>
        <v>17.1</v>
      </c>
      <c r="K1825" s="18">
        <f>IFERROR(__xludf.DUMMYFUNCTION("AVERAGE(QUERY(SORT(GOOGLEFINANCE(B1825,""price"",TODAY()-365,TODAY()),1,0),""select Col2 limit 60""))"),16.163666666666668)</f>
        <v>16.16366667</v>
      </c>
      <c r="L1825" s="17">
        <f>IFERROR(__xludf.DUMMYFUNCTION("AVERAGE(QUERY(SORT(GOOGLEFINANCE(B1825,""price"",TODAY()-365,TODAY()),1,0),""select Col2 limit 90""))"),15.258111111111111)</f>
        <v>15.25811111</v>
      </c>
      <c r="M1825" s="17">
        <f>IFERROR(__xludf.DUMMYFUNCTION("AVERAGE(QUERY(SORT(GOOGLEFINANCE(B1825,""price"",TODAY()-365,TODAY()),1,0),""select Col2 limit 120""))"),15.253416666666668)</f>
        <v>15.25341667</v>
      </c>
      <c r="N1825" s="19">
        <f>IFERROR(__xludf.DUMMYFUNCTION("AVERAGE(QUERY(SORT(GOOGLEFINANCE(B1825,""price"",TODAY()-365,TODAY()),1,0),""select Col2 limit 200""))"),18.827599999999993)</f>
        <v>18.8276</v>
      </c>
      <c r="O1825" s="20" t="str">
        <f t="shared" si="2"/>
        <v>Avoid</v>
      </c>
      <c r="P1825" s="21" t="str">
        <f t="shared" si="3"/>
        <v/>
      </c>
      <c r="Q1825" s="21" t="str">
        <f t="shared" si="4"/>
        <v/>
      </c>
      <c r="R1825" s="22">
        <f>IFERROR(__xludf.DUMMYFUNCTION("GOOGLEFINANCE(B1825, ""pe"")
"),0.32)</f>
        <v>0.32</v>
      </c>
    </row>
    <row r="1826">
      <c r="A1826" s="9" t="s">
        <v>1834</v>
      </c>
      <c r="B1826" s="11" t="str">
        <f t="shared" si="1"/>
        <v>NSE:DAMODARIND</v>
      </c>
      <c r="C1826" s="12">
        <f>IFERROR(__xludf.DUMMYFUNCTION("GOOGLEFINANCE(B1826,""marketcap"")/10000000"),87.8176968)</f>
        <v>87.8176968</v>
      </c>
      <c r="D1826" s="13">
        <f>IFERROR(__xludf.DUMMYFUNCTION("GOOGLEFINANCE(B1826,""price"")"),37.69)</f>
        <v>37.69</v>
      </c>
      <c r="E1826" s="14">
        <f>IFERROR(__xludf.DUMMYFUNCTION("GOOGLEFINANCE(B1826,""Volume"")"),1468.0)</f>
        <v>1468</v>
      </c>
      <c r="F1826" s="14">
        <f t="array" ref="F1826">F1825</f>
        <v>14</v>
      </c>
      <c r="G1826" s="15" t="str">
        <f>IFERROR(__xludf.DUMMYFUNCTION("IF(E1826&gt;AVERAGE(INDEX(GOOGLEFINANCE(B1826,""volume"",WORKDAY(TODAY(),-$F$1),TODAY()),,2)),""Breakout"","""")"),"")</f>
        <v/>
      </c>
      <c r="H1826" s="16">
        <f>IFERROR(__xludf.DUMMYFUNCTION("GOOGLEFINANCE(B1826,""price"")"),37.69)</f>
        <v>37.69</v>
      </c>
      <c r="I1826" s="17">
        <f>IFERROR(__xludf.DUMMYFUNCTION("AVERAGE(QUERY(SORT(GOOGLEFINANCE(B1826,""price"",TODAY()-365,TODAY()),1,0),""select Col2 limit 10""))"),37.772999999999996)</f>
        <v>37.773</v>
      </c>
      <c r="J1826" s="17">
        <f>IFERROR(__xludf.DUMMYFUNCTION("AVERAGE(QUERY(SORT(GOOGLEFINANCE(B1826,""price"",TODAY()-365,TODAY()),1,0),""select Col2 limit 30""))"),37.25266666666666)</f>
        <v>37.25266667</v>
      </c>
      <c r="K1826" s="18">
        <f>IFERROR(__xludf.DUMMYFUNCTION("AVERAGE(QUERY(SORT(GOOGLEFINANCE(B1826,""price"",TODAY()-365,TODAY()),1,0),""select Col2 limit 60""))"),36.387999999999984)</f>
        <v>36.388</v>
      </c>
      <c r="L1826" s="17">
        <f>IFERROR(__xludf.DUMMYFUNCTION("AVERAGE(QUERY(SORT(GOOGLEFINANCE(B1826,""price"",TODAY()-365,TODAY()),1,0),""select Col2 limit 90""))"),34.85299999999999)</f>
        <v>34.853</v>
      </c>
      <c r="M1826" s="17">
        <f>IFERROR(__xludf.DUMMYFUNCTION("AVERAGE(QUERY(SORT(GOOGLEFINANCE(B1826,""price"",TODAY()-365,TODAY()),1,0),""select Col2 limit 120""))"),34.72533333333333)</f>
        <v>34.72533333</v>
      </c>
      <c r="N1826" s="19">
        <f>IFERROR(__xludf.DUMMYFUNCTION("AVERAGE(QUERY(SORT(GOOGLEFINANCE(B1826,""price"",TODAY()-365,TODAY()),1,0),""select Col2 limit 200""))"),37.81655)</f>
        <v>37.81655</v>
      </c>
      <c r="O1826" s="20" t="str">
        <f t="shared" si="2"/>
        <v>Avoid</v>
      </c>
      <c r="P1826" s="21" t="str">
        <f t="shared" si="3"/>
        <v>10 DMA</v>
      </c>
      <c r="Q1826" s="21" t="str">
        <f t="shared" si="4"/>
        <v/>
      </c>
      <c r="R1826" s="22">
        <f>IFERROR(__xludf.DUMMYFUNCTION("GOOGLEFINANCE(B1826, ""pe"")
"),16.25)</f>
        <v>16.25</v>
      </c>
    </row>
    <row r="1827">
      <c r="A1827" s="9" t="s">
        <v>1835</v>
      </c>
      <c r="B1827" s="11" t="str">
        <f t="shared" si="1"/>
        <v>NSE:TIMESGTY</v>
      </c>
      <c r="C1827" s="12">
        <f>IFERROR(__xludf.DUMMYFUNCTION("GOOGLEFINANCE(B1827,""marketcap"")/10000000"),226.4475197)</f>
        <v>226.4475197</v>
      </c>
      <c r="D1827" s="13">
        <f>IFERROR(__xludf.DUMMYFUNCTION("GOOGLEFINANCE(B1827,""price"")"),248.92)</f>
        <v>248.92</v>
      </c>
      <c r="E1827" s="14">
        <f>IFERROR(__xludf.DUMMYFUNCTION("GOOGLEFINANCE(B1827,""Volume"")"),366107.0)</f>
        <v>366107</v>
      </c>
      <c r="F1827" s="14">
        <f t="array" ref="F1827">F1826</f>
        <v>14</v>
      </c>
      <c r="G1827" s="15" t="str">
        <f>IFERROR(__xludf.DUMMYFUNCTION("IF(E1827&gt;AVERAGE(INDEX(GOOGLEFINANCE(B1827,""volume"",WORKDAY(TODAY(),-$F$1),TODAY()),,2)),""Breakout"","""")"),"Breakout")</f>
        <v>Breakout</v>
      </c>
      <c r="H1827" s="16">
        <f>IFERROR(__xludf.DUMMYFUNCTION("GOOGLEFINANCE(B1827,""price"")"),248.92)</f>
        <v>248.92</v>
      </c>
      <c r="I1827" s="17">
        <f>IFERROR(__xludf.DUMMYFUNCTION("AVERAGE(QUERY(SORT(GOOGLEFINANCE(B1827,""price"",TODAY()-365,TODAY()),1,0),""select Col2 limit 10""))"),186.85999999999999)</f>
        <v>186.86</v>
      </c>
      <c r="J1827" s="17">
        <f>IFERROR(__xludf.DUMMYFUNCTION("AVERAGE(QUERY(SORT(GOOGLEFINANCE(B1827,""price"",TODAY()-365,TODAY()),1,0),""select Col2 limit 30""))"),178.74933333333328)</f>
        <v>178.7493333</v>
      </c>
      <c r="K1827" s="18">
        <f>IFERROR(__xludf.DUMMYFUNCTION("AVERAGE(QUERY(SORT(GOOGLEFINANCE(B1827,""price"",TODAY()-365,TODAY()),1,0),""select Col2 limit 60""))"),174.29516666666666)</f>
        <v>174.2951667</v>
      </c>
      <c r="L1827" s="17">
        <f>IFERROR(__xludf.DUMMYFUNCTION("AVERAGE(QUERY(SORT(GOOGLEFINANCE(B1827,""price"",TODAY()-365,TODAY()),1,0),""select Col2 limit 90""))"),174.71588888888886)</f>
        <v>174.7158889</v>
      </c>
      <c r="M1827" s="17">
        <f>IFERROR(__xludf.DUMMYFUNCTION("AVERAGE(QUERY(SORT(GOOGLEFINANCE(B1827,""price"",TODAY()-365,TODAY()),1,0),""select Col2 limit 120""))"),173.55958333333336)</f>
        <v>173.5595833</v>
      </c>
      <c r="N1827" s="19">
        <f>IFERROR(__xludf.DUMMYFUNCTION("AVERAGE(QUERY(SORT(GOOGLEFINANCE(B1827,""price"",TODAY()-365,TODAY()),1,0),""select Col2 limit 200""))"),165.64774999999997)</f>
        <v>165.64775</v>
      </c>
      <c r="O1827" s="20" t="str">
        <f t="shared" si="2"/>
        <v>Avoid</v>
      </c>
      <c r="P1827" s="21" t="str">
        <f t="shared" si="3"/>
        <v/>
      </c>
      <c r="Q1827" s="21" t="str">
        <f t="shared" si="4"/>
        <v/>
      </c>
      <c r="R1827" s="22">
        <f>IFERROR(__xludf.DUMMYFUNCTION("GOOGLEFINANCE(B1827, ""pe"")
"),95.74)</f>
        <v>95.74</v>
      </c>
    </row>
    <row r="1828">
      <c r="A1828" s="9" t="s">
        <v>1836</v>
      </c>
      <c r="B1828" s="11" t="str">
        <f t="shared" si="1"/>
        <v>NSE:AGRITECH</v>
      </c>
      <c r="C1828" s="12">
        <f>IFERROR(__xludf.DUMMYFUNCTION("GOOGLEFINANCE(B1828,""marketcap"")/10000000"),86.7299367)</f>
        <v>86.7299367</v>
      </c>
      <c r="D1828" s="13">
        <f>IFERROR(__xludf.DUMMYFUNCTION("GOOGLEFINANCE(B1828,""price"")"),147.77)</f>
        <v>147.77</v>
      </c>
      <c r="E1828" s="14">
        <f>IFERROR(__xludf.DUMMYFUNCTION("GOOGLEFINANCE(B1828,""Volume"")"),14115.0)</f>
        <v>14115</v>
      </c>
      <c r="F1828" s="14">
        <f t="array" ref="F1828">F1827</f>
        <v>14</v>
      </c>
      <c r="G1828" s="15" t="str">
        <f>IFERROR(__xludf.DUMMYFUNCTION("IF(E1828&gt;AVERAGE(INDEX(GOOGLEFINANCE(B1828,""volume"",WORKDAY(TODAY(),-$F$1),TODAY()),,2)),""Breakout"","""")"),"")</f>
        <v/>
      </c>
      <c r="H1828" s="16">
        <f>IFERROR(__xludf.DUMMYFUNCTION("GOOGLEFINANCE(B1828,""price"")"),147.77)</f>
        <v>147.77</v>
      </c>
      <c r="I1828" s="17">
        <f>IFERROR(__xludf.DUMMYFUNCTION("AVERAGE(QUERY(SORT(GOOGLEFINANCE(B1828,""price"",TODAY()-365,TODAY()),1,0),""select Col2 limit 10""))"),148.83200000000002)</f>
        <v>148.832</v>
      </c>
      <c r="J1828" s="17">
        <f>IFERROR(__xludf.DUMMYFUNCTION("AVERAGE(QUERY(SORT(GOOGLEFINANCE(B1828,""price"",TODAY()-365,TODAY()),1,0),""select Col2 limit 30""))"),153.41833333333332)</f>
        <v>153.4183333</v>
      </c>
      <c r="K1828" s="18">
        <f>IFERROR(__xludf.DUMMYFUNCTION("AVERAGE(QUERY(SORT(GOOGLEFINANCE(B1828,""price"",TODAY()-365,TODAY()),1,0),""select Col2 limit 60""))"),156.25166666666667)</f>
        <v>156.2516667</v>
      </c>
      <c r="L1828" s="17">
        <f>IFERROR(__xludf.DUMMYFUNCTION("AVERAGE(QUERY(SORT(GOOGLEFINANCE(B1828,""price"",TODAY()-365,TODAY()),1,0),""select Col2 limit 90""))"),152.42666666666668)</f>
        <v>152.4266667</v>
      </c>
      <c r="M1828" s="17">
        <f>IFERROR(__xludf.DUMMYFUNCTION("AVERAGE(QUERY(SORT(GOOGLEFINANCE(B1828,""price"",TODAY()-365,TODAY()),1,0),""select Col2 limit 120""))"),154.47291666666666)</f>
        <v>154.4729167</v>
      </c>
      <c r="N1828" s="19">
        <f>IFERROR(__xludf.DUMMYFUNCTION("AVERAGE(QUERY(SORT(GOOGLEFINANCE(B1828,""price"",TODAY()-365,TODAY()),1,0),""select Col2 limit 200""))"),172.30225000000002)</f>
        <v>172.30225</v>
      </c>
      <c r="O1828" s="20" t="str">
        <f t="shared" si="2"/>
        <v>Avoid</v>
      </c>
      <c r="P1828" s="21" t="str">
        <f t="shared" si="3"/>
        <v>10 DMA</v>
      </c>
      <c r="Q1828" s="21" t="str">
        <f t="shared" si="4"/>
        <v>10 DMA cross best</v>
      </c>
      <c r="R1828" s="22" t="str">
        <f>IFERROR(__xludf.DUMMYFUNCTION("GOOGLEFINANCE(B1828, ""pe"")
"),"#N/A")</f>
        <v>#N/A</v>
      </c>
    </row>
    <row r="1829">
      <c r="A1829" s="9" t="s">
        <v>1837</v>
      </c>
      <c r="B1829" s="11" t="str">
        <f t="shared" si="1"/>
        <v>NSE:ENERGYDEV</v>
      </c>
      <c r="C1829" s="12">
        <f>IFERROR(__xludf.DUMMYFUNCTION("GOOGLEFINANCE(B1829,""marketcap"")/10000000"),96.8999981)</f>
        <v>96.8999981</v>
      </c>
      <c r="D1829" s="13">
        <f>IFERROR(__xludf.DUMMYFUNCTION("GOOGLEFINANCE(B1829,""price"")"),20.4)</f>
        <v>20.4</v>
      </c>
      <c r="E1829" s="14">
        <f>IFERROR(__xludf.DUMMYFUNCTION("GOOGLEFINANCE(B1829,""Volume"")"),25795.0)</f>
        <v>25795</v>
      </c>
      <c r="F1829" s="14">
        <f t="array" ref="F1829">F1828</f>
        <v>14</v>
      </c>
      <c r="G1829" s="15" t="str">
        <f>IFERROR(__xludf.DUMMYFUNCTION("IF(E1829&gt;AVERAGE(INDEX(GOOGLEFINANCE(B1829,""volume"",WORKDAY(TODAY(),-$F$1),TODAY()),,2)),""Breakout"","""")"),"")</f>
        <v/>
      </c>
      <c r="H1829" s="16">
        <f>IFERROR(__xludf.DUMMYFUNCTION("GOOGLEFINANCE(B1829,""price"")"),20.4)</f>
        <v>20.4</v>
      </c>
      <c r="I1829" s="17">
        <f>IFERROR(__xludf.DUMMYFUNCTION("AVERAGE(QUERY(SORT(GOOGLEFINANCE(B1829,""price"",TODAY()-365,TODAY()),1,0),""select Col2 limit 10""))"),21.267999999999997)</f>
        <v>21.268</v>
      </c>
      <c r="J1829" s="17">
        <f>IFERROR(__xludf.DUMMYFUNCTION("AVERAGE(QUERY(SORT(GOOGLEFINANCE(B1829,""price"",TODAY()-365,TODAY()),1,0),""select Col2 limit 30""))"),21.89533333333333)</f>
        <v>21.89533333</v>
      </c>
      <c r="K1829" s="18">
        <f>IFERROR(__xludf.DUMMYFUNCTION("AVERAGE(QUERY(SORT(GOOGLEFINANCE(B1829,""price"",TODAY()-365,TODAY()),1,0),""select Col2 limit 60""))"),20.932666666666663)</f>
        <v>20.93266667</v>
      </c>
      <c r="L1829" s="17">
        <f>IFERROR(__xludf.DUMMYFUNCTION("AVERAGE(QUERY(SORT(GOOGLEFINANCE(B1829,""price"",TODAY()-365,TODAY()),1,0),""select Col2 limit 90""))"),20.13533333333333)</f>
        <v>20.13533333</v>
      </c>
      <c r="M1829" s="17">
        <f>IFERROR(__xludf.DUMMYFUNCTION("AVERAGE(QUERY(SORT(GOOGLEFINANCE(B1829,""price"",TODAY()-365,TODAY()),1,0),""select Col2 limit 120""))"),20.14858333333333)</f>
        <v>20.14858333</v>
      </c>
      <c r="N1829" s="19">
        <f>IFERROR(__xludf.DUMMYFUNCTION("AVERAGE(QUERY(SORT(GOOGLEFINANCE(B1829,""price"",TODAY()-365,TODAY()),1,0),""select Col2 limit 200""))"),22.556299999999997)</f>
        <v>22.5563</v>
      </c>
      <c r="O1829" s="20" t="str">
        <f t="shared" si="2"/>
        <v>Avoid</v>
      </c>
      <c r="P1829" s="21" t="str">
        <f t="shared" si="3"/>
        <v/>
      </c>
      <c r="Q1829" s="21" t="str">
        <f t="shared" si="4"/>
        <v/>
      </c>
      <c r="R1829" s="22" t="str">
        <f>IFERROR(__xludf.DUMMYFUNCTION("GOOGLEFINANCE(B1829, ""pe"")
"),"#N/A")</f>
        <v>#N/A</v>
      </c>
    </row>
    <row r="1830">
      <c r="A1830" s="9" t="s">
        <v>1838</v>
      </c>
      <c r="B1830" s="11" t="str">
        <f t="shared" si="1"/>
        <v>NSE:AVROIND</v>
      </c>
      <c r="C1830" s="12">
        <f>IFERROR(__xludf.DUMMYFUNCTION("GOOGLEFINANCE(B1830,""marketcap"")/10000000"),190.6275559)</f>
        <v>190.6275559</v>
      </c>
      <c r="D1830" s="13">
        <f>IFERROR(__xludf.DUMMYFUNCTION("GOOGLEFINANCE(B1830,""price"")"),143.21)</f>
        <v>143.21</v>
      </c>
      <c r="E1830" s="14">
        <f>IFERROR(__xludf.DUMMYFUNCTION("GOOGLEFINANCE(B1830,""Volume"")"),1781.0)</f>
        <v>1781</v>
      </c>
      <c r="F1830" s="14">
        <f t="array" ref="F1830">F1829</f>
        <v>14</v>
      </c>
      <c r="G1830" s="15" t="str">
        <f>IFERROR(__xludf.DUMMYFUNCTION("IF(E1830&gt;AVERAGE(INDEX(GOOGLEFINANCE(B1830,""volume"",WORKDAY(TODAY(),-$F$1),TODAY()),,2)),""Breakout"","""")"),"")</f>
        <v/>
      </c>
      <c r="H1830" s="16">
        <f>IFERROR(__xludf.DUMMYFUNCTION("GOOGLEFINANCE(B1830,""price"")"),143.21)</f>
        <v>143.21</v>
      </c>
      <c r="I1830" s="17">
        <f>IFERROR(__xludf.DUMMYFUNCTION("AVERAGE(QUERY(SORT(GOOGLEFINANCE(B1830,""price"",TODAY()-365,TODAY()),1,0),""select Col2 limit 10""))"),152.107)</f>
        <v>152.107</v>
      </c>
      <c r="J1830" s="17">
        <f>IFERROR(__xludf.DUMMYFUNCTION("AVERAGE(QUERY(SORT(GOOGLEFINANCE(B1830,""price"",TODAY()-365,TODAY()),1,0),""select Col2 limit 30""))"),166.67100000000002)</f>
        <v>166.671</v>
      </c>
      <c r="K1830" s="18">
        <f>IFERROR(__xludf.DUMMYFUNCTION("AVERAGE(QUERY(SORT(GOOGLEFINANCE(B1830,""price"",TODAY()-365,TODAY()),1,0),""select Col2 limit 60""))"),167.95866666666663)</f>
        <v>167.9586667</v>
      </c>
      <c r="L1830" s="17">
        <f>IFERROR(__xludf.DUMMYFUNCTION("AVERAGE(QUERY(SORT(GOOGLEFINANCE(B1830,""price"",TODAY()-365,TODAY()),1,0),""select Col2 limit 90""))"),162.53855555555552)</f>
        <v>162.5385556</v>
      </c>
      <c r="M1830" s="17">
        <f>IFERROR(__xludf.DUMMYFUNCTION("AVERAGE(QUERY(SORT(GOOGLEFINANCE(B1830,""price"",TODAY()-365,TODAY()),1,0),""select Col2 limit 120""))"),172.65683333333328)</f>
        <v>172.6568333</v>
      </c>
      <c r="N1830" s="19">
        <f>IFERROR(__xludf.DUMMYFUNCTION("AVERAGE(QUERY(SORT(GOOGLEFINANCE(B1830,""price"",TODAY()-365,TODAY()),1,0),""select Col2 limit 200""))"),172.71509999999986)</f>
        <v>172.7151</v>
      </c>
      <c r="O1830" s="20" t="str">
        <f t="shared" si="2"/>
        <v>Avoid</v>
      </c>
      <c r="P1830" s="21" t="str">
        <f t="shared" si="3"/>
        <v/>
      </c>
      <c r="Q1830" s="21" t="str">
        <f t="shared" si="4"/>
        <v/>
      </c>
      <c r="R1830" s="22">
        <f>IFERROR(__xludf.DUMMYFUNCTION("GOOGLEFINANCE(B1830, ""pe"")
"),51.89)</f>
        <v>51.89</v>
      </c>
    </row>
    <row r="1831">
      <c r="A1831" s="9" t="s">
        <v>1839</v>
      </c>
      <c r="B1831" s="11" t="str">
        <f t="shared" si="1"/>
        <v>NSE:DANGEE</v>
      </c>
      <c r="C1831" s="12">
        <f>IFERROR(__xludf.DUMMYFUNCTION("GOOGLEFINANCE(B1831,""marketcap"")/10000000"),73.6000532)</f>
        <v>73.6000532</v>
      </c>
      <c r="D1831" s="13">
        <f>IFERROR(__xludf.DUMMYFUNCTION("GOOGLEFINANCE(B1831,""price"")"),4.78)</f>
        <v>4.78</v>
      </c>
      <c r="E1831" s="14">
        <f>IFERROR(__xludf.DUMMYFUNCTION("GOOGLEFINANCE(B1831,""Volume"")"),34721.0)</f>
        <v>34721</v>
      </c>
      <c r="F1831" s="14">
        <f t="array" ref="F1831">F1830</f>
        <v>14</v>
      </c>
      <c r="G1831" s="15" t="str">
        <f>IFERROR(__xludf.DUMMYFUNCTION("IF(E1831&gt;AVERAGE(INDEX(GOOGLEFINANCE(B1831,""volume"",WORKDAY(TODAY(),-$F$1),TODAY()),,2)),""Breakout"","""")"),"")</f>
        <v/>
      </c>
      <c r="H1831" s="16">
        <f>IFERROR(__xludf.DUMMYFUNCTION("GOOGLEFINANCE(B1831,""price"")"),4.78)</f>
        <v>4.78</v>
      </c>
      <c r="I1831" s="17">
        <f>IFERROR(__xludf.DUMMYFUNCTION("AVERAGE(QUERY(SORT(GOOGLEFINANCE(B1831,""price"",TODAY()-365,TODAY()),1,0),""select Col2 limit 10""))"),4.898999999999999)</f>
        <v>4.899</v>
      </c>
      <c r="J1831" s="17">
        <f>IFERROR(__xludf.DUMMYFUNCTION("AVERAGE(QUERY(SORT(GOOGLEFINANCE(B1831,""price"",TODAY()-365,TODAY()),1,0),""select Col2 limit 30""))"),4.851000000000001)</f>
        <v>4.851</v>
      </c>
      <c r="K1831" s="18">
        <f>IFERROR(__xludf.DUMMYFUNCTION("AVERAGE(QUERY(SORT(GOOGLEFINANCE(B1831,""price"",TODAY()-365,TODAY()),1,0),""select Col2 limit 60""))"),4.694166666666667)</f>
        <v>4.694166667</v>
      </c>
      <c r="L1831" s="17">
        <f>IFERROR(__xludf.DUMMYFUNCTION("AVERAGE(QUERY(SORT(GOOGLEFINANCE(B1831,""price"",TODAY()-365,TODAY()),1,0),""select Col2 limit 90""))"),4.70388888888889)</f>
        <v>4.703888889</v>
      </c>
      <c r="M1831" s="17">
        <f>IFERROR(__xludf.DUMMYFUNCTION("AVERAGE(QUERY(SORT(GOOGLEFINANCE(B1831,""price"",TODAY()-365,TODAY()),1,0),""select Col2 limit 120""))"),4.955749999999998)</f>
        <v>4.95575</v>
      </c>
      <c r="N1831" s="19">
        <f>IFERROR(__xludf.DUMMYFUNCTION("AVERAGE(QUERY(SORT(GOOGLEFINANCE(B1831,""price"",TODAY()-365,TODAY()),1,0),""select Col2 limit 200""))"),5.89135)</f>
        <v>5.89135</v>
      </c>
      <c r="O1831" s="20" t="str">
        <f t="shared" si="2"/>
        <v>Avoid</v>
      </c>
      <c r="P1831" s="21" t="str">
        <f t="shared" si="3"/>
        <v/>
      </c>
      <c r="Q1831" s="21" t="str">
        <f t="shared" si="4"/>
        <v/>
      </c>
      <c r="R1831" s="22" t="str">
        <f>IFERROR(__xludf.DUMMYFUNCTION("GOOGLEFINANCE(B1831, ""pe"")
"),"#N/A")</f>
        <v>#N/A</v>
      </c>
    </row>
    <row r="1832">
      <c r="A1832" s="9" t="s">
        <v>1840</v>
      </c>
      <c r="B1832" s="11" t="str">
        <f t="shared" si="1"/>
        <v>NSE:SUVIDHAA</v>
      </c>
      <c r="C1832" s="12">
        <f>IFERROR(__xludf.DUMMYFUNCTION("GOOGLEFINANCE(B1832,""marketcap"")/10000000"),99.0287579)</f>
        <v>99.0287579</v>
      </c>
      <c r="D1832" s="13">
        <f>IFERROR(__xludf.DUMMYFUNCTION("GOOGLEFINANCE(B1832,""price"")"),4.69)</f>
        <v>4.69</v>
      </c>
      <c r="E1832" s="14">
        <f>IFERROR(__xludf.DUMMYFUNCTION("GOOGLEFINANCE(B1832,""Volume"")"),97941.0)</f>
        <v>97941</v>
      </c>
      <c r="F1832" s="14">
        <f t="array" ref="F1832">F1831</f>
        <v>14</v>
      </c>
      <c r="G1832" s="15" t="str">
        <f>IFERROR(__xludf.DUMMYFUNCTION("IF(E1832&gt;AVERAGE(INDEX(GOOGLEFINANCE(B1832,""volume"",WORKDAY(TODAY(),-$F$1),TODAY()),,2)),""Breakout"","""")"),"")</f>
        <v/>
      </c>
      <c r="H1832" s="16">
        <f>IFERROR(__xludf.DUMMYFUNCTION("GOOGLEFINANCE(B1832,""price"")"),4.69)</f>
        <v>4.69</v>
      </c>
      <c r="I1832" s="17">
        <f>IFERROR(__xludf.DUMMYFUNCTION("AVERAGE(QUERY(SORT(GOOGLEFINANCE(B1832,""price"",TODAY()-365,TODAY()),1,0),""select Col2 limit 10""))"),5.229)</f>
        <v>5.229</v>
      </c>
      <c r="J1832" s="17">
        <f>IFERROR(__xludf.DUMMYFUNCTION("AVERAGE(QUERY(SORT(GOOGLEFINANCE(B1832,""price"",TODAY()-365,TODAY()),1,0),""select Col2 limit 30""))"),4.302666666666667)</f>
        <v>4.302666667</v>
      </c>
      <c r="K1832" s="18">
        <f>IFERROR(__xludf.DUMMYFUNCTION("AVERAGE(QUERY(SORT(GOOGLEFINANCE(B1832,""price"",TODAY()-365,TODAY()),1,0),""select Col2 limit 60""))"),4.070333333333334)</f>
        <v>4.070333333</v>
      </c>
      <c r="L1832" s="17">
        <f>IFERROR(__xludf.DUMMYFUNCTION("AVERAGE(QUERY(SORT(GOOGLEFINANCE(B1832,""price"",TODAY()-365,TODAY()),1,0),""select Col2 limit 90""))"),4.075555555555556)</f>
        <v>4.075555556</v>
      </c>
      <c r="M1832" s="17">
        <f>IFERROR(__xludf.DUMMYFUNCTION("AVERAGE(QUERY(SORT(GOOGLEFINANCE(B1832,""price"",TODAY()-365,TODAY()),1,0),""select Col2 limit 120""))"),4.355166666666666)</f>
        <v>4.355166667</v>
      </c>
      <c r="N1832" s="19">
        <f>IFERROR(__xludf.DUMMYFUNCTION("AVERAGE(QUERY(SORT(GOOGLEFINANCE(B1832,""price"",TODAY()-365,TODAY()),1,0),""select Col2 limit 200""))"),4.873350000000001)</f>
        <v>4.87335</v>
      </c>
      <c r="O1832" s="20" t="str">
        <f t="shared" si="2"/>
        <v>Avoid</v>
      </c>
      <c r="P1832" s="21" t="str">
        <f t="shared" si="3"/>
        <v/>
      </c>
      <c r="Q1832" s="21" t="str">
        <f t="shared" si="4"/>
        <v/>
      </c>
      <c r="R1832" s="22" t="str">
        <f>IFERROR(__xludf.DUMMYFUNCTION("GOOGLEFINANCE(B1832, ""pe"")
"),"#N/A")</f>
        <v>#N/A</v>
      </c>
    </row>
    <row r="1833">
      <c r="A1833" s="9" t="s">
        <v>1841</v>
      </c>
      <c r="B1833" s="11" t="str">
        <f t="shared" si="1"/>
        <v>NSE:HISARMETAL</v>
      </c>
      <c r="C1833" s="12">
        <f>IFERROR(__xludf.DUMMYFUNCTION("GOOGLEFINANCE(B1833,""marketcap"")/10000000"),110.257196)</f>
        <v>110.257196</v>
      </c>
      <c r="D1833" s="13">
        <f>IFERROR(__xludf.DUMMYFUNCTION("GOOGLEFINANCE(B1833,""price"")"),204.2)</f>
        <v>204.2</v>
      </c>
      <c r="E1833" s="14">
        <f>IFERROR(__xludf.DUMMYFUNCTION("GOOGLEFINANCE(B1833,""Volume"")"),4832.0)</f>
        <v>4832</v>
      </c>
      <c r="F1833" s="14">
        <f t="array" ref="F1833">F1832</f>
        <v>14</v>
      </c>
      <c r="G1833" s="15" t="str">
        <f>IFERROR(__xludf.DUMMYFUNCTION("IF(E1833&gt;AVERAGE(INDEX(GOOGLEFINANCE(B1833,""volume"",WORKDAY(TODAY(),-$F$1),TODAY()),,2)),""Breakout"","""")"),"")</f>
        <v/>
      </c>
      <c r="H1833" s="16">
        <f>IFERROR(__xludf.DUMMYFUNCTION("GOOGLEFINANCE(B1833,""price"")"),204.2)</f>
        <v>204.2</v>
      </c>
      <c r="I1833" s="17">
        <f>IFERROR(__xludf.DUMMYFUNCTION("AVERAGE(QUERY(SORT(GOOGLEFINANCE(B1833,""price"",TODAY()-365,TODAY()),1,0),""select Col2 limit 10""))"),198.13599999999997)</f>
        <v>198.136</v>
      </c>
      <c r="J1833" s="17">
        <f>IFERROR(__xludf.DUMMYFUNCTION("AVERAGE(QUERY(SORT(GOOGLEFINANCE(B1833,""price"",TODAY()-365,TODAY()),1,0),""select Col2 limit 30""))"),196.98100000000005)</f>
        <v>196.981</v>
      </c>
      <c r="K1833" s="18">
        <f>IFERROR(__xludf.DUMMYFUNCTION("AVERAGE(QUERY(SORT(GOOGLEFINANCE(B1833,""price"",TODAY()-365,TODAY()),1,0),""select Col2 limit 60""))"),196.4626666666667)</f>
        <v>196.4626667</v>
      </c>
      <c r="L1833" s="17">
        <f>IFERROR(__xludf.DUMMYFUNCTION("AVERAGE(QUERY(SORT(GOOGLEFINANCE(B1833,""price"",TODAY()-365,TODAY()),1,0),""select Col2 limit 90""))"),198.11577777777785)</f>
        <v>198.1157778</v>
      </c>
      <c r="M1833" s="17">
        <f>IFERROR(__xludf.DUMMYFUNCTION("AVERAGE(QUERY(SORT(GOOGLEFINANCE(B1833,""price"",TODAY()-365,TODAY()),1,0),""select Col2 limit 120""))"),196.1984166666667)</f>
        <v>196.1984167</v>
      </c>
      <c r="N1833" s="19">
        <f>IFERROR(__xludf.DUMMYFUNCTION("AVERAGE(QUERY(SORT(GOOGLEFINANCE(B1833,""price"",TODAY()-365,TODAY()),1,0),""select Col2 limit 200""))"),194.6083)</f>
        <v>194.6083</v>
      </c>
      <c r="O1833" s="20" t="str">
        <f t="shared" si="2"/>
        <v>Avoid</v>
      </c>
      <c r="P1833" s="21" t="str">
        <f t="shared" si="3"/>
        <v/>
      </c>
      <c r="Q1833" s="21" t="str">
        <f t="shared" si="4"/>
        <v/>
      </c>
      <c r="R1833" s="22">
        <f>IFERROR(__xludf.DUMMYFUNCTION("GOOGLEFINANCE(B1833, ""pe"")
"),34.67)</f>
        <v>34.67</v>
      </c>
    </row>
    <row r="1834">
      <c r="A1834" s="9" t="s">
        <v>1842</v>
      </c>
      <c r="B1834" s="11" t="str">
        <f t="shared" si="1"/>
        <v>NSE:TOKYOPLAST</v>
      </c>
      <c r="C1834" s="12">
        <f>IFERROR(__xludf.DUMMYFUNCTION("GOOGLEFINANCE(B1834,""marketcap"")/10000000"),112.0690218)</f>
        <v>112.0690218</v>
      </c>
      <c r="D1834" s="13">
        <f>IFERROR(__xludf.DUMMYFUNCTION("GOOGLEFINANCE(B1834,""price"")"),117.95)</f>
        <v>117.95</v>
      </c>
      <c r="E1834" s="14">
        <f>IFERROR(__xludf.DUMMYFUNCTION("GOOGLEFINANCE(B1834,""Volume"")"),8746.0)</f>
        <v>8746</v>
      </c>
      <c r="F1834" s="14">
        <f t="array" ref="F1834">F1833</f>
        <v>14</v>
      </c>
      <c r="G1834" s="15" t="str">
        <f>IFERROR(__xludf.DUMMYFUNCTION("IF(E1834&gt;AVERAGE(INDEX(GOOGLEFINANCE(B1834,""volume"",WORKDAY(TODAY(),-$F$1),TODAY()),,2)),""Breakout"","""")"),"")</f>
        <v/>
      </c>
      <c r="H1834" s="16">
        <f>IFERROR(__xludf.DUMMYFUNCTION("GOOGLEFINANCE(B1834,""price"")"),117.95)</f>
        <v>117.95</v>
      </c>
      <c r="I1834" s="17">
        <f>IFERROR(__xludf.DUMMYFUNCTION("AVERAGE(QUERY(SORT(GOOGLEFINANCE(B1834,""price"",TODAY()-365,TODAY()),1,0),""select Col2 limit 10""))"),127.431)</f>
        <v>127.431</v>
      </c>
      <c r="J1834" s="17">
        <f>IFERROR(__xludf.DUMMYFUNCTION("AVERAGE(QUERY(SORT(GOOGLEFINANCE(B1834,""price"",TODAY()-365,TODAY()),1,0),""select Col2 limit 30""))"),131.11866666666668)</f>
        <v>131.1186667</v>
      </c>
      <c r="K1834" s="18">
        <f>IFERROR(__xludf.DUMMYFUNCTION("AVERAGE(QUERY(SORT(GOOGLEFINANCE(B1834,""price"",TODAY()-365,TODAY()),1,0),""select Col2 limit 60""))"),133.8286666666667)</f>
        <v>133.8286667</v>
      </c>
      <c r="L1834" s="17">
        <f>IFERROR(__xludf.DUMMYFUNCTION("AVERAGE(QUERY(SORT(GOOGLEFINANCE(B1834,""price"",TODAY()-365,TODAY()),1,0),""select Col2 limit 90""))"),130.90488888888885)</f>
        <v>130.9048889</v>
      </c>
      <c r="M1834" s="17">
        <f>IFERROR(__xludf.DUMMYFUNCTION("AVERAGE(QUERY(SORT(GOOGLEFINANCE(B1834,""price"",TODAY()-365,TODAY()),1,0),""select Col2 limit 120""))"),126.80808333333329)</f>
        <v>126.8080833</v>
      </c>
      <c r="N1834" s="19">
        <f>IFERROR(__xludf.DUMMYFUNCTION("AVERAGE(QUERY(SORT(GOOGLEFINANCE(B1834,""price"",TODAY()-365,TODAY()),1,0),""select Col2 limit 200""))"),125.17039999999997)</f>
        <v>125.1704</v>
      </c>
      <c r="O1834" s="20" t="str">
        <f t="shared" si="2"/>
        <v>Avoid</v>
      </c>
      <c r="P1834" s="21" t="str">
        <f t="shared" si="3"/>
        <v/>
      </c>
      <c r="Q1834" s="21" t="str">
        <f t="shared" si="4"/>
        <v/>
      </c>
      <c r="R1834" s="22">
        <f>IFERROR(__xludf.DUMMYFUNCTION("GOOGLEFINANCE(B1834, ""pe"")
"),109.26)</f>
        <v>109.26</v>
      </c>
    </row>
    <row r="1835">
      <c r="A1835" s="9" t="s">
        <v>1843</v>
      </c>
      <c r="B1835" s="11" t="str">
        <f t="shared" si="1"/>
        <v>NSE:SOMATEX</v>
      </c>
      <c r="C1835" s="12">
        <f>IFERROR(__xludf.DUMMYFUNCTION("GOOGLEFINANCE(B1835,""marketcap"")/10000000"),325.7713564)</f>
        <v>325.7713564</v>
      </c>
      <c r="D1835" s="13">
        <f>IFERROR(__xludf.DUMMYFUNCTION("GOOGLEFINANCE(B1835,""price"")"),98.62)</f>
        <v>98.62</v>
      </c>
      <c r="E1835" s="14">
        <f>IFERROR(__xludf.DUMMYFUNCTION("GOOGLEFINANCE(B1835,""Volume"")"),4966.0)</f>
        <v>4966</v>
      </c>
      <c r="F1835" s="14">
        <f t="array" ref="F1835">F1834</f>
        <v>14</v>
      </c>
      <c r="G1835" s="15" t="str">
        <f>IFERROR(__xludf.DUMMYFUNCTION("IF(E1835&gt;AVERAGE(INDEX(GOOGLEFINANCE(B1835,""volume"",WORKDAY(TODAY(),-$F$1),TODAY()),,2)),""Breakout"","""")"),"")</f>
        <v/>
      </c>
      <c r="H1835" s="16">
        <f>IFERROR(__xludf.DUMMYFUNCTION("GOOGLEFINANCE(B1835,""price"")"),98.62)</f>
        <v>98.62</v>
      </c>
      <c r="I1835" s="17">
        <f>IFERROR(__xludf.DUMMYFUNCTION("AVERAGE(QUERY(SORT(GOOGLEFINANCE(B1835,""price"",TODAY()-365,TODAY()),1,0),""select Col2 limit 10""))"),91.125)</f>
        <v>91.125</v>
      </c>
      <c r="J1835" s="17">
        <f>IFERROR(__xludf.DUMMYFUNCTION("AVERAGE(QUERY(SORT(GOOGLEFINANCE(B1835,""price"",TODAY()-365,TODAY()),1,0),""select Col2 limit 30""))"),60.775000000000006)</f>
        <v>60.775</v>
      </c>
      <c r="K1835" s="18">
        <f>IFERROR(__xludf.DUMMYFUNCTION("AVERAGE(QUERY(SORT(GOOGLEFINANCE(B1835,""price"",TODAY()-365,TODAY()),1,0),""select Col2 limit 60""))"),52.472500000000004)</f>
        <v>52.4725</v>
      </c>
      <c r="L1835" s="17">
        <f>IFERROR(__xludf.DUMMYFUNCTION("AVERAGE(QUERY(SORT(GOOGLEFINANCE(B1835,""price"",TODAY()-365,TODAY()),1,0),""select Col2 limit 90""))"),48.707333333333345)</f>
        <v>48.70733333</v>
      </c>
      <c r="M1835" s="17">
        <f>IFERROR(__xludf.DUMMYFUNCTION("AVERAGE(QUERY(SORT(GOOGLEFINANCE(B1835,""price"",TODAY()-365,TODAY()),1,0),""select Col2 limit 120""))"),46.4075)</f>
        <v>46.4075</v>
      </c>
      <c r="N1835" s="19">
        <f>IFERROR(__xludf.DUMMYFUNCTION("AVERAGE(QUERY(SORT(GOOGLEFINANCE(B1835,""price"",TODAY()-365,TODAY()),1,0),""select Col2 limit 200""))"),46.55915000000001)</f>
        <v>46.55915</v>
      </c>
      <c r="O1835" s="20" t="str">
        <f t="shared" si="2"/>
        <v>Avoid</v>
      </c>
      <c r="P1835" s="21" t="str">
        <f t="shared" si="3"/>
        <v/>
      </c>
      <c r="Q1835" s="21" t="str">
        <f t="shared" si="4"/>
        <v/>
      </c>
      <c r="R1835" s="22">
        <f>IFERROR(__xludf.DUMMYFUNCTION("GOOGLEFINANCE(B1835, ""pe"")
"),4.7)</f>
        <v>4.7</v>
      </c>
    </row>
    <row r="1836">
      <c r="A1836" s="9" t="s">
        <v>1844</v>
      </c>
      <c r="B1836" s="11" t="str">
        <f t="shared" si="1"/>
        <v>NSE:GROBTEA</v>
      </c>
      <c r="C1836" s="12">
        <f>IFERROR(__xludf.DUMMYFUNCTION("GOOGLEFINANCE(B1836,""marketcap"")/10000000"),127.3912584)</f>
        <v>127.3912584</v>
      </c>
      <c r="D1836" s="13">
        <f>IFERROR(__xludf.DUMMYFUNCTION("GOOGLEFINANCE(B1836,""price"")"),1096.0)</f>
        <v>1096</v>
      </c>
      <c r="E1836" s="14">
        <f>IFERROR(__xludf.DUMMYFUNCTION("GOOGLEFINANCE(B1836,""Volume"")"),1.0)</f>
        <v>1</v>
      </c>
      <c r="F1836" s="14">
        <f t="array" ref="F1836">F1835</f>
        <v>14</v>
      </c>
      <c r="G1836" s="15" t="str">
        <f>IFERROR(__xludf.DUMMYFUNCTION("IF(E1836&gt;AVERAGE(INDEX(GOOGLEFINANCE(B1836,""volume"",WORKDAY(TODAY(),-$F$1),TODAY()),,2)),""Breakout"","""")"),"")</f>
        <v/>
      </c>
      <c r="H1836" s="16">
        <f>IFERROR(__xludf.DUMMYFUNCTION("GOOGLEFINANCE(B1836,""price"")"),1096.0)</f>
        <v>1096</v>
      </c>
      <c r="I1836" s="17">
        <f>IFERROR(__xludf.DUMMYFUNCTION("AVERAGE(QUERY(SORT(GOOGLEFINANCE(B1836,""price"",TODAY()-365,TODAY()),1,0),""select Col2 limit 10""))"),1119.43)</f>
        <v>1119.43</v>
      </c>
      <c r="J1836" s="17">
        <f>IFERROR(__xludf.DUMMYFUNCTION("AVERAGE(QUERY(SORT(GOOGLEFINANCE(B1836,""price"",TODAY()-365,TODAY()),1,0),""select Col2 limit 30""))"),1133.05)</f>
        <v>1133.05</v>
      </c>
      <c r="K1836" s="18">
        <f>IFERROR(__xludf.DUMMYFUNCTION("AVERAGE(QUERY(SORT(GOOGLEFINANCE(B1836,""price"",TODAY()-365,TODAY()),1,0),""select Col2 limit 60""))"),1068.4775)</f>
        <v>1068.4775</v>
      </c>
      <c r="L1836" s="17">
        <f>IFERROR(__xludf.DUMMYFUNCTION("AVERAGE(QUERY(SORT(GOOGLEFINANCE(B1836,""price"",TODAY()-365,TODAY()),1,0),""select Col2 limit 90""))"),1007.6316666666664)</f>
        <v>1007.631667</v>
      </c>
      <c r="M1836" s="17">
        <f>IFERROR(__xludf.DUMMYFUNCTION("AVERAGE(QUERY(SORT(GOOGLEFINANCE(B1836,""price"",TODAY()-365,TODAY()),1,0),""select Col2 limit 120""))"),985.7537499999996)</f>
        <v>985.75375</v>
      </c>
      <c r="N1836" s="19">
        <f>IFERROR(__xludf.DUMMYFUNCTION("AVERAGE(QUERY(SORT(GOOGLEFINANCE(B1836,""price"",TODAY()-365,TODAY()),1,0),""select Col2 limit 200""))"),1060.1054999999992)</f>
        <v>1060.1055</v>
      </c>
      <c r="O1836" s="20" t="str">
        <f t="shared" si="2"/>
        <v>Avoid</v>
      </c>
      <c r="P1836" s="21" t="str">
        <f t="shared" si="3"/>
        <v/>
      </c>
      <c r="Q1836" s="21" t="str">
        <f t="shared" si="4"/>
        <v/>
      </c>
      <c r="R1836" s="22">
        <f>IFERROR(__xludf.DUMMYFUNCTION("GOOGLEFINANCE(B1836, ""pe"")
"),12.66)</f>
        <v>12.66</v>
      </c>
    </row>
    <row r="1837">
      <c r="A1837" s="9" t="s">
        <v>1845</v>
      </c>
      <c r="B1837" s="11" t="str">
        <f t="shared" si="1"/>
        <v>NSE:SIMBHALS</v>
      </c>
      <c r="C1837" s="12">
        <f>IFERROR(__xludf.DUMMYFUNCTION("GOOGLEFINANCE(B1837,""marketcap"")/10000000"),64.9731765)</f>
        <v>64.9731765</v>
      </c>
      <c r="D1837" s="13">
        <f>IFERROR(__xludf.DUMMYFUNCTION("GOOGLEFINANCE(B1837,""price"")"),15.74)</f>
        <v>15.74</v>
      </c>
      <c r="E1837" s="14">
        <f>IFERROR(__xludf.DUMMYFUNCTION("GOOGLEFINANCE(B1837,""Volume"")"),12039.0)</f>
        <v>12039</v>
      </c>
      <c r="F1837" s="14">
        <f t="array" ref="F1837">F1836</f>
        <v>14</v>
      </c>
      <c r="G1837" s="15" t="str">
        <f>IFERROR(__xludf.DUMMYFUNCTION("IF(E1837&gt;AVERAGE(INDEX(GOOGLEFINANCE(B1837,""volume"",WORKDAY(TODAY(),-$F$1),TODAY()),,2)),""Breakout"","""")"),"")</f>
        <v/>
      </c>
      <c r="H1837" s="16">
        <f>IFERROR(__xludf.DUMMYFUNCTION("GOOGLEFINANCE(B1837,""price"")"),15.74)</f>
        <v>15.74</v>
      </c>
      <c r="I1837" s="17">
        <f>IFERROR(__xludf.DUMMYFUNCTION("AVERAGE(QUERY(SORT(GOOGLEFINANCE(B1837,""price"",TODAY()-365,TODAY()),1,0),""select Col2 limit 10""))"),16.236)</f>
        <v>16.236</v>
      </c>
      <c r="J1837" s="17">
        <f>IFERROR(__xludf.DUMMYFUNCTION("AVERAGE(QUERY(SORT(GOOGLEFINANCE(B1837,""price"",TODAY()-365,TODAY()),1,0),""select Col2 limit 30""))"),16.910666666666668)</f>
        <v>16.91066667</v>
      </c>
      <c r="K1837" s="18">
        <f>IFERROR(__xludf.DUMMYFUNCTION("AVERAGE(QUERY(SORT(GOOGLEFINANCE(B1837,""price"",TODAY()-365,TODAY()),1,0),""select Col2 limit 60""))"),16.230666666666668)</f>
        <v>16.23066667</v>
      </c>
      <c r="L1837" s="17">
        <f>IFERROR(__xludf.DUMMYFUNCTION("AVERAGE(QUERY(SORT(GOOGLEFINANCE(B1837,""price"",TODAY()-365,TODAY()),1,0),""select Col2 limit 90""))"),15.424000000000001)</f>
        <v>15.424</v>
      </c>
      <c r="M1837" s="17">
        <f>IFERROR(__xludf.DUMMYFUNCTION("AVERAGE(QUERY(SORT(GOOGLEFINANCE(B1837,""price"",TODAY()-365,TODAY()),1,0),""select Col2 limit 120""))"),15.438250000000004)</f>
        <v>15.43825</v>
      </c>
      <c r="N1837" s="19">
        <f>IFERROR(__xludf.DUMMYFUNCTION("AVERAGE(QUERY(SORT(GOOGLEFINANCE(B1837,""price"",TODAY()-365,TODAY()),1,0),""select Col2 limit 200""))"),17.831250000000004)</f>
        <v>17.83125</v>
      </c>
      <c r="O1837" s="20" t="str">
        <f t="shared" si="2"/>
        <v>Avoid</v>
      </c>
      <c r="P1837" s="21" t="str">
        <f t="shared" si="3"/>
        <v/>
      </c>
      <c r="Q1837" s="21" t="str">
        <f t="shared" si="4"/>
        <v/>
      </c>
      <c r="R1837" s="22">
        <f>IFERROR(__xludf.DUMMYFUNCTION("GOOGLEFINANCE(B1837, ""pe"")
"),2.71)</f>
        <v>2.71</v>
      </c>
    </row>
    <row r="1838">
      <c r="A1838" s="9" t="s">
        <v>1846</v>
      </c>
      <c r="B1838" s="11" t="str">
        <f t="shared" si="1"/>
        <v>NSE:AJOONI</v>
      </c>
      <c r="C1838" s="12">
        <f>IFERROR(__xludf.DUMMYFUNCTION("GOOGLEFINANCE(B1838,""marketcap"")/10000000"),96.1118716)</f>
        <v>96.1118716</v>
      </c>
      <c r="D1838" s="13">
        <f>IFERROR(__xludf.DUMMYFUNCTION("GOOGLEFINANCE(B1838,""price"")"),5.58)</f>
        <v>5.58</v>
      </c>
      <c r="E1838" s="14">
        <f>IFERROR(__xludf.DUMMYFUNCTION("GOOGLEFINANCE(B1838,""Volume"")"),139090.0)</f>
        <v>139090</v>
      </c>
      <c r="F1838" s="14">
        <f t="array" ref="F1838">F1837</f>
        <v>14</v>
      </c>
      <c r="G1838" s="15" t="str">
        <f>IFERROR(__xludf.DUMMYFUNCTION("IF(E1838&gt;AVERAGE(INDEX(GOOGLEFINANCE(B1838,""volume"",WORKDAY(TODAY(),-$F$1),TODAY()),,2)),""Breakout"","""")"),"")</f>
        <v/>
      </c>
      <c r="H1838" s="16">
        <f>IFERROR(__xludf.DUMMYFUNCTION("GOOGLEFINANCE(B1838,""price"")"),5.58)</f>
        <v>5.58</v>
      </c>
      <c r="I1838" s="17">
        <f>IFERROR(__xludf.DUMMYFUNCTION("AVERAGE(QUERY(SORT(GOOGLEFINANCE(B1838,""price"",TODAY()-365,TODAY()),1,0),""select Col2 limit 10""))"),5.699)</f>
        <v>5.699</v>
      </c>
      <c r="J1838" s="17">
        <f>IFERROR(__xludf.DUMMYFUNCTION("AVERAGE(QUERY(SORT(GOOGLEFINANCE(B1838,""price"",TODAY()-365,TODAY()),1,0),""select Col2 limit 30""))"),5.7636666666666665)</f>
        <v>5.763666667</v>
      </c>
      <c r="K1838" s="18">
        <f>IFERROR(__xludf.DUMMYFUNCTION("AVERAGE(QUERY(SORT(GOOGLEFINANCE(B1838,""price"",TODAY()-365,TODAY()),1,0),""select Col2 limit 60""))"),5.777500000000002)</f>
        <v>5.7775</v>
      </c>
      <c r="L1838" s="17">
        <f>IFERROR(__xludf.DUMMYFUNCTION("AVERAGE(QUERY(SORT(GOOGLEFINANCE(B1838,""price"",TODAY()-365,TODAY()),1,0),""select Col2 limit 90""))"),5.863888888888888)</f>
        <v>5.863888889</v>
      </c>
      <c r="M1838" s="17">
        <f>IFERROR(__xludf.DUMMYFUNCTION("AVERAGE(QUERY(SORT(GOOGLEFINANCE(B1838,""price"",TODAY()-365,TODAY()),1,0),""select Col2 limit 120""))"),6.1655833333333305)</f>
        <v>6.165583333</v>
      </c>
      <c r="N1838" s="19">
        <f>IFERROR(__xludf.DUMMYFUNCTION("AVERAGE(QUERY(SORT(GOOGLEFINANCE(B1838,""price"",TODAY()-365,TODAY()),1,0),""select Col2 limit 200""))"),6.780549999999996)</f>
        <v>6.78055</v>
      </c>
      <c r="O1838" s="20" t="str">
        <f t="shared" si="2"/>
        <v>Avoid</v>
      </c>
      <c r="P1838" s="21" t="str">
        <f t="shared" si="3"/>
        <v/>
      </c>
      <c r="Q1838" s="21" t="str">
        <f t="shared" si="4"/>
        <v/>
      </c>
      <c r="R1838" s="22">
        <f>IFERROR(__xludf.DUMMYFUNCTION("GOOGLEFINANCE(B1838, ""pe"")
"),27.9)</f>
        <v>27.9</v>
      </c>
    </row>
    <row r="1839">
      <c r="A1839" s="9" t="s">
        <v>1847</v>
      </c>
      <c r="B1839" s="11" t="str">
        <f t="shared" si="1"/>
        <v>NSE:KARMAENG</v>
      </c>
      <c r="C1839" s="12">
        <f>IFERROR(__xludf.DUMMYFUNCTION("GOOGLEFINANCE(B1839,""marketcap"")/10000000"),69.038865)</f>
        <v>69.038865</v>
      </c>
      <c r="D1839" s="13">
        <f>IFERROR(__xludf.DUMMYFUNCTION("GOOGLEFINANCE(B1839,""price"")"),65.0)</f>
        <v>65</v>
      </c>
      <c r="E1839" s="14">
        <f>IFERROR(__xludf.DUMMYFUNCTION("GOOGLEFINANCE(B1839,""Volume"")"),5378.0)</f>
        <v>5378</v>
      </c>
      <c r="F1839" s="14">
        <f t="array" ref="F1839">F1838</f>
        <v>14</v>
      </c>
      <c r="G1839" s="15" t="str">
        <f>IFERROR(__xludf.DUMMYFUNCTION("IF(E1839&gt;AVERAGE(INDEX(GOOGLEFINANCE(B1839,""volume"",WORKDAY(TODAY(),-$F$1),TODAY()),,2)),""Breakout"","""")"),"Breakout")</f>
        <v>Breakout</v>
      </c>
      <c r="H1839" s="16">
        <f>IFERROR(__xludf.DUMMYFUNCTION("GOOGLEFINANCE(B1839,""price"")"),65.0)</f>
        <v>65</v>
      </c>
      <c r="I1839" s="17">
        <f>IFERROR(__xludf.DUMMYFUNCTION("AVERAGE(QUERY(SORT(GOOGLEFINANCE(B1839,""price"",TODAY()-365,TODAY()),1,0),""select Col2 limit 10""))"),65.985)</f>
        <v>65.985</v>
      </c>
      <c r="J1839" s="17">
        <f>IFERROR(__xludf.DUMMYFUNCTION("AVERAGE(QUERY(SORT(GOOGLEFINANCE(B1839,""price"",TODAY()-365,TODAY()),1,0),""select Col2 limit 30""))"),70.29933333333334)</f>
        <v>70.29933333</v>
      </c>
      <c r="K1839" s="18">
        <f>IFERROR(__xludf.DUMMYFUNCTION("AVERAGE(QUERY(SORT(GOOGLEFINANCE(B1839,""price"",TODAY()-365,TODAY()),1,0),""select Col2 limit 60""))"),64.87916666666668)</f>
        <v>64.87916667</v>
      </c>
      <c r="L1839" s="17">
        <f>IFERROR(__xludf.DUMMYFUNCTION("AVERAGE(QUERY(SORT(GOOGLEFINANCE(B1839,""price"",TODAY()-365,TODAY()),1,0),""select Col2 limit 90""))"),61.27444444444446)</f>
        <v>61.27444444</v>
      </c>
      <c r="M1839" s="17">
        <f>IFERROR(__xludf.DUMMYFUNCTION("AVERAGE(QUERY(SORT(GOOGLEFINANCE(B1839,""price"",TODAY()-365,TODAY()),1,0),""select Col2 limit 120""))"),60.038166666666676)</f>
        <v>60.03816667</v>
      </c>
      <c r="N1839" s="19">
        <f>IFERROR(__xludf.DUMMYFUNCTION("AVERAGE(QUERY(SORT(GOOGLEFINANCE(B1839,""price"",TODAY()-365,TODAY()),1,0),""select Col2 limit 200""))"),64.00060000000002)</f>
        <v>64.0006</v>
      </c>
      <c r="O1839" s="20" t="str">
        <f t="shared" si="2"/>
        <v>Avoid</v>
      </c>
      <c r="P1839" s="21" t="str">
        <f t="shared" si="3"/>
        <v/>
      </c>
      <c r="Q1839" s="21" t="str">
        <f t="shared" si="4"/>
        <v/>
      </c>
      <c r="R1839" s="22">
        <f>IFERROR(__xludf.DUMMYFUNCTION("GOOGLEFINANCE(B1839, ""pe"")
"),48.15)</f>
        <v>48.15</v>
      </c>
    </row>
    <row r="1840">
      <c r="A1840" s="9" t="s">
        <v>1848</v>
      </c>
      <c r="B1840" s="11" t="str">
        <f t="shared" si="1"/>
        <v>NSE:GANGAFORGE</v>
      </c>
      <c r="C1840" s="12">
        <f>IFERROR(__xludf.DUMMYFUNCTION("GOOGLEFINANCE(B1840,""marketcap"")/10000000"),50.1464187)</f>
        <v>50.1464187</v>
      </c>
      <c r="D1840" s="13">
        <f>IFERROR(__xludf.DUMMYFUNCTION("GOOGLEFINANCE(B1840,""price"")"),3.72)</f>
        <v>3.72</v>
      </c>
      <c r="E1840" s="14">
        <f>IFERROR(__xludf.DUMMYFUNCTION("GOOGLEFINANCE(B1840,""Volume"")"),159328.0)</f>
        <v>159328</v>
      </c>
      <c r="F1840" s="14">
        <f t="array" ref="F1840">F1839</f>
        <v>14</v>
      </c>
      <c r="G1840" s="15" t="str">
        <f>IFERROR(__xludf.DUMMYFUNCTION("IF(E1840&gt;AVERAGE(INDEX(GOOGLEFINANCE(B1840,""volume"",WORKDAY(TODAY(),-$F$1),TODAY()),,2)),""Breakout"","""")"),"")</f>
        <v/>
      </c>
      <c r="H1840" s="16">
        <f>IFERROR(__xludf.DUMMYFUNCTION("GOOGLEFINANCE(B1840,""price"")"),3.72)</f>
        <v>3.72</v>
      </c>
      <c r="I1840" s="17">
        <f>IFERROR(__xludf.DUMMYFUNCTION("AVERAGE(QUERY(SORT(GOOGLEFINANCE(B1840,""price"",TODAY()-365,TODAY()),1,0),""select Col2 limit 10""))"),3.821)</f>
        <v>3.821</v>
      </c>
      <c r="J1840" s="17">
        <f>IFERROR(__xludf.DUMMYFUNCTION("AVERAGE(QUERY(SORT(GOOGLEFINANCE(B1840,""price"",TODAY()-365,TODAY()),1,0),""select Col2 limit 30""))"),3.9029999999999996)</f>
        <v>3.903</v>
      </c>
      <c r="K1840" s="18">
        <f>IFERROR(__xludf.DUMMYFUNCTION("AVERAGE(QUERY(SORT(GOOGLEFINANCE(B1840,""price"",TODAY()-365,TODAY()),1,0),""select Col2 limit 60""))"),4.266666666666667)</f>
        <v>4.266666667</v>
      </c>
      <c r="L1840" s="17">
        <f>IFERROR(__xludf.DUMMYFUNCTION("AVERAGE(QUERY(SORT(GOOGLEFINANCE(B1840,""price"",TODAY()-365,TODAY()),1,0),""select Col2 limit 90""))"),4.469222222222222)</f>
        <v>4.469222222</v>
      </c>
      <c r="M1840" s="17">
        <f>IFERROR(__xludf.DUMMYFUNCTION("AVERAGE(QUERY(SORT(GOOGLEFINANCE(B1840,""price"",TODAY()-365,TODAY()),1,0),""select Col2 limit 120""))"),4.823333333333335)</f>
        <v>4.823333333</v>
      </c>
      <c r="N1840" s="19">
        <f>IFERROR(__xludf.DUMMYFUNCTION("AVERAGE(QUERY(SORT(GOOGLEFINANCE(B1840,""price"",TODAY()-365,TODAY()),1,0),""select Col2 limit 200""))"),5.730599999999997)</f>
        <v>5.7306</v>
      </c>
      <c r="O1840" s="20" t="str">
        <f t="shared" si="2"/>
        <v>Avoid</v>
      </c>
      <c r="P1840" s="21" t="str">
        <f t="shared" si="3"/>
        <v/>
      </c>
      <c r="Q1840" s="21" t="str">
        <f t="shared" si="4"/>
        <v/>
      </c>
      <c r="R1840" s="22">
        <f>IFERROR(__xludf.DUMMYFUNCTION("GOOGLEFINANCE(B1840, ""pe"")
"),73.6)</f>
        <v>73.6</v>
      </c>
    </row>
    <row r="1841">
      <c r="A1841" s="9" t="s">
        <v>1849</v>
      </c>
      <c r="B1841" s="11" t="str">
        <f t="shared" si="1"/>
        <v>NSE:PNC</v>
      </c>
      <c r="C1841" s="12">
        <f>IFERROR(__xludf.DUMMYFUNCTION("GOOGLEFINANCE(B1841,""marketcap"")/10000000"),38.7426269)</f>
        <v>38.7426269</v>
      </c>
      <c r="D1841" s="13">
        <f>IFERROR(__xludf.DUMMYFUNCTION("GOOGLEFINANCE(B1841,""price"")"),26.78)</f>
        <v>26.78</v>
      </c>
      <c r="E1841" s="14">
        <f>IFERROR(__xludf.DUMMYFUNCTION("GOOGLEFINANCE(B1841,""Volume"")"),455.0)</f>
        <v>455</v>
      </c>
      <c r="F1841" s="14">
        <f t="array" ref="F1841">F1840</f>
        <v>14</v>
      </c>
      <c r="G1841" s="15" t="str">
        <f>IFERROR(__xludf.DUMMYFUNCTION("IF(E1841&gt;AVERAGE(INDEX(GOOGLEFINANCE(B1841,""volume"",WORKDAY(TODAY(),-$F$1),TODAY()),,2)),""Breakout"","""")"),"")</f>
        <v/>
      </c>
      <c r="H1841" s="16">
        <f>IFERROR(__xludf.DUMMYFUNCTION("GOOGLEFINANCE(B1841,""price"")"),26.78)</f>
        <v>26.78</v>
      </c>
      <c r="I1841" s="17">
        <f>IFERROR(__xludf.DUMMYFUNCTION("AVERAGE(QUERY(SORT(GOOGLEFINANCE(B1841,""price"",TODAY()-365,TODAY()),1,0),""select Col2 limit 10""))"),29.576999999999998)</f>
        <v>29.577</v>
      </c>
      <c r="J1841" s="17">
        <f>IFERROR(__xludf.DUMMYFUNCTION("AVERAGE(QUERY(SORT(GOOGLEFINANCE(B1841,""price"",TODAY()-365,TODAY()),1,0),""select Col2 limit 30""))"),28.74966666666667)</f>
        <v>28.74966667</v>
      </c>
      <c r="K1841" s="18">
        <f>IFERROR(__xludf.DUMMYFUNCTION("AVERAGE(QUERY(SORT(GOOGLEFINANCE(B1841,""price"",TODAY()-365,TODAY()),1,0),""select Col2 limit 60""))"),28.156833333333335)</f>
        <v>28.15683333</v>
      </c>
      <c r="L1841" s="17">
        <f>IFERROR(__xludf.DUMMYFUNCTION("AVERAGE(QUERY(SORT(GOOGLEFINANCE(B1841,""price"",TODAY()-365,TODAY()),1,0),""select Col2 limit 90""))"),27.22688888888889)</f>
        <v>27.22688889</v>
      </c>
      <c r="M1841" s="17">
        <f>IFERROR(__xludf.DUMMYFUNCTION("AVERAGE(QUERY(SORT(GOOGLEFINANCE(B1841,""price"",TODAY()-365,TODAY()),1,0),""select Col2 limit 120""))"),28.677749999999996)</f>
        <v>28.67775</v>
      </c>
      <c r="N1841" s="19">
        <f>IFERROR(__xludf.DUMMYFUNCTION("AVERAGE(QUERY(SORT(GOOGLEFINANCE(B1841,""price"",TODAY()-365,TODAY()),1,0),""select Col2 limit 200""))"),40.4584)</f>
        <v>40.4584</v>
      </c>
      <c r="O1841" s="20" t="str">
        <f t="shared" si="2"/>
        <v>Avoid</v>
      </c>
      <c r="P1841" s="21" t="str">
        <f t="shared" si="3"/>
        <v/>
      </c>
      <c r="Q1841" s="21" t="str">
        <f t="shared" si="4"/>
        <v/>
      </c>
      <c r="R1841" s="22" t="str">
        <f>IFERROR(__xludf.DUMMYFUNCTION("GOOGLEFINANCE(B1841, ""pe"")
"),"#N/A")</f>
        <v>#N/A</v>
      </c>
    </row>
    <row r="1842">
      <c r="A1842" s="9" t="s">
        <v>1850</v>
      </c>
      <c r="B1842" s="11" t="str">
        <f t="shared" si="1"/>
        <v>NSE:DELTAMAGNT</v>
      </c>
      <c r="C1842" s="12">
        <f>IFERROR(__xludf.DUMMYFUNCTION("GOOGLEFINANCE(B1842,""marketcap"")/10000000"),99.830304)</f>
        <v>99.830304</v>
      </c>
      <c r="D1842" s="13">
        <f>IFERROR(__xludf.DUMMYFUNCTION("GOOGLEFINANCE(B1842,""price"")"),92.0)</f>
        <v>92</v>
      </c>
      <c r="E1842" s="14">
        <f>IFERROR(__xludf.DUMMYFUNCTION("GOOGLEFINANCE(B1842,""Volume"")"),2217.0)</f>
        <v>2217</v>
      </c>
      <c r="F1842" s="14">
        <f t="array" ref="F1842">F1841</f>
        <v>14</v>
      </c>
      <c r="G1842" s="15" t="str">
        <f>IFERROR(__xludf.DUMMYFUNCTION("IF(E1842&gt;AVERAGE(INDEX(GOOGLEFINANCE(B1842,""volume"",WORKDAY(TODAY(),-$F$1),TODAY()),,2)),""Breakout"","""")"),"")</f>
        <v/>
      </c>
      <c r="H1842" s="16">
        <f>IFERROR(__xludf.DUMMYFUNCTION("GOOGLEFINANCE(B1842,""price"")"),92.0)</f>
        <v>92</v>
      </c>
      <c r="I1842" s="17">
        <f>IFERROR(__xludf.DUMMYFUNCTION("AVERAGE(QUERY(SORT(GOOGLEFINANCE(B1842,""price"",TODAY()-365,TODAY()),1,0),""select Col2 limit 10""))"),93.048)</f>
        <v>93.048</v>
      </c>
      <c r="J1842" s="17">
        <f>IFERROR(__xludf.DUMMYFUNCTION("AVERAGE(QUERY(SORT(GOOGLEFINANCE(B1842,""price"",TODAY()-365,TODAY()),1,0),""select Col2 limit 30""))"),94.22766666666668)</f>
        <v>94.22766667</v>
      </c>
      <c r="K1842" s="18">
        <f>IFERROR(__xludf.DUMMYFUNCTION("AVERAGE(QUERY(SORT(GOOGLEFINANCE(B1842,""price"",TODAY()-365,TODAY()),1,0),""select Col2 limit 60""))"),86.7126666666667)</f>
        <v>86.71266667</v>
      </c>
      <c r="L1842" s="17">
        <f>IFERROR(__xludf.DUMMYFUNCTION("AVERAGE(QUERY(SORT(GOOGLEFINANCE(B1842,""price"",TODAY()-365,TODAY()),1,0),""select Col2 limit 90""))"),78.04944444444449)</f>
        <v>78.04944444</v>
      </c>
      <c r="M1842" s="17">
        <f>IFERROR(__xludf.DUMMYFUNCTION("AVERAGE(QUERY(SORT(GOOGLEFINANCE(B1842,""price"",TODAY()-365,TODAY()),1,0),""select Col2 limit 120""))"),77.26483333333337)</f>
        <v>77.26483333</v>
      </c>
      <c r="N1842" s="19">
        <f>IFERROR(__xludf.DUMMYFUNCTION("AVERAGE(QUERY(SORT(GOOGLEFINANCE(B1842,""price"",TODAY()-365,TODAY()),1,0),""select Col2 limit 200""))"),87.43550000000005)</f>
        <v>87.4355</v>
      </c>
      <c r="O1842" s="20" t="str">
        <f t="shared" si="2"/>
        <v>Avoid</v>
      </c>
      <c r="P1842" s="21" t="str">
        <f t="shared" si="3"/>
        <v/>
      </c>
      <c r="Q1842" s="21" t="str">
        <f t="shared" si="4"/>
        <v/>
      </c>
      <c r="R1842" s="22" t="str">
        <f>IFERROR(__xludf.DUMMYFUNCTION("GOOGLEFINANCE(B1842, ""pe"")
"),"#N/A")</f>
        <v>#N/A</v>
      </c>
    </row>
    <row r="1843">
      <c r="A1843" s="9" t="s">
        <v>1851</v>
      </c>
      <c r="B1843" s="11" t="str">
        <f t="shared" si="1"/>
        <v>NSE:MCL</v>
      </c>
      <c r="C1843" s="12">
        <f>IFERROR(__xludf.DUMMYFUNCTION("GOOGLEFINANCE(B1843,""marketcap"")/10000000"),132.999671)</f>
        <v>132.999671</v>
      </c>
      <c r="D1843" s="13">
        <f>IFERROR(__xludf.DUMMYFUNCTION("GOOGLEFINANCE(B1843,""price"")"),49.0)</f>
        <v>49</v>
      </c>
      <c r="E1843" s="14">
        <f>IFERROR(__xludf.DUMMYFUNCTION("GOOGLEFINANCE(B1843,""Volume"")"),12629.0)</f>
        <v>12629</v>
      </c>
      <c r="F1843" s="14">
        <f t="array" ref="F1843">F1842</f>
        <v>14</v>
      </c>
      <c r="G1843" s="15" t="str">
        <f>IFERROR(__xludf.DUMMYFUNCTION("IF(E1843&gt;AVERAGE(INDEX(GOOGLEFINANCE(B1843,""volume"",WORKDAY(TODAY(),-$F$1),TODAY()),,2)),""Breakout"","""")"),"")</f>
        <v/>
      </c>
      <c r="H1843" s="16">
        <f>IFERROR(__xludf.DUMMYFUNCTION("GOOGLEFINANCE(B1843,""price"")"),49.0)</f>
        <v>49</v>
      </c>
      <c r="I1843" s="17">
        <f>IFERROR(__xludf.DUMMYFUNCTION("AVERAGE(QUERY(SORT(GOOGLEFINANCE(B1843,""price"",TODAY()-365,TODAY()),1,0),""select Col2 limit 10""))"),51.45399999999999)</f>
        <v>51.454</v>
      </c>
      <c r="J1843" s="17">
        <f>IFERROR(__xludf.DUMMYFUNCTION("AVERAGE(QUERY(SORT(GOOGLEFINANCE(B1843,""price"",TODAY()-365,TODAY()),1,0),""select Col2 limit 30""))"),54.108999999999995)</f>
        <v>54.109</v>
      </c>
      <c r="K1843" s="18">
        <f>IFERROR(__xludf.DUMMYFUNCTION("AVERAGE(QUERY(SORT(GOOGLEFINANCE(B1843,""price"",TODAY()-365,TODAY()),1,0),""select Col2 limit 60""))"),55.38900000000001)</f>
        <v>55.389</v>
      </c>
      <c r="L1843" s="17">
        <f>IFERROR(__xludf.DUMMYFUNCTION("AVERAGE(QUERY(SORT(GOOGLEFINANCE(B1843,""price"",TODAY()-365,TODAY()),1,0),""select Col2 limit 90""))"),53.548555555555566)</f>
        <v>53.54855556</v>
      </c>
      <c r="M1843" s="17">
        <f>IFERROR(__xludf.DUMMYFUNCTION("AVERAGE(QUERY(SORT(GOOGLEFINANCE(B1843,""price"",TODAY()-365,TODAY()),1,0),""select Col2 limit 120""))"),51.250749999999975)</f>
        <v>51.25075</v>
      </c>
      <c r="N1843" s="19">
        <f>IFERROR(__xludf.DUMMYFUNCTION("AVERAGE(QUERY(SORT(GOOGLEFINANCE(B1843,""price"",TODAY()-365,TODAY()),1,0),""select Col2 limit 200""))"),50.102300000000014)</f>
        <v>50.1023</v>
      </c>
      <c r="O1843" s="20" t="str">
        <f t="shared" si="2"/>
        <v>Avoid</v>
      </c>
      <c r="P1843" s="21" t="str">
        <f t="shared" si="3"/>
        <v/>
      </c>
      <c r="Q1843" s="21" t="str">
        <f t="shared" si="4"/>
        <v/>
      </c>
      <c r="R1843" s="22">
        <f>IFERROR(__xludf.DUMMYFUNCTION("GOOGLEFINANCE(B1843, ""pe"")
"),28.32)</f>
        <v>28.32</v>
      </c>
    </row>
    <row r="1844">
      <c r="A1844" s="9" t="s">
        <v>1852</v>
      </c>
      <c r="B1844" s="11" t="str">
        <f t="shared" si="1"/>
        <v>NSE:SECMARK</v>
      </c>
      <c r="C1844" s="12">
        <f>IFERROR(__xludf.DUMMYFUNCTION("GOOGLEFINANCE(B1844,""marketcap"")/10000000"),148.5542562)</f>
        <v>148.5542562</v>
      </c>
      <c r="D1844" s="13">
        <f>IFERROR(__xludf.DUMMYFUNCTION("GOOGLEFINANCE(B1844,""price"")"),142.0)</f>
        <v>142</v>
      </c>
      <c r="E1844" s="14">
        <f>IFERROR(__xludf.DUMMYFUNCTION("GOOGLEFINANCE(B1844,""Volume"")"),0.0)</f>
        <v>0</v>
      </c>
      <c r="F1844" s="14">
        <f t="array" ref="F1844">F1843</f>
        <v>14</v>
      </c>
      <c r="G1844" s="15" t="str">
        <f>IFERROR(__xludf.DUMMYFUNCTION("IF(E1844&gt;AVERAGE(INDEX(GOOGLEFINANCE(B1844,""volume"",WORKDAY(TODAY(),-$F$1),TODAY()),,2)),""Breakout"","""")"),"")</f>
        <v/>
      </c>
      <c r="H1844" s="16">
        <f>IFERROR(__xludf.DUMMYFUNCTION("GOOGLEFINANCE(B1844,""price"")"),142.0)</f>
        <v>142</v>
      </c>
      <c r="I1844" s="17">
        <f>IFERROR(__xludf.DUMMYFUNCTION("AVERAGE(QUERY(SORT(GOOGLEFINANCE(B1844,""price"",TODAY()-365,TODAY()),1,0),""select Col2 limit 10""))"),142.423)</f>
        <v>142.423</v>
      </c>
      <c r="J1844" s="17">
        <f>IFERROR(__xludf.DUMMYFUNCTION("AVERAGE(QUERY(SORT(GOOGLEFINANCE(B1844,""price"",TODAY()-365,TODAY()),1,0),""select Col2 limit 30""))"),148.9526666666667)</f>
        <v>148.9526667</v>
      </c>
      <c r="K1844" s="18">
        <f>IFERROR(__xludf.DUMMYFUNCTION("AVERAGE(QUERY(SORT(GOOGLEFINANCE(B1844,""price"",TODAY()-365,TODAY()),1,0),""select Col2 limit 60""))"),146.74833333333336)</f>
        <v>146.7483333</v>
      </c>
      <c r="L1844" s="17">
        <f>IFERROR(__xludf.DUMMYFUNCTION("AVERAGE(QUERY(SORT(GOOGLEFINANCE(B1844,""price"",TODAY()-365,TODAY()),1,0),""select Col2 limit 90""))"),130.66133333333335)</f>
        <v>130.6613333</v>
      </c>
      <c r="M1844" s="17">
        <f>IFERROR(__xludf.DUMMYFUNCTION("AVERAGE(QUERY(SORT(GOOGLEFINANCE(B1844,""price"",TODAY()-365,TODAY()),1,0),""select Col2 limit 120""))"),122.01891666666666)</f>
        <v>122.0189167</v>
      </c>
      <c r="N1844" s="19">
        <f>IFERROR(__xludf.DUMMYFUNCTION("AVERAGE(QUERY(SORT(GOOGLEFINANCE(B1844,""price"",TODAY()-365,TODAY()),1,0),""select Col2 limit 200""))"),117.37639999999999)</f>
        <v>117.3764</v>
      </c>
      <c r="O1844" s="20" t="str">
        <f t="shared" si="2"/>
        <v>Avoid</v>
      </c>
      <c r="P1844" s="21" t="str">
        <f t="shared" si="3"/>
        <v>10 DMA</v>
      </c>
      <c r="Q1844" s="21" t="str">
        <f t="shared" si="4"/>
        <v/>
      </c>
      <c r="R1844" s="22">
        <f>IFERROR(__xludf.DUMMYFUNCTION("GOOGLEFINANCE(B1844, ""pe"")
"),34.47)</f>
        <v>34.47</v>
      </c>
    </row>
    <row r="1845">
      <c r="A1845" s="9" t="s">
        <v>1853</v>
      </c>
      <c r="B1845" s="11" t="str">
        <f t="shared" si="1"/>
        <v>NSE:CINEVISTA</v>
      </c>
      <c r="C1845" s="12">
        <f>IFERROR(__xludf.DUMMYFUNCTION("GOOGLEFINANCE(B1845,""marketcap"")/10000000"),103.4430657)</f>
        <v>103.4430657</v>
      </c>
      <c r="D1845" s="13">
        <f>IFERROR(__xludf.DUMMYFUNCTION("GOOGLEFINANCE(B1845,""price"")"),18.43)</f>
        <v>18.43</v>
      </c>
      <c r="E1845" s="14">
        <f>IFERROR(__xludf.DUMMYFUNCTION("GOOGLEFINANCE(B1845,""Volume"")"),383.0)</f>
        <v>383</v>
      </c>
      <c r="F1845" s="14">
        <f t="array" ref="F1845">F1844</f>
        <v>14</v>
      </c>
      <c r="G1845" s="15" t="str">
        <f>IFERROR(__xludf.DUMMYFUNCTION("IF(E1845&gt;AVERAGE(INDEX(GOOGLEFINANCE(B1845,""volume"",WORKDAY(TODAY(),-$F$1),TODAY()),,2)),""Breakout"","""")"),"")</f>
        <v/>
      </c>
      <c r="H1845" s="16">
        <f>IFERROR(__xludf.DUMMYFUNCTION("GOOGLEFINANCE(B1845,""price"")"),18.43)</f>
        <v>18.43</v>
      </c>
      <c r="I1845" s="17">
        <f>IFERROR(__xludf.DUMMYFUNCTION("AVERAGE(QUERY(SORT(GOOGLEFINANCE(B1845,""price"",TODAY()-365,TODAY()),1,0),""select Col2 limit 10""))"),18.401)</f>
        <v>18.401</v>
      </c>
      <c r="J1845" s="17">
        <f>IFERROR(__xludf.DUMMYFUNCTION("AVERAGE(QUERY(SORT(GOOGLEFINANCE(B1845,""price"",TODAY()-365,TODAY()),1,0),""select Col2 limit 30""))"),18.970000000000002)</f>
        <v>18.97</v>
      </c>
      <c r="K1845" s="18">
        <f>IFERROR(__xludf.DUMMYFUNCTION("AVERAGE(QUERY(SORT(GOOGLEFINANCE(B1845,""price"",TODAY()-365,TODAY()),1,0),""select Col2 limit 60""))"),17.038833333333333)</f>
        <v>17.03883333</v>
      </c>
      <c r="L1845" s="17">
        <f>IFERROR(__xludf.DUMMYFUNCTION("AVERAGE(QUERY(SORT(GOOGLEFINANCE(B1845,""price"",TODAY()-365,TODAY()),1,0),""select Col2 limit 90""))"),16.298222222222222)</f>
        <v>16.29822222</v>
      </c>
      <c r="M1845" s="17">
        <f>IFERROR(__xludf.DUMMYFUNCTION("AVERAGE(QUERY(SORT(GOOGLEFINANCE(B1845,""price"",TODAY()-365,TODAY()),1,0),""select Col2 limit 120""))"),16.127583333333334)</f>
        <v>16.12758333</v>
      </c>
      <c r="N1845" s="19">
        <f>IFERROR(__xludf.DUMMYFUNCTION("AVERAGE(QUERY(SORT(GOOGLEFINANCE(B1845,""price"",TODAY()-365,TODAY()),1,0),""select Col2 limit 200""))"),17.255799999999997)</f>
        <v>17.2558</v>
      </c>
      <c r="O1845" s="20" t="str">
        <f t="shared" si="2"/>
        <v>Avoid</v>
      </c>
      <c r="P1845" s="21" t="str">
        <f t="shared" si="3"/>
        <v/>
      </c>
      <c r="Q1845" s="21" t="str">
        <f t="shared" si="4"/>
        <v/>
      </c>
      <c r="R1845" s="22" t="str">
        <f>IFERROR(__xludf.DUMMYFUNCTION("GOOGLEFINANCE(B1845, ""pe"")
"),"#N/A")</f>
        <v>#N/A</v>
      </c>
    </row>
    <row r="1846">
      <c r="A1846" s="9" t="s">
        <v>1854</v>
      </c>
      <c r="B1846" s="11" t="str">
        <f t="shared" si="1"/>
        <v>NSE:ORIENTLTD</v>
      </c>
      <c r="C1846" s="12">
        <f>IFERROR(__xludf.DUMMYFUNCTION("GOOGLEFINANCE(B1846,""marketcap"")/10000000"),87.4000015)</f>
        <v>87.4000015</v>
      </c>
      <c r="D1846" s="13">
        <f>IFERROR(__xludf.DUMMYFUNCTION("GOOGLEFINANCE(B1846,""price"")"),87.4)</f>
        <v>87.4</v>
      </c>
      <c r="E1846" s="14">
        <f>IFERROR(__xludf.DUMMYFUNCTION("GOOGLEFINANCE(B1846,""Volume"")"),930.0)</f>
        <v>930</v>
      </c>
      <c r="F1846" s="14">
        <f t="array" ref="F1846">F1845</f>
        <v>14</v>
      </c>
      <c r="G1846" s="15" t="str">
        <f>IFERROR(__xludf.DUMMYFUNCTION("IF(E1846&gt;AVERAGE(INDEX(GOOGLEFINANCE(B1846,""volume"",WORKDAY(TODAY(),-$F$1),TODAY()),,2)),""Breakout"","""")"),"")</f>
        <v/>
      </c>
      <c r="H1846" s="16">
        <f>IFERROR(__xludf.DUMMYFUNCTION("GOOGLEFINANCE(B1846,""price"")"),87.4)</f>
        <v>87.4</v>
      </c>
      <c r="I1846" s="17">
        <f>IFERROR(__xludf.DUMMYFUNCTION("AVERAGE(QUERY(SORT(GOOGLEFINANCE(B1846,""price"",TODAY()-365,TODAY()),1,0),""select Col2 limit 10""))"),87.796)</f>
        <v>87.796</v>
      </c>
      <c r="J1846" s="17">
        <f>IFERROR(__xludf.DUMMYFUNCTION("AVERAGE(QUERY(SORT(GOOGLEFINANCE(B1846,""price"",TODAY()-365,TODAY()),1,0),""select Col2 limit 30""))"),91.059)</f>
        <v>91.059</v>
      </c>
      <c r="K1846" s="18">
        <f>IFERROR(__xludf.DUMMYFUNCTION("AVERAGE(QUERY(SORT(GOOGLEFINANCE(B1846,""price"",TODAY()-365,TODAY()),1,0),""select Col2 limit 60""))"),88.39633333333335)</f>
        <v>88.39633333</v>
      </c>
      <c r="L1846" s="17">
        <f>IFERROR(__xludf.DUMMYFUNCTION("AVERAGE(QUERY(SORT(GOOGLEFINANCE(B1846,""price"",TODAY()-365,TODAY()),1,0),""select Col2 limit 90""))"),86.85933333333335)</f>
        <v>86.85933333</v>
      </c>
      <c r="M1846" s="17">
        <f>IFERROR(__xludf.DUMMYFUNCTION("AVERAGE(QUERY(SORT(GOOGLEFINANCE(B1846,""price"",TODAY()-365,TODAY()),1,0),""select Col2 limit 120""))"),87.27558333333336)</f>
        <v>87.27558333</v>
      </c>
      <c r="N1846" s="19">
        <f>IFERROR(__xludf.DUMMYFUNCTION("AVERAGE(QUERY(SORT(GOOGLEFINANCE(B1846,""price"",TODAY()-365,TODAY()),1,0),""select Col2 limit 200""))"),97.21640000000001)</f>
        <v>97.2164</v>
      </c>
      <c r="O1846" s="20" t="str">
        <f t="shared" si="2"/>
        <v>Avoid</v>
      </c>
      <c r="P1846" s="21" t="str">
        <f t="shared" si="3"/>
        <v>10 DMA</v>
      </c>
      <c r="Q1846" s="21" t="str">
        <f t="shared" si="4"/>
        <v/>
      </c>
      <c r="R1846" s="22" t="str">
        <f>IFERROR(__xludf.DUMMYFUNCTION("GOOGLEFINANCE(B1846, ""pe"")
"),"#N/A")</f>
        <v>#N/A</v>
      </c>
    </row>
    <row r="1847">
      <c r="A1847" s="9" t="s">
        <v>1855</v>
      </c>
      <c r="B1847" s="11" t="str">
        <f t="shared" si="1"/>
        <v>NSE:TREEHOUSE</v>
      </c>
      <c r="C1847" s="12">
        <f>IFERROR(__xludf.DUMMYFUNCTION("GOOGLEFINANCE(B1847,""marketcap"")/10000000"),30.053058)</f>
        <v>30.053058</v>
      </c>
      <c r="D1847" s="13">
        <f>IFERROR(__xludf.DUMMYFUNCTION("GOOGLEFINANCE(B1847,""price"")"),7.0)</f>
        <v>7</v>
      </c>
      <c r="E1847" s="14">
        <f>IFERROR(__xludf.DUMMYFUNCTION("GOOGLEFINANCE(B1847,""Volume"")"),7774.0)</f>
        <v>7774</v>
      </c>
      <c r="F1847" s="14">
        <f t="array" ref="F1847">F1846</f>
        <v>14</v>
      </c>
      <c r="G1847" s="15" t="str">
        <f>IFERROR(__xludf.DUMMYFUNCTION("IF(E1847&gt;AVERAGE(INDEX(GOOGLEFINANCE(B1847,""volume"",WORKDAY(TODAY(),-$F$1),TODAY()),,2)),""Breakout"","""")"),"")</f>
        <v/>
      </c>
      <c r="H1847" s="16">
        <f>IFERROR(__xludf.DUMMYFUNCTION("GOOGLEFINANCE(B1847,""price"")"),7.0)</f>
        <v>7</v>
      </c>
      <c r="I1847" s="17">
        <f>IFERROR(__xludf.DUMMYFUNCTION("AVERAGE(QUERY(SORT(GOOGLEFINANCE(B1847,""price"",TODAY()-365,TODAY()),1,0),""select Col2 limit 10""))"),7.266)</f>
        <v>7.266</v>
      </c>
      <c r="J1847" s="17">
        <f>IFERROR(__xludf.DUMMYFUNCTION("AVERAGE(QUERY(SORT(GOOGLEFINANCE(B1847,""price"",TODAY()-365,TODAY()),1,0),""select Col2 limit 30""))"),7.7330000000000005)</f>
        <v>7.733</v>
      </c>
      <c r="K1847" s="18">
        <f>IFERROR(__xludf.DUMMYFUNCTION("AVERAGE(QUERY(SORT(GOOGLEFINANCE(B1847,""price"",TODAY()-365,TODAY()),1,0),""select Col2 limit 60""))"),8.04316666666667)</f>
        <v>8.043166667</v>
      </c>
      <c r="L1847" s="17">
        <f>IFERROR(__xludf.DUMMYFUNCTION("AVERAGE(QUERY(SORT(GOOGLEFINANCE(B1847,""price"",TODAY()-365,TODAY()),1,0),""select Col2 limit 90""))"),8.694666666666668)</f>
        <v>8.694666667</v>
      </c>
      <c r="M1847" s="17">
        <f>IFERROR(__xludf.DUMMYFUNCTION("AVERAGE(QUERY(SORT(GOOGLEFINANCE(B1847,""price"",TODAY()-365,TODAY()),1,0),""select Col2 limit 120""))"),10.283166666666668)</f>
        <v>10.28316667</v>
      </c>
      <c r="N1847" s="19">
        <f>IFERROR(__xludf.DUMMYFUNCTION("AVERAGE(QUERY(SORT(GOOGLEFINANCE(B1847,""price"",TODAY()-365,TODAY()),1,0),""select Col2 limit 200""))"),13.051350000000006)</f>
        <v>13.05135</v>
      </c>
      <c r="O1847" s="20" t="str">
        <f t="shared" si="2"/>
        <v>Avoid</v>
      </c>
      <c r="P1847" s="21" t="str">
        <f t="shared" si="3"/>
        <v/>
      </c>
      <c r="Q1847" s="21" t="str">
        <f t="shared" si="4"/>
        <v/>
      </c>
      <c r="R1847" s="22" t="str">
        <f>IFERROR(__xludf.DUMMYFUNCTION("GOOGLEFINANCE(B1847, ""pe"")
"),"#N/A")</f>
        <v>#N/A</v>
      </c>
    </row>
    <row r="1848">
      <c r="A1848" s="9" t="s">
        <v>1856</v>
      </c>
      <c r="B1848" s="11" t="str">
        <f t="shared" si="1"/>
        <v>NSE:PIGL</v>
      </c>
      <c r="C1848" s="12">
        <f>IFERROR(__xludf.DUMMYFUNCTION("GOOGLEFINANCE(B1848,""marketcap"")/10000000"),220.240676)</f>
        <v>220.240676</v>
      </c>
      <c r="D1848" s="13">
        <f>IFERROR(__xludf.DUMMYFUNCTION("GOOGLEFINANCE(B1848,""price"")"),123.95)</f>
        <v>123.95</v>
      </c>
      <c r="E1848" s="14">
        <f>IFERROR(__xludf.DUMMYFUNCTION("GOOGLEFINANCE(B1848,""Volume"")"),9509.0)</f>
        <v>9509</v>
      </c>
      <c r="F1848" s="14">
        <f t="array" ref="F1848">F1847</f>
        <v>14</v>
      </c>
      <c r="G1848" s="15" t="str">
        <f>IFERROR(__xludf.DUMMYFUNCTION("IF(E1848&gt;AVERAGE(INDEX(GOOGLEFINANCE(B1848,""volume"",WORKDAY(TODAY(),-$F$1),TODAY()),,2)),""Breakout"","""")"),"")</f>
        <v/>
      </c>
      <c r="H1848" s="16">
        <f>IFERROR(__xludf.DUMMYFUNCTION("GOOGLEFINANCE(B1848,""price"")"),123.95)</f>
        <v>123.95</v>
      </c>
      <c r="I1848" s="17">
        <f>IFERROR(__xludf.DUMMYFUNCTION("AVERAGE(QUERY(SORT(GOOGLEFINANCE(B1848,""price"",TODAY()-365,TODAY()),1,0),""select Col2 limit 10""))"),124.58099999999999)</f>
        <v>124.581</v>
      </c>
      <c r="J1848" s="17">
        <f>IFERROR(__xludf.DUMMYFUNCTION("AVERAGE(QUERY(SORT(GOOGLEFINANCE(B1848,""price"",TODAY()-365,TODAY()),1,0),""select Col2 limit 30""))"),131.48100000000002)</f>
        <v>131.481</v>
      </c>
      <c r="K1848" s="18">
        <f>IFERROR(__xludf.DUMMYFUNCTION("AVERAGE(QUERY(SORT(GOOGLEFINANCE(B1848,""price"",TODAY()-365,TODAY()),1,0),""select Col2 limit 60""))"),147.2461666666667)</f>
        <v>147.2461667</v>
      </c>
      <c r="L1848" s="17">
        <f>IFERROR(__xludf.DUMMYFUNCTION("AVERAGE(QUERY(SORT(GOOGLEFINANCE(B1848,""price"",TODAY()-365,TODAY()),1,0),""select Col2 limit 90""))"),148.57755555555556)</f>
        <v>148.5775556</v>
      </c>
      <c r="M1848" s="17">
        <f>IFERROR(__xludf.DUMMYFUNCTION("AVERAGE(QUERY(SORT(GOOGLEFINANCE(B1848,""price"",TODAY()-365,TODAY()),1,0),""select Col2 limit 120""))"),169.07025000000002)</f>
        <v>169.07025</v>
      </c>
      <c r="N1848" s="19">
        <f>IFERROR(__xludf.DUMMYFUNCTION("AVERAGE(QUERY(SORT(GOOGLEFINANCE(B1848,""price"",TODAY()-365,TODAY()),1,0),""select Col2 limit 200""))"),220.6223499999999)</f>
        <v>220.62235</v>
      </c>
      <c r="O1848" s="20" t="str">
        <f t="shared" si="2"/>
        <v>Avoid</v>
      </c>
      <c r="P1848" s="21" t="str">
        <f t="shared" si="3"/>
        <v>10 DMA</v>
      </c>
      <c r="Q1848" s="21" t="str">
        <f t="shared" si="4"/>
        <v>10 DMA cross best</v>
      </c>
      <c r="R1848" s="22">
        <f>IFERROR(__xludf.DUMMYFUNCTION("GOOGLEFINANCE(B1848, ""pe"")
"),18.75)</f>
        <v>18.75</v>
      </c>
    </row>
    <row r="1849">
      <c r="A1849" s="9" t="s">
        <v>1857</v>
      </c>
      <c r="B1849" s="11" t="str">
        <f t="shared" si="1"/>
        <v>NSE:YAARI</v>
      </c>
      <c r="C1849" s="12">
        <f>IFERROR(__xludf.DUMMYFUNCTION("GOOGLEFINANCE(B1849,""marketcap"")/10000000"),152.7689)</f>
        <v>152.7689</v>
      </c>
      <c r="D1849" s="13">
        <f>IFERROR(__xludf.DUMMYFUNCTION("GOOGLEFINANCE(B1849,""price"")"),14.9)</f>
        <v>14.9</v>
      </c>
      <c r="E1849" s="14">
        <f>IFERROR(__xludf.DUMMYFUNCTION("GOOGLEFINANCE(B1849,""Volume"")"),4768.0)</f>
        <v>4768</v>
      </c>
      <c r="F1849" s="14">
        <f t="array" ref="F1849">F1848</f>
        <v>14</v>
      </c>
      <c r="G1849" s="15" t="str">
        <f>IFERROR(__xludf.DUMMYFUNCTION("IF(E1849&gt;AVERAGE(INDEX(GOOGLEFINANCE(B1849,""volume"",WORKDAY(TODAY(),-$F$1),TODAY()),,2)),""Breakout"","""")"),"")</f>
        <v/>
      </c>
      <c r="H1849" s="16">
        <f>IFERROR(__xludf.DUMMYFUNCTION("GOOGLEFINANCE(B1849,""price"")"),14.9)</f>
        <v>14.9</v>
      </c>
      <c r="I1849" s="17">
        <f>IFERROR(__xludf.DUMMYFUNCTION("AVERAGE(QUERY(SORT(GOOGLEFINANCE(B1849,""price"",TODAY()-365,TODAY()),1,0),""select Col2 limit 10""))"),15.446000000000002)</f>
        <v>15.446</v>
      </c>
      <c r="J1849" s="17">
        <f>IFERROR(__xludf.DUMMYFUNCTION("AVERAGE(QUERY(SORT(GOOGLEFINANCE(B1849,""price"",TODAY()-365,TODAY()),1,0),""select Col2 limit 30""))"),16.554666666666666)</f>
        <v>16.55466667</v>
      </c>
      <c r="K1849" s="18">
        <f>IFERROR(__xludf.DUMMYFUNCTION("AVERAGE(QUERY(SORT(GOOGLEFINANCE(B1849,""price"",TODAY()-365,TODAY()),1,0),""select Col2 limit 60""))"),15.867666666666663)</f>
        <v>15.86766667</v>
      </c>
      <c r="L1849" s="17">
        <f>IFERROR(__xludf.DUMMYFUNCTION("AVERAGE(QUERY(SORT(GOOGLEFINANCE(B1849,""price"",TODAY()-365,TODAY()),1,0),""select Col2 limit 90""))"),15.540000000000006)</f>
        <v>15.54</v>
      </c>
      <c r="M1849" s="17">
        <f>IFERROR(__xludf.DUMMYFUNCTION("AVERAGE(QUERY(SORT(GOOGLEFINANCE(B1849,""price"",TODAY()-365,TODAY()),1,0),""select Col2 limit 120""))"),15.25116666666667)</f>
        <v>15.25116667</v>
      </c>
      <c r="N1849" s="19">
        <f>IFERROR(__xludf.DUMMYFUNCTION("AVERAGE(QUERY(SORT(GOOGLEFINANCE(B1849,""price"",TODAY()-365,TODAY()),1,0),""select Col2 limit 200""))"),14.64645)</f>
        <v>14.64645</v>
      </c>
      <c r="O1849" s="20" t="str">
        <f t="shared" si="2"/>
        <v>Sell Below 200 DMA</v>
      </c>
      <c r="P1849" s="21" t="str">
        <f t="shared" si="3"/>
        <v/>
      </c>
      <c r="Q1849" s="21" t="str">
        <f t="shared" si="4"/>
        <v/>
      </c>
      <c r="R1849" s="22" t="str">
        <f>IFERROR(__xludf.DUMMYFUNCTION("GOOGLEFINANCE(B1849, ""pe"")
"),"#N/A")</f>
        <v>#N/A</v>
      </c>
    </row>
    <row r="1850">
      <c r="A1850" s="9" t="s">
        <v>1858</v>
      </c>
      <c r="B1850" s="11" t="str">
        <f t="shared" si="1"/>
        <v>NSE:BLBLIMITED</v>
      </c>
      <c r="C1850" s="12">
        <f>IFERROR(__xludf.DUMMYFUNCTION("GOOGLEFINANCE(B1850,""marketcap"")/10000000"),75.9144971)</f>
        <v>75.9144971</v>
      </c>
      <c r="D1850" s="13">
        <f>IFERROR(__xludf.DUMMYFUNCTION("GOOGLEFINANCE(B1850,""price"")"),14.94)</f>
        <v>14.94</v>
      </c>
      <c r="E1850" s="14">
        <f>IFERROR(__xludf.DUMMYFUNCTION("GOOGLEFINANCE(B1850,""Volume"")"),63637.0)</f>
        <v>63637</v>
      </c>
      <c r="F1850" s="14">
        <f t="array" ref="F1850">F1849</f>
        <v>14</v>
      </c>
      <c r="G1850" s="15" t="str">
        <f>IFERROR(__xludf.DUMMYFUNCTION("IF(E1850&gt;AVERAGE(INDEX(GOOGLEFINANCE(B1850,""volume"",WORKDAY(TODAY(),-$F$1),TODAY()),,2)),""Breakout"","""")"),"Breakout")</f>
        <v>Breakout</v>
      </c>
      <c r="H1850" s="16">
        <f>IFERROR(__xludf.DUMMYFUNCTION("GOOGLEFINANCE(B1850,""price"")"),14.94)</f>
        <v>14.94</v>
      </c>
      <c r="I1850" s="17">
        <f>IFERROR(__xludf.DUMMYFUNCTION("AVERAGE(QUERY(SORT(GOOGLEFINANCE(B1850,""price"",TODAY()-365,TODAY()),1,0),""select Col2 limit 10""))"),14.687999999999999)</f>
        <v>14.688</v>
      </c>
      <c r="J1850" s="17">
        <f>IFERROR(__xludf.DUMMYFUNCTION("AVERAGE(QUERY(SORT(GOOGLEFINANCE(B1850,""price"",TODAY()-365,TODAY()),1,0),""select Col2 limit 30""))"),14.849)</f>
        <v>14.849</v>
      </c>
      <c r="K1850" s="18">
        <f>IFERROR(__xludf.DUMMYFUNCTION("AVERAGE(QUERY(SORT(GOOGLEFINANCE(B1850,""price"",TODAY()-365,TODAY()),1,0),""select Col2 limit 60""))"),14.900833333333335)</f>
        <v>14.90083333</v>
      </c>
      <c r="L1850" s="17">
        <f>IFERROR(__xludf.DUMMYFUNCTION("AVERAGE(QUERY(SORT(GOOGLEFINANCE(B1850,""price"",TODAY()-365,TODAY()),1,0),""select Col2 limit 90""))"),15.158444444444445)</f>
        <v>15.15844444</v>
      </c>
      <c r="M1850" s="17">
        <f>IFERROR(__xludf.DUMMYFUNCTION("AVERAGE(QUERY(SORT(GOOGLEFINANCE(B1850,""price"",TODAY()-365,TODAY()),1,0),""select Col2 limit 120""))"),15.571416666666664)</f>
        <v>15.57141667</v>
      </c>
      <c r="N1850" s="19">
        <f>IFERROR(__xludf.DUMMYFUNCTION("AVERAGE(QUERY(SORT(GOOGLEFINANCE(B1850,""price"",TODAY()-365,TODAY()),1,0),""select Col2 limit 200""))"),17.2701)</f>
        <v>17.2701</v>
      </c>
      <c r="O1850" s="20" t="str">
        <f t="shared" si="2"/>
        <v>Avoid</v>
      </c>
      <c r="P1850" s="21" t="str">
        <f t="shared" si="3"/>
        <v/>
      </c>
      <c r="Q1850" s="21" t="str">
        <f t="shared" si="4"/>
        <v/>
      </c>
      <c r="R1850" s="22">
        <f>IFERROR(__xludf.DUMMYFUNCTION("GOOGLEFINANCE(B1850, ""pe"")
"),19.79)</f>
        <v>19.79</v>
      </c>
    </row>
    <row r="1851">
      <c r="A1851" s="9" t="s">
        <v>1859</v>
      </c>
      <c r="B1851" s="11" t="str">
        <f t="shared" si="1"/>
        <v>NSE:CELEBRITY</v>
      </c>
      <c r="C1851" s="12">
        <f>IFERROR(__xludf.DUMMYFUNCTION("GOOGLEFINANCE(B1851,""marketcap"")/10000000"),75.9109391)</f>
        <v>75.9109391</v>
      </c>
      <c r="D1851" s="13">
        <f>IFERROR(__xludf.DUMMYFUNCTION("GOOGLEFINANCE(B1851,""price"")"),12.64)</f>
        <v>12.64</v>
      </c>
      <c r="E1851" s="14">
        <f>IFERROR(__xludf.DUMMYFUNCTION("GOOGLEFINANCE(B1851,""Volume"")"),88830.0)</f>
        <v>88830</v>
      </c>
      <c r="F1851" s="14">
        <f t="array" ref="F1851">F1850</f>
        <v>14</v>
      </c>
      <c r="G1851" s="15" t="str">
        <f>IFERROR(__xludf.DUMMYFUNCTION("IF(E1851&gt;AVERAGE(INDEX(GOOGLEFINANCE(B1851,""volume"",WORKDAY(TODAY(),-$F$1),TODAY()),,2)),""Breakout"","""")"),"")</f>
        <v/>
      </c>
      <c r="H1851" s="16">
        <f>IFERROR(__xludf.DUMMYFUNCTION("GOOGLEFINANCE(B1851,""price"")"),12.64)</f>
        <v>12.64</v>
      </c>
      <c r="I1851" s="17">
        <f>IFERROR(__xludf.DUMMYFUNCTION("AVERAGE(QUERY(SORT(GOOGLEFINANCE(B1851,""price"",TODAY()-365,TODAY()),1,0),""select Col2 limit 10""))"),14.005)</f>
        <v>14.005</v>
      </c>
      <c r="J1851" s="17">
        <f>IFERROR(__xludf.DUMMYFUNCTION("AVERAGE(QUERY(SORT(GOOGLEFINANCE(B1851,""price"",TODAY()-365,TODAY()),1,0),""select Col2 limit 30""))"),13.641)</f>
        <v>13.641</v>
      </c>
      <c r="K1851" s="18">
        <f>IFERROR(__xludf.DUMMYFUNCTION("AVERAGE(QUERY(SORT(GOOGLEFINANCE(B1851,""price"",TODAY()-365,TODAY()),1,0),""select Col2 limit 60""))"),13.099499999999997)</f>
        <v>13.0995</v>
      </c>
      <c r="L1851" s="17">
        <f>IFERROR(__xludf.DUMMYFUNCTION("AVERAGE(QUERY(SORT(GOOGLEFINANCE(B1851,""price"",TODAY()-365,TODAY()),1,0),""select Col2 limit 90""))"),12.484999999999998)</f>
        <v>12.485</v>
      </c>
      <c r="M1851" s="17">
        <f>IFERROR(__xludf.DUMMYFUNCTION("AVERAGE(QUERY(SORT(GOOGLEFINANCE(B1851,""price"",TODAY()-365,TODAY()),1,0),""select Col2 limit 120""))"),12.506916666666674)</f>
        <v>12.50691667</v>
      </c>
      <c r="N1851" s="19">
        <f>IFERROR(__xludf.DUMMYFUNCTION("AVERAGE(QUERY(SORT(GOOGLEFINANCE(B1851,""price"",TODAY()-365,TODAY()),1,0),""select Col2 limit 200""))"),13.603600000000007)</f>
        <v>13.6036</v>
      </c>
      <c r="O1851" s="20" t="str">
        <f t="shared" si="2"/>
        <v>Avoid</v>
      </c>
      <c r="P1851" s="21" t="str">
        <f t="shared" si="3"/>
        <v/>
      </c>
      <c r="Q1851" s="21" t="str">
        <f t="shared" si="4"/>
        <v/>
      </c>
      <c r="R1851" s="22" t="str">
        <f>IFERROR(__xludf.DUMMYFUNCTION("GOOGLEFINANCE(B1851, ""pe"")
"),"#N/A")</f>
        <v>#N/A</v>
      </c>
    </row>
    <row r="1852">
      <c r="A1852" s="9" t="s">
        <v>1860</v>
      </c>
      <c r="B1852" s="11" t="str">
        <f t="shared" si="1"/>
        <v>NSE:EXCEL</v>
      </c>
      <c r="C1852" s="12">
        <f>IFERROR(__xludf.DUMMYFUNCTION("GOOGLEFINANCE(B1852,""marketcap"")/10000000"),165.0513089)</f>
        <v>165.0513089</v>
      </c>
      <c r="D1852" s="13">
        <f>IFERROR(__xludf.DUMMYFUNCTION("GOOGLEFINANCE(B1852,""price"")"),1.17)</f>
        <v>1.17</v>
      </c>
      <c r="E1852" s="14">
        <f>IFERROR(__xludf.DUMMYFUNCTION("GOOGLEFINANCE(B1852,""Volume"")"),1324922.0)</f>
        <v>1324922</v>
      </c>
      <c r="F1852" s="14">
        <f t="array" ref="F1852">F1851</f>
        <v>14</v>
      </c>
      <c r="G1852" s="15" t="str">
        <f>IFERROR(__xludf.DUMMYFUNCTION("IF(E1852&gt;AVERAGE(INDEX(GOOGLEFINANCE(B1852,""volume"",WORKDAY(TODAY(),-$F$1),TODAY()),,2)),""Breakout"","""")"),"")</f>
        <v/>
      </c>
      <c r="H1852" s="16">
        <f>IFERROR(__xludf.DUMMYFUNCTION("GOOGLEFINANCE(B1852,""price"")"),1.17)</f>
        <v>1.17</v>
      </c>
      <c r="I1852" s="17">
        <f>IFERROR(__xludf.DUMMYFUNCTION("AVERAGE(QUERY(SORT(GOOGLEFINANCE(B1852,""price"",TODAY()-365,TODAY()),1,0),""select Col2 limit 10""))"),1.0930000000000002)</f>
        <v>1.093</v>
      </c>
      <c r="J1852" s="17">
        <f>IFERROR(__xludf.DUMMYFUNCTION("AVERAGE(QUERY(SORT(GOOGLEFINANCE(B1852,""price"",TODAY()-365,TODAY()),1,0),""select Col2 limit 30""))"),0.9523333333333333)</f>
        <v>0.9523333333</v>
      </c>
      <c r="K1852" s="18">
        <f>IFERROR(__xludf.DUMMYFUNCTION("AVERAGE(QUERY(SORT(GOOGLEFINANCE(B1852,""price"",TODAY()-365,TODAY()),1,0),""select Col2 limit 60""))"),0.8346666666666664)</f>
        <v>0.8346666667</v>
      </c>
      <c r="L1852" s="17">
        <f>IFERROR(__xludf.DUMMYFUNCTION("AVERAGE(QUERY(SORT(GOOGLEFINANCE(B1852,""price"",TODAY()-365,TODAY()),1,0),""select Col2 limit 90""))"),0.8096666666666665)</f>
        <v>0.8096666667</v>
      </c>
      <c r="M1852" s="17">
        <f>IFERROR(__xludf.DUMMYFUNCTION("AVERAGE(QUERY(SORT(GOOGLEFINANCE(B1852,""price"",TODAY()-365,TODAY()),1,0),""select Col2 limit 120""))"),0.8164999999999998)</f>
        <v>0.8165</v>
      </c>
      <c r="N1852" s="19">
        <f>IFERROR(__xludf.DUMMYFUNCTION("AVERAGE(QUERY(SORT(GOOGLEFINANCE(B1852,""price"",TODAY()-365,TODAY()),1,0),""select Col2 limit 200""))"),0.9334)</f>
        <v>0.9334</v>
      </c>
      <c r="O1852" s="20" t="str">
        <f t="shared" si="2"/>
        <v>Avoid</v>
      </c>
      <c r="P1852" s="21" t="str">
        <f t="shared" si="3"/>
        <v/>
      </c>
      <c r="Q1852" s="21" t="str">
        <f t="shared" si="4"/>
        <v/>
      </c>
      <c r="R1852" s="22">
        <f>IFERROR(__xludf.DUMMYFUNCTION("GOOGLEFINANCE(B1852, ""pe"")
"),238.78)</f>
        <v>238.78</v>
      </c>
    </row>
    <row r="1853">
      <c r="A1853" s="9" t="s">
        <v>1861</v>
      </c>
      <c r="B1853" s="11" t="str">
        <f t="shared" si="1"/>
        <v>NSE:VINNY</v>
      </c>
      <c r="C1853" s="12">
        <f>IFERROR(__xludf.DUMMYFUNCTION("GOOGLEFINANCE(B1853,""marketcap"")/10000000"),60.4820557)</f>
        <v>60.4820557</v>
      </c>
      <c r="D1853" s="13">
        <f>IFERROR(__xludf.DUMMYFUNCTION("GOOGLEFINANCE(B1853,""price"")"),1.29)</f>
        <v>1.29</v>
      </c>
      <c r="E1853" s="14">
        <f>IFERROR(__xludf.DUMMYFUNCTION("GOOGLEFINANCE(B1853,""Volume"")"),227000.0)</f>
        <v>227000</v>
      </c>
      <c r="F1853" s="14">
        <f t="array" ref="F1853">F1852</f>
        <v>14</v>
      </c>
      <c r="G1853" s="15" t="str">
        <f>IFERROR(__xludf.DUMMYFUNCTION("IF(E1853&gt;AVERAGE(INDEX(GOOGLEFINANCE(B1853,""volume"",WORKDAY(TODAY(),-$F$1),TODAY()),,2)),""Breakout"","""")"),"")</f>
        <v/>
      </c>
      <c r="H1853" s="16">
        <f>IFERROR(__xludf.DUMMYFUNCTION("GOOGLEFINANCE(B1853,""price"")"),1.29)</f>
        <v>1.29</v>
      </c>
      <c r="I1853" s="17">
        <f>IFERROR(__xludf.DUMMYFUNCTION("AVERAGE(QUERY(SORT(GOOGLEFINANCE(B1853,""price"",TODAY()-365,TODAY()),1,0),""select Col2 limit 10""))"),1.343)</f>
        <v>1.343</v>
      </c>
      <c r="J1853" s="17">
        <f>IFERROR(__xludf.DUMMYFUNCTION("AVERAGE(QUERY(SORT(GOOGLEFINANCE(B1853,""price"",TODAY()-365,TODAY()),1,0),""select Col2 limit 30""))"),1.3719999999999999)</f>
        <v>1.372</v>
      </c>
      <c r="K1853" s="18">
        <f>IFERROR(__xludf.DUMMYFUNCTION("AVERAGE(QUERY(SORT(GOOGLEFINANCE(B1853,""price"",TODAY()-365,TODAY()),1,0),""select Col2 limit 60""))"),1.4125)</f>
        <v>1.4125</v>
      </c>
      <c r="L1853" s="17">
        <f>IFERROR(__xludf.DUMMYFUNCTION("AVERAGE(QUERY(SORT(GOOGLEFINANCE(B1853,""price"",TODAY()-365,TODAY()),1,0),""select Col2 limit 90""))"),1.3872222222222221)</f>
        <v>1.387222222</v>
      </c>
      <c r="M1853" s="17">
        <f>IFERROR(__xludf.DUMMYFUNCTION("AVERAGE(QUERY(SORT(GOOGLEFINANCE(B1853,""price"",TODAY()-365,TODAY()),1,0),""select Col2 limit 120""))"),1.3994166666666668)</f>
        <v>1.399416667</v>
      </c>
      <c r="N1853" s="19">
        <f>IFERROR(__xludf.DUMMYFUNCTION("AVERAGE(QUERY(SORT(GOOGLEFINANCE(B1853,""price"",TODAY()-365,TODAY()),1,0),""select Col2 limit 200""))"),1.5958499999999998)</f>
        <v>1.59585</v>
      </c>
      <c r="O1853" s="20" t="str">
        <f t="shared" si="2"/>
        <v>Avoid</v>
      </c>
      <c r="P1853" s="21" t="str">
        <f t="shared" si="3"/>
        <v/>
      </c>
      <c r="Q1853" s="21" t="str">
        <f t="shared" si="4"/>
        <v/>
      </c>
      <c r="R1853" s="22">
        <f>IFERROR(__xludf.DUMMYFUNCTION("GOOGLEFINANCE(B1853, ""pe"")
"),9.21)</f>
        <v>9.21</v>
      </c>
    </row>
    <row r="1854">
      <c r="A1854" s="9" t="s">
        <v>1862</v>
      </c>
      <c r="B1854" s="11" t="str">
        <f t="shared" si="1"/>
        <v>NSE:MBECL</v>
      </c>
      <c r="C1854" s="12" t="str">
        <f>IFERROR(__xludf.DUMMYFUNCTION("GOOGLEFINANCE(B1854,""marketcap"")/10000000"),"#N/A")</f>
        <v>#N/A</v>
      </c>
      <c r="D1854" s="13" t="str">
        <f>IFERROR(__xludf.DUMMYFUNCTION("GOOGLEFINANCE(B1854,""price"")"),"#N/A")</f>
        <v>#N/A</v>
      </c>
      <c r="E1854" s="14" t="str">
        <f>IFERROR(__xludf.DUMMYFUNCTION("GOOGLEFINANCE(B1854,""Volume"")"),"#N/A")</f>
        <v>#N/A</v>
      </c>
      <c r="F1854" s="14">
        <f t="array" ref="F1854">F1853</f>
        <v>14</v>
      </c>
      <c r="G1854" s="15" t="str">
        <f>IFERROR(__xludf.DUMMYFUNCTION("IF(E1854&gt;AVERAGE(INDEX(GOOGLEFINANCE(B1854,""volume"",WORKDAY(TODAY(),-$F$1),TODAY()),,2)),""Breakout"","""")"),"#N/A")</f>
        <v>#N/A</v>
      </c>
      <c r="H1854" s="16" t="str">
        <f>IFERROR(__xludf.DUMMYFUNCTION("GOOGLEFINANCE(B1854,""price"")"),"#N/A")</f>
        <v>#N/A</v>
      </c>
      <c r="I1854" s="17" t="str">
        <f>IFERROR(__xludf.DUMMYFUNCTION("AVERAGE(QUERY(SORT(GOOGLEFINANCE(B1854,""price"",TODAY()-365,TODAY()),1,0),""select Col2 limit 10""))"),"#N/A")</f>
        <v>#N/A</v>
      </c>
      <c r="J1854" s="17" t="str">
        <f>IFERROR(__xludf.DUMMYFUNCTION("AVERAGE(QUERY(SORT(GOOGLEFINANCE(B1854,""price"",TODAY()-365,TODAY()),1,0),""select Col2 limit 30""))"),"#N/A")</f>
        <v>#N/A</v>
      </c>
      <c r="K1854" s="18" t="str">
        <f>IFERROR(__xludf.DUMMYFUNCTION("AVERAGE(QUERY(SORT(GOOGLEFINANCE(B1854,""price"",TODAY()-365,TODAY()),1,0),""select Col2 limit 60""))"),"#N/A")</f>
        <v>#N/A</v>
      </c>
      <c r="L1854" s="17" t="str">
        <f>IFERROR(__xludf.DUMMYFUNCTION("AVERAGE(QUERY(SORT(GOOGLEFINANCE(B1854,""price"",TODAY()-365,TODAY()),1,0),""select Col2 limit 90""))"),"#N/A")</f>
        <v>#N/A</v>
      </c>
      <c r="M1854" s="17" t="str">
        <f>IFERROR(__xludf.DUMMYFUNCTION("AVERAGE(QUERY(SORT(GOOGLEFINANCE(B1854,""price"",TODAY()-365,TODAY()),1,0),""select Col2 limit 120""))"),"#N/A")</f>
        <v>#N/A</v>
      </c>
      <c r="N1854" s="19" t="str">
        <f>IFERROR(__xludf.DUMMYFUNCTION("AVERAGE(QUERY(SORT(GOOGLEFINANCE(B1854,""price"",TODAY()-365,TODAY()),1,0),""select Col2 limit 200""))"),"#N/A")</f>
        <v>#N/A</v>
      </c>
      <c r="O1854" s="20" t="str">
        <f t="shared" si="2"/>
        <v>#N/A</v>
      </c>
      <c r="P1854" s="21" t="str">
        <f t="shared" si="3"/>
        <v>#N/A</v>
      </c>
      <c r="Q1854" s="21" t="str">
        <f t="shared" si="4"/>
        <v>#N/A</v>
      </c>
      <c r="R1854" s="22" t="str">
        <f>IFERROR(__xludf.DUMMYFUNCTION("GOOGLEFINANCE(B1854, ""pe"")
"),"#N/A")</f>
        <v>#N/A</v>
      </c>
    </row>
    <row r="1855">
      <c r="A1855" s="9" t="s">
        <v>1863</v>
      </c>
      <c r="B1855" s="11" t="str">
        <f t="shared" si="1"/>
        <v>NSE:AGROPHOS</v>
      </c>
      <c r="C1855" s="12">
        <f>IFERROR(__xludf.DUMMYFUNCTION("GOOGLEFINANCE(B1855,""marketcap"")/10000000"),85.2323602)</f>
        <v>85.2323602</v>
      </c>
      <c r="D1855" s="13">
        <f>IFERROR(__xludf.DUMMYFUNCTION("GOOGLEFINANCE(B1855,""price"")"),42.09)</f>
        <v>42.09</v>
      </c>
      <c r="E1855" s="14">
        <f>IFERROR(__xludf.DUMMYFUNCTION("GOOGLEFINANCE(B1855,""Volume"")"),274107.0)</f>
        <v>274107</v>
      </c>
      <c r="F1855" s="14">
        <f t="array" ref="F1855">F1854</f>
        <v>14</v>
      </c>
      <c r="G1855" s="15" t="str">
        <f>IFERROR(__xludf.DUMMYFUNCTION("IF(E1855&gt;AVERAGE(INDEX(GOOGLEFINANCE(B1855,""volume"",WORKDAY(TODAY(),-$F$1),TODAY()),,2)),""Breakout"","""")"),"Breakout")</f>
        <v>Breakout</v>
      </c>
      <c r="H1855" s="16">
        <f>IFERROR(__xludf.DUMMYFUNCTION("GOOGLEFINANCE(B1855,""price"")"),42.09)</f>
        <v>42.09</v>
      </c>
      <c r="I1855" s="17">
        <f>IFERROR(__xludf.DUMMYFUNCTION("AVERAGE(QUERY(SORT(GOOGLEFINANCE(B1855,""price"",TODAY()-365,TODAY()),1,0),""select Col2 limit 10""))"),36.913)</f>
        <v>36.913</v>
      </c>
      <c r="J1855" s="17">
        <f>IFERROR(__xludf.DUMMYFUNCTION("AVERAGE(QUERY(SORT(GOOGLEFINANCE(B1855,""price"",TODAY()-365,TODAY()),1,0),""select Col2 limit 30""))"),36.297)</f>
        <v>36.297</v>
      </c>
      <c r="K1855" s="18">
        <f>IFERROR(__xludf.DUMMYFUNCTION("AVERAGE(QUERY(SORT(GOOGLEFINANCE(B1855,""price"",TODAY()-365,TODAY()),1,0),""select Col2 limit 60""))"),35.18366666666667)</f>
        <v>35.18366667</v>
      </c>
      <c r="L1855" s="17">
        <f>IFERROR(__xludf.DUMMYFUNCTION("AVERAGE(QUERY(SORT(GOOGLEFINANCE(B1855,""price"",TODAY()-365,TODAY()),1,0),""select Col2 limit 90""))"),33.82988888888888)</f>
        <v>33.82988889</v>
      </c>
      <c r="M1855" s="17">
        <f>IFERROR(__xludf.DUMMYFUNCTION("AVERAGE(QUERY(SORT(GOOGLEFINANCE(B1855,""price"",TODAY()-365,TODAY()),1,0),""select Col2 limit 120""))"),33.88708333333334)</f>
        <v>33.88708333</v>
      </c>
      <c r="N1855" s="19">
        <f>IFERROR(__xludf.DUMMYFUNCTION("AVERAGE(QUERY(SORT(GOOGLEFINANCE(B1855,""price"",TODAY()-365,TODAY()),1,0),""select Col2 limit 200""))"),37.078749999999985)</f>
        <v>37.07875</v>
      </c>
      <c r="O1855" s="20" t="str">
        <f t="shared" si="2"/>
        <v>Avoid</v>
      </c>
      <c r="P1855" s="21" t="str">
        <f t="shared" si="3"/>
        <v/>
      </c>
      <c r="Q1855" s="21" t="str">
        <f t="shared" si="4"/>
        <v/>
      </c>
      <c r="R1855" s="22">
        <f>IFERROR(__xludf.DUMMYFUNCTION("GOOGLEFINANCE(B1855, ""pe"")
"),17.09)</f>
        <v>17.09</v>
      </c>
    </row>
    <row r="1856">
      <c r="A1856" s="9" t="s">
        <v>1864</v>
      </c>
      <c r="B1856" s="11" t="str">
        <f t="shared" si="1"/>
        <v>NSE:HBSL</v>
      </c>
      <c r="C1856" s="12">
        <f>IFERROR(__xludf.DUMMYFUNCTION("GOOGLEFINANCE(B1856,""marketcap"")/10000000"),58.1875772)</f>
        <v>58.1875772</v>
      </c>
      <c r="D1856" s="13">
        <f>IFERROR(__xludf.DUMMYFUNCTION("GOOGLEFINANCE(B1856,""price"")"),82.78)</f>
        <v>82.78</v>
      </c>
      <c r="E1856" s="14">
        <f>IFERROR(__xludf.DUMMYFUNCTION("GOOGLEFINANCE(B1856,""Volume"")"),10059.0)</f>
        <v>10059</v>
      </c>
      <c r="F1856" s="14">
        <f t="array" ref="F1856">F1855</f>
        <v>14</v>
      </c>
      <c r="G1856" s="15" t="str">
        <f>IFERROR(__xludf.DUMMYFUNCTION("IF(E1856&gt;AVERAGE(INDEX(GOOGLEFINANCE(B1856,""volume"",WORKDAY(TODAY(),-$F$1),TODAY()),,2)),""Breakout"","""")"),"")</f>
        <v/>
      </c>
      <c r="H1856" s="16">
        <f>IFERROR(__xludf.DUMMYFUNCTION("GOOGLEFINANCE(B1856,""price"")"),82.78)</f>
        <v>82.78</v>
      </c>
      <c r="I1856" s="17">
        <f>IFERROR(__xludf.DUMMYFUNCTION("AVERAGE(QUERY(SORT(GOOGLEFINANCE(B1856,""price"",TODAY()-365,TODAY()),1,0),""select Col2 limit 10""))"),89.09)</f>
        <v>89.09</v>
      </c>
      <c r="J1856" s="17">
        <f>IFERROR(__xludf.DUMMYFUNCTION("AVERAGE(QUERY(SORT(GOOGLEFINANCE(B1856,""price"",TODAY()-365,TODAY()),1,0),""select Col2 limit 30""))"),95.26966666666668)</f>
        <v>95.26966667</v>
      </c>
      <c r="K1856" s="18">
        <f>IFERROR(__xludf.DUMMYFUNCTION("AVERAGE(QUERY(SORT(GOOGLEFINANCE(B1856,""price"",TODAY()-365,TODAY()),1,0),""select Col2 limit 60""))"),90.02833333333335)</f>
        <v>90.02833333</v>
      </c>
      <c r="L1856" s="17">
        <f>IFERROR(__xludf.DUMMYFUNCTION("AVERAGE(QUERY(SORT(GOOGLEFINANCE(B1856,""price"",TODAY()-365,TODAY()),1,0),""select Col2 limit 90""))"),86.87155555555555)</f>
        <v>86.87155556</v>
      </c>
      <c r="M1856" s="17">
        <f>IFERROR(__xludf.DUMMYFUNCTION("AVERAGE(QUERY(SORT(GOOGLEFINANCE(B1856,""price"",TODAY()-365,TODAY()),1,0),""select Col2 limit 120""))"),86.94516666666664)</f>
        <v>86.94516667</v>
      </c>
      <c r="N1856" s="19">
        <f>IFERROR(__xludf.DUMMYFUNCTION("AVERAGE(QUERY(SORT(GOOGLEFINANCE(B1856,""price"",TODAY()-365,TODAY()),1,0),""select Col2 limit 200""))"),99.28310000000002)</f>
        <v>99.2831</v>
      </c>
      <c r="O1856" s="20" t="str">
        <f t="shared" si="2"/>
        <v>Avoid</v>
      </c>
      <c r="P1856" s="21" t="str">
        <f t="shared" si="3"/>
        <v/>
      </c>
      <c r="Q1856" s="21" t="str">
        <f t="shared" si="4"/>
        <v/>
      </c>
      <c r="R1856" s="22" t="str">
        <f>IFERROR(__xludf.DUMMYFUNCTION("GOOGLEFINANCE(B1856, ""pe"")
"),"#N/A")</f>
        <v>#N/A</v>
      </c>
    </row>
    <row r="1857">
      <c r="A1857" s="9" t="s">
        <v>1865</v>
      </c>
      <c r="B1857" s="11" t="str">
        <f t="shared" si="1"/>
        <v>NSE:AROGRANITE</v>
      </c>
      <c r="C1857" s="12">
        <f>IFERROR(__xludf.DUMMYFUNCTION("GOOGLEFINANCE(B1857,""marketcap"")/10000000"),58.9662014)</f>
        <v>58.9662014</v>
      </c>
      <c r="D1857" s="13">
        <f>IFERROR(__xludf.DUMMYFUNCTION("GOOGLEFINANCE(B1857,""price"")"),38.54)</f>
        <v>38.54</v>
      </c>
      <c r="E1857" s="14">
        <f>IFERROR(__xludf.DUMMYFUNCTION("GOOGLEFINANCE(B1857,""Volume"")"),2167.0)</f>
        <v>2167</v>
      </c>
      <c r="F1857" s="14">
        <f t="array" ref="F1857">F1856</f>
        <v>14</v>
      </c>
      <c r="G1857" s="15" t="str">
        <f>IFERROR(__xludf.DUMMYFUNCTION("IF(E1857&gt;AVERAGE(INDEX(GOOGLEFINANCE(B1857,""volume"",WORKDAY(TODAY(),-$F$1),TODAY()),,2)),""Breakout"","""")"),"")</f>
        <v/>
      </c>
      <c r="H1857" s="16">
        <f>IFERROR(__xludf.DUMMYFUNCTION("GOOGLEFINANCE(B1857,""price"")"),38.54)</f>
        <v>38.54</v>
      </c>
      <c r="I1857" s="17">
        <f>IFERROR(__xludf.DUMMYFUNCTION("AVERAGE(QUERY(SORT(GOOGLEFINANCE(B1857,""price"",TODAY()-365,TODAY()),1,0),""select Col2 limit 10""))"),39.289)</f>
        <v>39.289</v>
      </c>
      <c r="J1857" s="17">
        <f>IFERROR(__xludf.DUMMYFUNCTION("AVERAGE(QUERY(SORT(GOOGLEFINANCE(B1857,""price"",TODAY()-365,TODAY()),1,0),""select Col2 limit 30""))"),39.938)</f>
        <v>39.938</v>
      </c>
      <c r="K1857" s="18">
        <f>IFERROR(__xludf.DUMMYFUNCTION("AVERAGE(QUERY(SORT(GOOGLEFINANCE(B1857,""price"",TODAY()-365,TODAY()),1,0),""select Col2 limit 60""))"),38.80733333333334)</f>
        <v>38.80733333</v>
      </c>
      <c r="L1857" s="17">
        <f>IFERROR(__xludf.DUMMYFUNCTION("AVERAGE(QUERY(SORT(GOOGLEFINANCE(B1857,""price"",TODAY()-365,TODAY()),1,0),""select Col2 limit 90""))"),37.76533333333334)</f>
        <v>37.76533333</v>
      </c>
      <c r="M1857" s="17">
        <f>IFERROR(__xludf.DUMMYFUNCTION("AVERAGE(QUERY(SORT(GOOGLEFINANCE(B1857,""price"",TODAY()-365,TODAY()),1,0),""select Col2 limit 120""))"),38.200583333333334)</f>
        <v>38.20058333</v>
      </c>
      <c r="N1857" s="19">
        <f>IFERROR(__xludf.DUMMYFUNCTION("AVERAGE(QUERY(SORT(GOOGLEFINANCE(B1857,""price"",TODAY()-365,TODAY()),1,0),""select Col2 limit 200""))"),42.82414999999999)</f>
        <v>42.82415</v>
      </c>
      <c r="O1857" s="20" t="str">
        <f t="shared" si="2"/>
        <v>Avoid</v>
      </c>
      <c r="P1857" s="21" t="str">
        <f t="shared" si="3"/>
        <v>60 DMA</v>
      </c>
      <c r="Q1857" s="21" t="str">
        <f t="shared" si="4"/>
        <v/>
      </c>
      <c r="R1857" s="22" t="str">
        <f>IFERROR(__xludf.DUMMYFUNCTION("GOOGLEFINANCE(B1857, ""pe"")
"),"#N/A")</f>
        <v>#N/A</v>
      </c>
    </row>
    <row r="1858">
      <c r="A1858" s="9" t="s">
        <v>1866</v>
      </c>
      <c r="B1858" s="11" t="str">
        <f t="shared" si="1"/>
        <v>NSE:TERASOFT</v>
      </c>
      <c r="C1858" s="12">
        <f>IFERROR(__xludf.DUMMYFUNCTION("GOOGLEFINANCE(B1858,""marketcap"")/10000000"),387.1798324)</f>
        <v>387.1798324</v>
      </c>
      <c r="D1858" s="13">
        <f>IFERROR(__xludf.DUMMYFUNCTION("GOOGLEFINANCE(B1858,""price"")"),309.45)</f>
        <v>309.45</v>
      </c>
      <c r="E1858" s="14">
        <f>IFERROR(__xludf.DUMMYFUNCTION("GOOGLEFINANCE(B1858,""Volume"")"),8470.0)</f>
        <v>8470</v>
      </c>
      <c r="F1858" s="14">
        <f t="array" ref="F1858">F1857</f>
        <v>14</v>
      </c>
      <c r="G1858" s="15" t="str">
        <f>IFERROR(__xludf.DUMMYFUNCTION("IF(E1858&gt;AVERAGE(INDEX(GOOGLEFINANCE(B1858,""volume"",WORKDAY(TODAY(),-$F$1),TODAY()),,2)),""Breakout"","""")"),"")</f>
        <v/>
      </c>
      <c r="H1858" s="16">
        <f>IFERROR(__xludf.DUMMYFUNCTION("GOOGLEFINANCE(B1858,""price"")"),309.45)</f>
        <v>309.45</v>
      </c>
      <c r="I1858" s="17">
        <f>IFERROR(__xludf.DUMMYFUNCTION("AVERAGE(QUERY(SORT(GOOGLEFINANCE(B1858,""price"",TODAY()-365,TODAY()),1,0),""select Col2 limit 10""))"),316.53000000000003)</f>
        <v>316.53</v>
      </c>
      <c r="J1858" s="17">
        <f>IFERROR(__xludf.DUMMYFUNCTION("AVERAGE(QUERY(SORT(GOOGLEFINANCE(B1858,""price"",TODAY()-365,TODAY()),1,0),""select Col2 limit 30""))"),295.50333333333333)</f>
        <v>295.5033333</v>
      </c>
      <c r="K1858" s="18">
        <f>IFERROR(__xludf.DUMMYFUNCTION("AVERAGE(QUERY(SORT(GOOGLEFINANCE(B1858,""price"",TODAY()-365,TODAY()),1,0),""select Col2 limit 60""))"),277.7548333333333)</f>
        <v>277.7548333</v>
      </c>
      <c r="L1858" s="17">
        <f>IFERROR(__xludf.DUMMYFUNCTION("AVERAGE(QUERY(SORT(GOOGLEFINANCE(B1858,""price"",TODAY()-365,TODAY()),1,0),""select Col2 limit 90""))"),253.9159999999999)</f>
        <v>253.916</v>
      </c>
      <c r="M1858" s="17">
        <f>IFERROR(__xludf.DUMMYFUNCTION("AVERAGE(QUERY(SORT(GOOGLEFINANCE(B1858,""price"",TODAY()-365,TODAY()),1,0),""select Col2 limit 120""))"),243.63949999999994)</f>
        <v>243.6395</v>
      </c>
      <c r="N1858" s="19">
        <f>IFERROR(__xludf.DUMMYFUNCTION("AVERAGE(QUERY(SORT(GOOGLEFINANCE(B1858,""price"",TODAY()-365,TODAY()),1,0),""select Col2 limit 200""))"),209.74485000000013)</f>
        <v>209.74485</v>
      </c>
      <c r="O1858" s="20" t="str">
        <f t="shared" si="2"/>
        <v>Avoid</v>
      </c>
      <c r="P1858" s="21" t="str">
        <f t="shared" si="3"/>
        <v/>
      </c>
      <c r="Q1858" s="21" t="str">
        <f t="shared" si="4"/>
        <v/>
      </c>
      <c r="R1858" s="22">
        <f>IFERROR(__xludf.DUMMYFUNCTION("GOOGLEFINANCE(B1858, ""pe"")
"),41.15)</f>
        <v>41.15</v>
      </c>
    </row>
    <row r="1859">
      <c r="A1859" s="9" t="s">
        <v>1867</v>
      </c>
      <c r="B1859" s="11" t="str">
        <f t="shared" si="1"/>
        <v>NSE:NIBL</v>
      </c>
      <c r="C1859" s="12">
        <f>IFERROR(__xludf.DUMMYFUNCTION("GOOGLEFINANCE(B1859,""marketcap"")/10000000"),58.3958433)</f>
        <v>58.3958433</v>
      </c>
      <c r="D1859" s="13">
        <f>IFERROR(__xludf.DUMMYFUNCTION("GOOGLEFINANCE(B1859,""price"")"),24.1)</f>
        <v>24.1</v>
      </c>
      <c r="E1859" s="14">
        <f>IFERROR(__xludf.DUMMYFUNCTION("GOOGLEFINANCE(B1859,""Volume"")"),35871.0)</f>
        <v>35871</v>
      </c>
      <c r="F1859" s="14">
        <f t="array" ref="F1859">F1858</f>
        <v>14</v>
      </c>
      <c r="G1859" s="15" t="str">
        <f>IFERROR(__xludf.DUMMYFUNCTION("IF(E1859&gt;AVERAGE(INDEX(GOOGLEFINANCE(B1859,""volume"",WORKDAY(TODAY(),-$F$1),TODAY()),,2)),""Breakout"","""")"),"Breakout")</f>
        <v>Breakout</v>
      </c>
      <c r="H1859" s="16">
        <f>IFERROR(__xludf.DUMMYFUNCTION("GOOGLEFINANCE(B1859,""price"")"),24.1)</f>
        <v>24.1</v>
      </c>
      <c r="I1859" s="17">
        <f>IFERROR(__xludf.DUMMYFUNCTION("AVERAGE(QUERY(SORT(GOOGLEFINANCE(B1859,""price"",TODAY()-365,TODAY()),1,0),""select Col2 limit 10""))"),27.016000000000002)</f>
        <v>27.016</v>
      </c>
      <c r="J1859" s="17">
        <f>IFERROR(__xludf.DUMMYFUNCTION("AVERAGE(QUERY(SORT(GOOGLEFINANCE(B1859,""price"",TODAY()-365,TODAY()),1,0),""select Col2 limit 30""))"),28.53899999999999)</f>
        <v>28.539</v>
      </c>
      <c r="K1859" s="18">
        <f>IFERROR(__xludf.DUMMYFUNCTION("AVERAGE(QUERY(SORT(GOOGLEFINANCE(B1859,""price"",TODAY()-365,TODAY()),1,0),""select Col2 limit 60""))"),26.104999999999986)</f>
        <v>26.105</v>
      </c>
      <c r="L1859" s="17">
        <f>IFERROR(__xludf.DUMMYFUNCTION("AVERAGE(QUERY(SORT(GOOGLEFINANCE(B1859,""price"",TODAY()-365,TODAY()),1,0),""select Col2 limit 90""))"),25.16633333333332)</f>
        <v>25.16633333</v>
      </c>
      <c r="M1859" s="17">
        <f>IFERROR(__xludf.DUMMYFUNCTION("AVERAGE(QUERY(SORT(GOOGLEFINANCE(B1859,""price"",TODAY()-365,TODAY()),1,0),""select Col2 limit 120""))"),24.764416666666666)</f>
        <v>24.76441667</v>
      </c>
      <c r="N1859" s="19">
        <f>IFERROR(__xludf.DUMMYFUNCTION("AVERAGE(QUERY(SORT(GOOGLEFINANCE(B1859,""price"",TODAY()-365,TODAY()),1,0),""select Col2 limit 200""))"),26.385949999999998)</f>
        <v>26.38595</v>
      </c>
      <c r="O1859" s="20" t="str">
        <f t="shared" si="2"/>
        <v>Avoid</v>
      </c>
      <c r="P1859" s="21" t="str">
        <f t="shared" si="3"/>
        <v/>
      </c>
      <c r="Q1859" s="21" t="str">
        <f t="shared" si="4"/>
        <v/>
      </c>
      <c r="R1859" s="22">
        <f>IFERROR(__xludf.DUMMYFUNCTION("GOOGLEFINANCE(B1859, ""pe"")
"),3.13)</f>
        <v>3.13</v>
      </c>
    </row>
    <row r="1860">
      <c r="A1860" s="9" t="s">
        <v>1868</v>
      </c>
      <c r="B1860" s="11" t="str">
        <f t="shared" si="1"/>
        <v>NSE:MOKSH</v>
      </c>
      <c r="C1860" s="12">
        <f>IFERROR(__xludf.DUMMYFUNCTION("GOOGLEFINANCE(B1860,""marketcap"")/10000000"),113.814865)</f>
        <v>113.814865</v>
      </c>
      <c r="D1860" s="13">
        <f>IFERROR(__xludf.DUMMYFUNCTION("GOOGLEFINANCE(B1860,""price"")"),13.57)</f>
        <v>13.57</v>
      </c>
      <c r="E1860" s="14">
        <f>IFERROR(__xludf.DUMMYFUNCTION("GOOGLEFINANCE(B1860,""Volume"")"),887574.0)</f>
        <v>887574</v>
      </c>
      <c r="F1860" s="14">
        <f t="array" ref="F1860">F1859</f>
        <v>14</v>
      </c>
      <c r="G1860" s="15" t="str">
        <f>IFERROR(__xludf.DUMMYFUNCTION("IF(E1860&gt;AVERAGE(INDEX(GOOGLEFINANCE(B1860,""volume"",WORKDAY(TODAY(),-$F$1),TODAY()),,2)),""Breakout"","""")"),"Breakout")</f>
        <v>Breakout</v>
      </c>
      <c r="H1860" s="16">
        <f>IFERROR(__xludf.DUMMYFUNCTION("GOOGLEFINANCE(B1860,""price"")"),13.57)</f>
        <v>13.57</v>
      </c>
      <c r="I1860" s="17">
        <f>IFERROR(__xludf.DUMMYFUNCTION("AVERAGE(QUERY(SORT(GOOGLEFINANCE(B1860,""price"",TODAY()-365,TODAY()),1,0),""select Col2 limit 10""))"),14.371)</f>
        <v>14.371</v>
      </c>
      <c r="J1860" s="17">
        <f>IFERROR(__xludf.DUMMYFUNCTION("AVERAGE(QUERY(SORT(GOOGLEFINANCE(B1860,""price"",TODAY()-365,TODAY()),1,0),""select Col2 limit 30""))"),14.577333333333334)</f>
        <v>14.57733333</v>
      </c>
      <c r="K1860" s="18">
        <f>IFERROR(__xludf.DUMMYFUNCTION("AVERAGE(QUERY(SORT(GOOGLEFINANCE(B1860,""price"",TODAY()-365,TODAY()),1,0),""select Col2 limit 60""))"),14.443666666666664)</f>
        <v>14.44366667</v>
      </c>
      <c r="L1860" s="17">
        <f>IFERROR(__xludf.DUMMYFUNCTION("AVERAGE(QUERY(SORT(GOOGLEFINANCE(B1860,""price"",TODAY()-365,TODAY()),1,0),""select Col2 limit 90""))"),14.265111111111112)</f>
        <v>14.26511111</v>
      </c>
      <c r="M1860" s="17">
        <f>IFERROR(__xludf.DUMMYFUNCTION("AVERAGE(QUERY(SORT(GOOGLEFINANCE(B1860,""price"",TODAY()-365,TODAY()),1,0),""select Col2 limit 120""))"),14.099416666666672)</f>
        <v>14.09941667</v>
      </c>
      <c r="N1860" s="19">
        <f>IFERROR(__xludf.DUMMYFUNCTION("AVERAGE(QUERY(SORT(GOOGLEFINANCE(B1860,""price"",TODAY()-365,TODAY()),1,0),""select Col2 limit 200""))"),15.43225)</f>
        <v>15.43225</v>
      </c>
      <c r="O1860" s="20" t="str">
        <f t="shared" si="2"/>
        <v>Avoid</v>
      </c>
      <c r="P1860" s="21" t="str">
        <f t="shared" si="3"/>
        <v/>
      </c>
      <c r="Q1860" s="21" t="str">
        <f t="shared" si="4"/>
        <v/>
      </c>
      <c r="R1860" s="22">
        <f>IFERROR(__xludf.DUMMYFUNCTION("GOOGLEFINANCE(B1860, ""pe"")
"),13.46)</f>
        <v>13.46</v>
      </c>
    </row>
    <row r="1861">
      <c r="A1861" s="9" t="s">
        <v>1869</v>
      </c>
      <c r="B1861" s="11" t="str">
        <f t="shared" si="1"/>
        <v>NSE:BURNPUR</v>
      </c>
      <c r="C1861" s="12" t="str">
        <f>IFERROR(__xludf.DUMMYFUNCTION("GOOGLEFINANCE(B1861,""marketcap"")/10000000"),"#N/A")</f>
        <v>#N/A</v>
      </c>
      <c r="D1861" s="13" t="str">
        <f>IFERROR(__xludf.DUMMYFUNCTION("GOOGLEFINANCE(B1861,""price"")"),"#N/A")</f>
        <v>#N/A</v>
      </c>
      <c r="E1861" s="14" t="str">
        <f>IFERROR(__xludf.DUMMYFUNCTION("GOOGLEFINANCE(B1861,""Volume"")"),"#N/A")</f>
        <v>#N/A</v>
      </c>
      <c r="F1861" s="14">
        <f t="array" ref="F1861">F1860</f>
        <v>14</v>
      </c>
      <c r="G1861" s="15" t="str">
        <f>IFERROR(__xludf.DUMMYFUNCTION("IF(E1861&gt;AVERAGE(INDEX(GOOGLEFINANCE(B1861,""volume"",WORKDAY(TODAY(),-$F$1),TODAY()),,2)),""Breakout"","""")"),"#N/A")</f>
        <v>#N/A</v>
      </c>
      <c r="H1861" s="16" t="str">
        <f>IFERROR(__xludf.DUMMYFUNCTION("GOOGLEFINANCE(B1861,""price"")"),"#N/A")</f>
        <v>#N/A</v>
      </c>
      <c r="I1861" s="17" t="str">
        <f>IFERROR(__xludf.DUMMYFUNCTION("AVERAGE(QUERY(SORT(GOOGLEFINANCE(B1861,""price"",TODAY()-365,TODAY()),1,0),""select Col2 limit 10""))"),"#N/A")</f>
        <v>#N/A</v>
      </c>
      <c r="J1861" s="17" t="str">
        <f>IFERROR(__xludf.DUMMYFUNCTION("AVERAGE(QUERY(SORT(GOOGLEFINANCE(B1861,""price"",TODAY()-365,TODAY()),1,0),""select Col2 limit 30""))"),"#N/A")</f>
        <v>#N/A</v>
      </c>
      <c r="K1861" s="18" t="str">
        <f>IFERROR(__xludf.DUMMYFUNCTION("AVERAGE(QUERY(SORT(GOOGLEFINANCE(B1861,""price"",TODAY()-365,TODAY()),1,0),""select Col2 limit 60""))"),"#N/A")</f>
        <v>#N/A</v>
      </c>
      <c r="L1861" s="17" t="str">
        <f>IFERROR(__xludf.DUMMYFUNCTION("AVERAGE(QUERY(SORT(GOOGLEFINANCE(B1861,""price"",TODAY()-365,TODAY()),1,0),""select Col2 limit 90""))"),"#N/A")</f>
        <v>#N/A</v>
      </c>
      <c r="M1861" s="17" t="str">
        <f>IFERROR(__xludf.DUMMYFUNCTION("AVERAGE(QUERY(SORT(GOOGLEFINANCE(B1861,""price"",TODAY()-365,TODAY()),1,0),""select Col2 limit 120""))"),"#N/A")</f>
        <v>#N/A</v>
      </c>
      <c r="N1861" s="19" t="str">
        <f>IFERROR(__xludf.DUMMYFUNCTION("AVERAGE(QUERY(SORT(GOOGLEFINANCE(B1861,""price"",TODAY()-365,TODAY()),1,0),""select Col2 limit 200""))"),"#N/A")</f>
        <v>#N/A</v>
      </c>
      <c r="O1861" s="20" t="str">
        <f t="shared" si="2"/>
        <v>#N/A</v>
      </c>
      <c r="P1861" s="21" t="str">
        <f t="shared" si="3"/>
        <v>#N/A</v>
      </c>
      <c r="Q1861" s="21" t="str">
        <f t="shared" si="4"/>
        <v>#N/A</v>
      </c>
      <c r="R1861" s="22" t="str">
        <f>IFERROR(__xludf.DUMMYFUNCTION("GOOGLEFINANCE(B1861, ""pe"")
"),"#N/A")</f>
        <v>#N/A</v>
      </c>
    </row>
    <row r="1862">
      <c r="A1862" s="9" t="s">
        <v>1870</v>
      </c>
      <c r="B1862" s="11" t="str">
        <f t="shared" si="1"/>
        <v>NSE:ROLLT</v>
      </c>
      <c r="C1862" s="12">
        <f>IFERROR(__xludf.DUMMYFUNCTION("GOOGLEFINANCE(B1862,""marketcap"")/10000000"),39.7706604)</f>
        <v>39.7706604</v>
      </c>
      <c r="D1862" s="13">
        <f>IFERROR(__xludf.DUMMYFUNCTION("GOOGLEFINANCE(B1862,""price"")"),1.56)</f>
        <v>1.56</v>
      </c>
      <c r="E1862" s="14">
        <f>IFERROR(__xludf.DUMMYFUNCTION("GOOGLEFINANCE(B1862,""Volume"")"),65427.0)</f>
        <v>65427</v>
      </c>
      <c r="F1862" s="14">
        <f t="array" ref="F1862">F1861</f>
        <v>14</v>
      </c>
      <c r="G1862" s="15" t="str">
        <f>IFERROR(__xludf.DUMMYFUNCTION("IF(E1862&gt;AVERAGE(INDEX(GOOGLEFINANCE(B1862,""volume"",WORKDAY(TODAY(),-$F$1),TODAY()),,2)),""Breakout"","""")"),"")</f>
        <v/>
      </c>
      <c r="H1862" s="16">
        <f>IFERROR(__xludf.DUMMYFUNCTION("GOOGLEFINANCE(B1862,""price"")"),1.56)</f>
        <v>1.56</v>
      </c>
      <c r="I1862" s="17">
        <f>IFERROR(__xludf.DUMMYFUNCTION("AVERAGE(QUERY(SORT(GOOGLEFINANCE(B1862,""price"",TODAY()-365,TODAY()),1,0),""select Col2 limit 10""))"),1.658)</f>
        <v>1.658</v>
      </c>
      <c r="J1862" s="17">
        <f>IFERROR(__xludf.DUMMYFUNCTION("AVERAGE(QUERY(SORT(GOOGLEFINANCE(B1862,""price"",TODAY()-365,TODAY()),1,0),""select Col2 limit 30""))"),1.7343333333333333)</f>
        <v>1.734333333</v>
      </c>
      <c r="K1862" s="18">
        <f>IFERROR(__xludf.DUMMYFUNCTION("AVERAGE(QUERY(SORT(GOOGLEFINANCE(B1862,""price"",TODAY()-365,TODAY()),1,0),""select Col2 limit 60""))"),1.7741666666666667)</f>
        <v>1.774166667</v>
      </c>
      <c r="L1862" s="17">
        <f>IFERROR(__xludf.DUMMYFUNCTION("AVERAGE(QUERY(SORT(GOOGLEFINANCE(B1862,""price"",TODAY()-365,TODAY()),1,0),""select Col2 limit 90""))"),1.6637777777777778)</f>
        <v>1.663777778</v>
      </c>
      <c r="M1862" s="17">
        <f>IFERROR(__xludf.DUMMYFUNCTION("AVERAGE(QUERY(SORT(GOOGLEFINANCE(B1862,""price"",TODAY()-365,TODAY()),1,0),""select Col2 limit 120""))"),1.663666666666667)</f>
        <v>1.663666667</v>
      </c>
      <c r="N1862" s="19">
        <f>IFERROR(__xludf.DUMMYFUNCTION("AVERAGE(QUERY(SORT(GOOGLEFINANCE(B1862,""price"",TODAY()-365,TODAY()),1,0),""select Col2 limit 200""))"),1.9041999999999992)</f>
        <v>1.9042</v>
      </c>
      <c r="O1862" s="20" t="str">
        <f t="shared" si="2"/>
        <v>Avoid</v>
      </c>
      <c r="P1862" s="21" t="str">
        <f t="shared" si="3"/>
        <v/>
      </c>
      <c r="Q1862" s="21" t="str">
        <f t="shared" si="4"/>
        <v/>
      </c>
      <c r="R1862" s="22" t="str">
        <f>IFERROR(__xludf.DUMMYFUNCTION("GOOGLEFINANCE(B1862, ""pe"")
"),"#N/A")</f>
        <v>#N/A</v>
      </c>
    </row>
    <row r="1863">
      <c r="A1863" s="9" t="s">
        <v>1871</v>
      </c>
      <c r="B1863" s="11" t="str">
        <f t="shared" si="1"/>
        <v>NSE:SVPGLOB</v>
      </c>
      <c r="C1863" s="12">
        <f>IFERROR(__xludf.DUMMYFUNCTION("GOOGLEFINANCE(B1863,""marketcap"")/10000000"),46.4255009)</f>
        <v>46.4255009</v>
      </c>
      <c r="D1863" s="13">
        <f>IFERROR(__xludf.DUMMYFUNCTION("GOOGLEFINANCE(B1863,""price"")"),3.67)</f>
        <v>3.67</v>
      </c>
      <c r="E1863" s="14">
        <f>IFERROR(__xludf.DUMMYFUNCTION("GOOGLEFINANCE(B1863,""Volume"")"),50994.0)</f>
        <v>50994</v>
      </c>
      <c r="F1863" s="14">
        <f t="array" ref="F1863">F1862</f>
        <v>14</v>
      </c>
      <c r="G1863" s="15" t="str">
        <f>IFERROR(__xludf.DUMMYFUNCTION("IF(E1863&gt;AVERAGE(INDEX(GOOGLEFINANCE(B1863,""volume"",WORKDAY(TODAY(),-$F$1),TODAY()),,2)),""Breakout"","""")"),"")</f>
        <v/>
      </c>
      <c r="H1863" s="16">
        <f>IFERROR(__xludf.DUMMYFUNCTION("GOOGLEFINANCE(B1863,""price"")"),3.67)</f>
        <v>3.67</v>
      </c>
      <c r="I1863" s="17">
        <f>IFERROR(__xludf.DUMMYFUNCTION("AVERAGE(QUERY(SORT(GOOGLEFINANCE(B1863,""price"",TODAY()-365,TODAY()),1,0),""select Col2 limit 10""))"),3.528)</f>
        <v>3.528</v>
      </c>
      <c r="J1863" s="17">
        <f>IFERROR(__xludf.DUMMYFUNCTION("AVERAGE(QUERY(SORT(GOOGLEFINANCE(B1863,""price"",TODAY()-365,TODAY()),1,0),""select Col2 limit 30""))"),3.448666666666666)</f>
        <v>3.448666667</v>
      </c>
      <c r="K1863" s="18">
        <f>IFERROR(__xludf.DUMMYFUNCTION("AVERAGE(QUERY(SORT(GOOGLEFINANCE(B1863,""price"",TODAY()-365,TODAY()),1,0),""select Col2 limit 60""))"),3.3658333333333323)</f>
        <v>3.365833333</v>
      </c>
      <c r="L1863" s="17">
        <f>IFERROR(__xludf.DUMMYFUNCTION("AVERAGE(QUERY(SORT(GOOGLEFINANCE(B1863,""price"",TODAY()-365,TODAY()),1,0),""select Col2 limit 90""))"),3.2082222222222203)</f>
        <v>3.208222222</v>
      </c>
      <c r="M1863" s="17">
        <f>IFERROR(__xludf.DUMMYFUNCTION("AVERAGE(QUERY(SORT(GOOGLEFINANCE(B1863,""price"",TODAY()-365,TODAY()),1,0),""select Col2 limit 120""))"),3.2948333333333313)</f>
        <v>3.294833333</v>
      </c>
      <c r="N1863" s="19">
        <f>IFERROR(__xludf.DUMMYFUNCTION("AVERAGE(QUERY(SORT(GOOGLEFINANCE(B1863,""price"",TODAY()-365,TODAY()),1,0),""select Col2 limit 200""))"),4.2749999999999995)</f>
        <v>4.275</v>
      </c>
      <c r="O1863" s="20" t="str">
        <f t="shared" si="2"/>
        <v>Buy Above 200 DMA</v>
      </c>
      <c r="P1863" s="21" t="str">
        <f t="shared" si="3"/>
        <v/>
      </c>
      <c r="Q1863" s="21" t="str">
        <f t="shared" si="4"/>
        <v/>
      </c>
      <c r="R1863" s="22" t="str">
        <f>IFERROR(__xludf.DUMMYFUNCTION("GOOGLEFINANCE(B1863, ""pe"")
"),"#N/A")</f>
        <v>#N/A</v>
      </c>
    </row>
    <row r="1864">
      <c r="A1864" s="9" t="s">
        <v>1872</v>
      </c>
      <c r="B1864" s="11" t="str">
        <f t="shared" si="1"/>
        <v>NSE:CEREBRAINT</v>
      </c>
      <c r="C1864" s="12">
        <f>IFERROR(__xludf.DUMMYFUNCTION("GOOGLEFINANCE(B1864,""marketcap"")/10000000"),108.0838446)</f>
        <v>108.0838446</v>
      </c>
      <c r="D1864" s="13">
        <f>IFERROR(__xludf.DUMMYFUNCTION("GOOGLEFINANCE(B1864,""price"")"),8.91)</f>
        <v>8.91</v>
      </c>
      <c r="E1864" s="14">
        <f>IFERROR(__xludf.DUMMYFUNCTION("GOOGLEFINANCE(B1864,""Volume"")"),38305.0)</f>
        <v>38305</v>
      </c>
      <c r="F1864" s="14">
        <f t="array" ref="F1864">F1863</f>
        <v>14</v>
      </c>
      <c r="G1864" s="15" t="str">
        <f>IFERROR(__xludf.DUMMYFUNCTION("IF(E1864&gt;AVERAGE(INDEX(GOOGLEFINANCE(B1864,""volume"",WORKDAY(TODAY(),-$F$1),TODAY()),,2)),""Breakout"","""")"),"")</f>
        <v/>
      </c>
      <c r="H1864" s="16">
        <f>IFERROR(__xludf.DUMMYFUNCTION("GOOGLEFINANCE(B1864,""price"")"),8.91)</f>
        <v>8.91</v>
      </c>
      <c r="I1864" s="17">
        <f>IFERROR(__xludf.DUMMYFUNCTION("AVERAGE(QUERY(SORT(GOOGLEFINANCE(B1864,""price"",TODAY()-365,TODAY()),1,0),""select Col2 limit 10""))"),8.473)</f>
        <v>8.473</v>
      </c>
      <c r="J1864" s="17">
        <f>IFERROR(__xludf.DUMMYFUNCTION("AVERAGE(QUERY(SORT(GOOGLEFINANCE(B1864,""price"",TODAY()-365,TODAY()),1,0),""select Col2 limit 30""))"),7.398333333333334)</f>
        <v>7.398333333</v>
      </c>
      <c r="K1864" s="18">
        <f>IFERROR(__xludf.DUMMYFUNCTION("AVERAGE(QUERY(SORT(GOOGLEFINANCE(B1864,""price"",TODAY()-365,TODAY()),1,0),""select Col2 limit 60""))"),6.4298333333333355)</f>
        <v>6.429833333</v>
      </c>
      <c r="L1864" s="17">
        <f>IFERROR(__xludf.DUMMYFUNCTION("AVERAGE(QUERY(SORT(GOOGLEFINANCE(B1864,""price"",TODAY()-365,TODAY()),1,0),""select Col2 limit 90""))"),5.886333333333335)</f>
        <v>5.886333333</v>
      </c>
      <c r="M1864" s="17">
        <f>IFERROR(__xludf.DUMMYFUNCTION("AVERAGE(QUERY(SORT(GOOGLEFINANCE(B1864,""price"",TODAY()-365,TODAY()),1,0),""select Col2 limit 120""))"),6.011083333333335)</f>
        <v>6.011083333</v>
      </c>
      <c r="N1864" s="19">
        <f>IFERROR(__xludf.DUMMYFUNCTION("AVERAGE(QUERY(SORT(GOOGLEFINANCE(B1864,""price"",TODAY()-365,TODAY()),1,0),""select Col2 limit 200""))"),7.599600000000004)</f>
        <v>7.5996</v>
      </c>
      <c r="O1864" s="20" t="str">
        <f t="shared" si="2"/>
        <v>Avoid</v>
      </c>
      <c r="P1864" s="21" t="str">
        <f t="shared" si="3"/>
        <v/>
      </c>
      <c r="Q1864" s="21" t="str">
        <f t="shared" si="4"/>
        <v/>
      </c>
      <c r="R1864" s="22" t="str">
        <f>IFERROR(__xludf.DUMMYFUNCTION("GOOGLEFINANCE(B1864, ""pe"")
"),"#N/A")</f>
        <v>#N/A</v>
      </c>
    </row>
    <row r="1865">
      <c r="A1865" s="9" t="s">
        <v>1873</v>
      </c>
      <c r="B1865" s="11" t="str">
        <f t="shared" si="1"/>
        <v>NSE:HOVS</v>
      </c>
      <c r="C1865" s="12">
        <f>IFERROR(__xludf.DUMMYFUNCTION("GOOGLEFINANCE(B1865,""marketcap"")/10000000"),72.0054411)</f>
        <v>72.0054411</v>
      </c>
      <c r="D1865" s="13">
        <f>IFERROR(__xludf.DUMMYFUNCTION("GOOGLEFINANCE(B1865,""price"")"),57.17)</f>
        <v>57.17</v>
      </c>
      <c r="E1865" s="14">
        <f>IFERROR(__xludf.DUMMYFUNCTION("GOOGLEFINANCE(B1865,""Volume"")"),2366.0)</f>
        <v>2366</v>
      </c>
      <c r="F1865" s="14">
        <f t="array" ref="F1865">F1864</f>
        <v>14</v>
      </c>
      <c r="G1865" s="15" t="str">
        <f>IFERROR(__xludf.DUMMYFUNCTION("IF(E1865&gt;AVERAGE(INDEX(GOOGLEFINANCE(B1865,""volume"",WORKDAY(TODAY(),-$F$1),TODAY()),,2)),""Breakout"","""")"),"")</f>
        <v/>
      </c>
      <c r="H1865" s="16">
        <f>IFERROR(__xludf.DUMMYFUNCTION("GOOGLEFINANCE(B1865,""price"")"),57.17)</f>
        <v>57.17</v>
      </c>
      <c r="I1865" s="17" t="str">
        <f>IFERROR(__xludf.DUMMYFUNCTION("AVERAGE(QUERY(SORT(GOOGLEFINANCE(B1865,""price"",TODAY()-365,TODAY()),1,0),""select Col2 limit 10""))"),"#N/A")</f>
        <v>#N/A</v>
      </c>
      <c r="J1865" s="17" t="str">
        <f>IFERROR(__xludf.DUMMYFUNCTION("AVERAGE(QUERY(SORT(GOOGLEFINANCE(B1865,""price"",TODAY()-365,TODAY()),1,0),""select Col2 limit 30""))"),"#N/A")</f>
        <v>#N/A</v>
      </c>
      <c r="K1865" s="18" t="str">
        <f>IFERROR(__xludf.DUMMYFUNCTION("AVERAGE(QUERY(SORT(GOOGLEFINANCE(B1865,""price"",TODAY()-365,TODAY()),1,0),""select Col2 limit 60""))"),"#N/A")</f>
        <v>#N/A</v>
      </c>
      <c r="L1865" s="17" t="str">
        <f>IFERROR(__xludf.DUMMYFUNCTION("AVERAGE(QUERY(SORT(GOOGLEFINANCE(B1865,""price"",TODAY()-365,TODAY()),1,0),""select Col2 limit 90""))"),"#N/A")</f>
        <v>#N/A</v>
      </c>
      <c r="M1865" s="17" t="str">
        <f>IFERROR(__xludf.DUMMYFUNCTION("AVERAGE(QUERY(SORT(GOOGLEFINANCE(B1865,""price"",TODAY()-365,TODAY()),1,0),""select Col2 limit 120""))"),"#N/A")</f>
        <v>#N/A</v>
      </c>
      <c r="N1865" s="19" t="str">
        <f>IFERROR(__xludf.DUMMYFUNCTION("AVERAGE(QUERY(SORT(GOOGLEFINANCE(B1865,""price"",TODAY()-365,TODAY()),1,0),""select Col2 limit 200""))"),"#N/A")</f>
        <v>#N/A</v>
      </c>
      <c r="O1865" s="20" t="str">
        <f t="shared" si="2"/>
        <v>#N/A</v>
      </c>
      <c r="P1865" s="21" t="str">
        <f t="shared" si="3"/>
        <v>#N/A</v>
      </c>
      <c r="Q1865" s="21" t="str">
        <f t="shared" si="4"/>
        <v>#N/A</v>
      </c>
      <c r="R1865" s="22">
        <f>IFERROR(__xludf.DUMMYFUNCTION("GOOGLEFINANCE(B1865, ""pe"")
"),17.05)</f>
        <v>17.05</v>
      </c>
    </row>
    <row r="1866">
      <c r="A1866" s="9" t="s">
        <v>1874</v>
      </c>
      <c r="B1866" s="11" t="str">
        <f t="shared" si="1"/>
        <v>NSE:ARCHIES</v>
      </c>
      <c r="C1866" s="12">
        <f>IFERROR(__xludf.DUMMYFUNCTION("GOOGLEFINANCE(B1866,""marketcap"")/10000000"),65.9385615)</f>
        <v>65.9385615</v>
      </c>
      <c r="D1866" s="13">
        <f>IFERROR(__xludf.DUMMYFUNCTION("GOOGLEFINANCE(B1866,""price"")"),19.52)</f>
        <v>19.52</v>
      </c>
      <c r="E1866" s="14">
        <f>IFERROR(__xludf.DUMMYFUNCTION("GOOGLEFINANCE(B1866,""Volume"")"),2335.0)</f>
        <v>2335</v>
      </c>
      <c r="F1866" s="14">
        <f t="array" ref="F1866">F1865</f>
        <v>14</v>
      </c>
      <c r="G1866" s="15" t="str">
        <f>IFERROR(__xludf.DUMMYFUNCTION("IF(E1866&gt;AVERAGE(INDEX(GOOGLEFINANCE(B1866,""volume"",WORKDAY(TODAY(),-$F$1),TODAY()),,2)),""Breakout"","""")"),"")</f>
        <v/>
      </c>
      <c r="H1866" s="16">
        <f>IFERROR(__xludf.DUMMYFUNCTION("GOOGLEFINANCE(B1866,""price"")"),19.52)</f>
        <v>19.52</v>
      </c>
      <c r="I1866" s="17">
        <f>IFERROR(__xludf.DUMMYFUNCTION("AVERAGE(QUERY(SORT(GOOGLEFINANCE(B1866,""price"",TODAY()-365,TODAY()),1,0),""select Col2 limit 10""))"),20.214)</f>
        <v>20.214</v>
      </c>
      <c r="J1866" s="17">
        <f>IFERROR(__xludf.DUMMYFUNCTION("AVERAGE(QUERY(SORT(GOOGLEFINANCE(B1866,""price"",TODAY()-365,TODAY()),1,0),""select Col2 limit 30""))"),21.798333333333332)</f>
        <v>21.79833333</v>
      </c>
      <c r="K1866" s="18">
        <f>IFERROR(__xludf.DUMMYFUNCTION("AVERAGE(QUERY(SORT(GOOGLEFINANCE(B1866,""price"",TODAY()-365,TODAY()),1,0),""select Col2 limit 60""))"),20.695833333333333)</f>
        <v>20.69583333</v>
      </c>
      <c r="L1866" s="17">
        <f>IFERROR(__xludf.DUMMYFUNCTION("AVERAGE(QUERY(SORT(GOOGLEFINANCE(B1866,""price"",TODAY()-365,TODAY()),1,0),""select Col2 limit 90""))"),19.66755555555555)</f>
        <v>19.66755556</v>
      </c>
      <c r="M1866" s="17">
        <f>IFERROR(__xludf.DUMMYFUNCTION("AVERAGE(QUERY(SORT(GOOGLEFINANCE(B1866,""price"",TODAY()-365,TODAY()),1,0),""select Col2 limit 120""))"),19.707416666666656)</f>
        <v>19.70741667</v>
      </c>
      <c r="N1866" s="19">
        <f>IFERROR(__xludf.DUMMYFUNCTION("AVERAGE(QUERY(SORT(GOOGLEFINANCE(B1866,""price"",TODAY()-365,TODAY()),1,0),""select Col2 limit 200""))"),22.07175)</f>
        <v>22.07175</v>
      </c>
      <c r="O1866" s="20" t="str">
        <f t="shared" si="2"/>
        <v>Avoid</v>
      </c>
      <c r="P1866" s="21" t="str">
        <f t="shared" si="3"/>
        <v>90 DMA</v>
      </c>
      <c r="Q1866" s="21" t="str">
        <f t="shared" si="4"/>
        <v/>
      </c>
      <c r="R1866" s="22" t="str">
        <f>IFERROR(__xludf.DUMMYFUNCTION("GOOGLEFINANCE(B1866, ""pe"")
"),"#N/A")</f>
        <v>#N/A</v>
      </c>
    </row>
    <row r="1867">
      <c r="A1867" s="9" t="s">
        <v>1875</v>
      </c>
      <c r="B1867" s="11" t="str">
        <f t="shared" si="1"/>
        <v>NSE:GATECH</v>
      </c>
      <c r="C1867" s="12">
        <f>IFERROR(__xludf.DUMMYFUNCTION("GOOGLEFINANCE(B1867,""marketcap"")/10000000"),63.9590341)</f>
        <v>63.9590341</v>
      </c>
      <c r="D1867" s="13">
        <f>IFERROR(__xludf.DUMMYFUNCTION("GOOGLEFINANCE(B1867,""price"")"),0.6)</f>
        <v>0.6</v>
      </c>
      <c r="E1867" s="14">
        <f>IFERROR(__xludf.DUMMYFUNCTION("GOOGLEFINANCE(B1867,""Volume"")"),3.756584E7)</f>
        <v>37565840</v>
      </c>
      <c r="F1867" s="14">
        <f t="array" ref="F1867">F1866</f>
        <v>14</v>
      </c>
      <c r="G1867" s="15" t="str">
        <f>IFERROR(__xludf.DUMMYFUNCTION("IF(E1867&gt;AVERAGE(INDEX(GOOGLEFINANCE(B1867,""volume"",WORKDAY(TODAY(),-$F$1),TODAY()),,2)),""Breakout"","""")"),"Breakout")</f>
        <v>Breakout</v>
      </c>
      <c r="H1867" s="16">
        <f>IFERROR(__xludf.DUMMYFUNCTION("GOOGLEFINANCE(B1867,""price"")"),0.6)</f>
        <v>0.6</v>
      </c>
      <c r="I1867" s="17">
        <f>IFERROR(__xludf.DUMMYFUNCTION("AVERAGE(QUERY(SORT(GOOGLEFINANCE(B1867,""price"",TODAY()-365,TODAY()),1,0),""select Col2 limit 10""))"),0.7120000000000001)</f>
        <v>0.712</v>
      </c>
      <c r="J1867" s="17">
        <f>IFERROR(__xludf.DUMMYFUNCTION("AVERAGE(QUERY(SORT(GOOGLEFINANCE(B1867,""price"",TODAY()-365,TODAY()),1,0),""select Col2 limit 30""))"),0.8543333333333333)</f>
        <v>0.8543333333</v>
      </c>
      <c r="K1867" s="18">
        <f>IFERROR(__xludf.DUMMYFUNCTION("AVERAGE(QUERY(SORT(GOOGLEFINANCE(B1867,""price"",TODAY()-365,TODAY()),1,0),""select Col2 limit 60""))"),0.8376666666666671)</f>
        <v>0.8376666667</v>
      </c>
      <c r="L1867" s="17">
        <f>IFERROR(__xludf.DUMMYFUNCTION("AVERAGE(QUERY(SORT(GOOGLEFINANCE(B1867,""price"",TODAY()-365,TODAY()),1,0),""select Col2 limit 90""))"),0.7770000000000006)</f>
        <v>0.777</v>
      </c>
      <c r="M1867" s="17">
        <f>IFERROR(__xludf.DUMMYFUNCTION("AVERAGE(QUERY(SORT(GOOGLEFINANCE(B1867,""price"",TODAY()-365,TODAY()),1,0),""select Col2 limit 120""))"),0.7550000000000008)</f>
        <v>0.755</v>
      </c>
      <c r="N1867" s="19">
        <f>IFERROR(__xludf.DUMMYFUNCTION("AVERAGE(QUERY(SORT(GOOGLEFINANCE(B1867,""price"",TODAY()-365,TODAY()),1,0),""select Col2 limit 200""))"),0.7523000000000003)</f>
        <v>0.7523</v>
      </c>
      <c r="O1867" s="20" t="str">
        <f t="shared" si="2"/>
        <v>Avoid</v>
      </c>
      <c r="P1867" s="21" t="str">
        <f t="shared" si="3"/>
        <v/>
      </c>
      <c r="Q1867" s="21" t="str">
        <f t="shared" si="4"/>
        <v/>
      </c>
      <c r="R1867" s="22">
        <f>IFERROR(__xludf.DUMMYFUNCTION("GOOGLEFINANCE(B1867, ""pe"")
"),5.73)</f>
        <v>5.73</v>
      </c>
    </row>
    <row r="1868">
      <c r="A1868" s="9" t="s">
        <v>1876</v>
      </c>
      <c r="B1868" s="11" t="str">
        <f t="shared" si="1"/>
        <v>NSE:GATECHDVR</v>
      </c>
      <c r="C1868" s="12">
        <f>IFERROR(__xludf.DUMMYFUNCTION("GOOGLEFINANCE(B1868,""marketcap"")/10000000"),63.9590341)</f>
        <v>63.9590341</v>
      </c>
      <c r="D1868" s="13">
        <f>IFERROR(__xludf.DUMMYFUNCTION("GOOGLEFINANCE(B1868,""price"")"),0.57)</f>
        <v>0.57</v>
      </c>
      <c r="E1868" s="14">
        <f>IFERROR(__xludf.DUMMYFUNCTION("GOOGLEFINANCE(B1868,""Volume"")"),704718.0)</f>
        <v>704718</v>
      </c>
      <c r="F1868" s="14">
        <f t="array" ref="F1868">F1867</f>
        <v>14</v>
      </c>
      <c r="G1868" s="15" t="str">
        <f>IFERROR(__xludf.DUMMYFUNCTION("IF(E1868&gt;AVERAGE(INDEX(GOOGLEFINANCE(B1868,""volume"",WORKDAY(TODAY(),-$F$1),TODAY()),,2)),""Breakout"","""")"),"")</f>
        <v/>
      </c>
      <c r="H1868" s="16">
        <f>IFERROR(__xludf.DUMMYFUNCTION("GOOGLEFINANCE(B1868,""price"")"),0.57)</f>
        <v>0.57</v>
      </c>
      <c r="I1868" s="17">
        <f>IFERROR(__xludf.DUMMYFUNCTION("AVERAGE(QUERY(SORT(GOOGLEFINANCE(B1868,""price"",TODAY()-365,TODAY()),1,0),""select Col2 limit 10""))"),0.5640000000000001)</f>
        <v>0.564</v>
      </c>
      <c r="J1868" s="17">
        <f>IFERROR(__xludf.DUMMYFUNCTION("AVERAGE(QUERY(SORT(GOOGLEFINANCE(B1868,""price"",TODAY()-365,TODAY()),1,0),""select Col2 limit 30""))"),0.7103333333333336)</f>
        <v>0.7103333333</v>
      </c>
      <c r="K1868" s="18">
        <f>IFERROR(__xludf.DUMMYFUNCTION("AVERAGE(QUERY(SORT(GOOGLEFINANCE(B1868,""price"",TODAY()-365,TODAY()),1,0),""select Col2 limit 60""))"),0.8055000000000003)</f>
        <v>0.8055</v>
      </c>
      <c r="L1868" s="17">
        <f>IFERROR(__xludf.DUMMYFUNCTION("AVERAGE(QUERY(SORT(GOOGLEFINANCE(B1868,""price"",TODAY()-365,TODAY()),1,0),""select Col2 limit 90""))"),0.834666666666667)</f>
        <v>0.8346666667</v>
      </c>
      <c r="M1868" s="17">
        <f>IFERROR(__xludf.DUMMYFUNCTION("AVERAGE(QUERY(SORT(GOOGLEFINANCE(B1868,""price"",TODAY()-365,TODAY()),1,0),""select Col2 limit 120""))"),0.8485000000000003)</f>
        <v>0.8485</v>
      </c>
      <c r="N1868" s="19">
        <f>IFERROR(__xludf.DUMMYFUNCTION("AVERAGE(QUERY(SORT(GOOGLEFINANCE(B1868,""price"",TODAY()-365,TODAY()),1,0),""select Col2 limit 200""))"),0.8889)</f>
        <v>0.8889</v>
      </c>
      <c r="O1868" s="20" t="str">
        <f t="shared" si="2"/>
        <v>Avoid</v>
      </c>
      <c r="P1868" s="21" t="str">
        <f t="shared" si="3"/>
        <v/>
      </c>
      <c r="Q1868" s="21" t="str">
        <f t="shared" si="4"/>
        <v/>
      </c>
      <c r="R1868" s="22" t="str">
        <f>IFERROR(__xludf.DUMMYFUNCTION("GOOGLEFINANCE(B1868, ""pe"")
"),"#N/A")</f>
        <v>#N/A</v>
      </c>
    </row>
    <row r="1869">
      <c r="A1869" s="9" t="s">
        <v>1877</v>
      </c>
      <c r="B1869" s="11" t="str">
        <f t="shared" si="1"/>
        <v>NSE:21STCENMGM</v>
      </c>
      <c r="C1869" s="12">
        <f>IFERROR(__xludf.DUMMYFUNCTION("GOOGLEFINANCE(B1869,""marketcap"")/10000000"),63.9450016)</f>
        <v>63.9450016</v>
      </c>
      <c r="D1869" s="13">
        <f>IFERROR(__xludf.DUMMYFUNCTION("GOOGLEFINANCE(B1869,""price"")"),60.9)</f>
        <v>60.9</v>
      </c>
      <c r="E1869" s="14">
        <f>IFERROR(__xludf.DUMMYFUNCTION("GOOGLEFINANCE(B1869,""Volume"")"),4227.0)</f>
        <v>4227</v>
      </c>
      <c r="F1869" s="14">
        <f t="array" ref="F1869">F1868</f>
        <v>14</v>
      </c>
      <c r="G1869" s="15" t="str">
        <f>IFERROR(__xludf.DUMMYFUNCTION("IF(E1869&gt;AVERAGE(INDEX(GOOGLEFINANCE(B1869,""volume"",WORKDAY(TODAY(),-$F$1),TODAY()),,2)),""Breakout"","""")"),"")</f>
        <v/>
      </c>
      <c r="H1869" s="16">
        <f>IFERROR(__xludf.DUMMYFUNCTION("GOOGLEFINANCE(B1869,""price"")"),60.9)</f>
        <v>60.9</v>
      </c>
      <c r="I1869" s="17">
        <f>IFERROR(__xludf.DUMMYFUNCTION("AVERAGE(QUERY(SORT(GOOGLEFINANCE(B1869,""price"",TODAY()-365,TODAY()),1,0),""select Col2 limit 10""))"),59.09100000000001)</f>
        <v>59.091</v>
      </c>
      <c r="J1869" s="17">
        <f>IFERROR(__xludf.DUMMYFUNCTION("AVERAGE(QUERY(SORT(GOOGLEFINANCE(B1869,""price"",TODAY()-365,TODAY()),1,0),""select Col2 limit 30""))"),61.175999999999995)</f>
        <v>61.176</v>
      </c>
      <c r="K1869" s="18">
        <f>IFERROR(__xludf.DUMMYFUNCTION("AVERAGE(QUERY(SORT(GOOGLEFINANCE(B1869,""price"",TODAY()-365,TODAY()),1,0),""select Col2 limit 60""))"),65.12816666666666)</f>
        <v>65.12816667</v>
      </c>
      <c r="L1869" s="17">
        <f>IFERROR(__xludf.DUMMYFUNCTION("AVERAGE(QUERY(SORT(GOOGLEFINANCE(B1869,""price"",TODAY()-365,TODAY()),1,0),""select Col2 limit 90""))"),67.01755555555556)</f>
        <v>67.01755556</v>
      </c>
      <c r="M1869" s="17">
        <f>IFERROR(__xludf.DUMMYFUNCTION("AVERAGE(QUERY(SORT(GOOGLEFINANCE(B1869,""price"",TODAY()-365,TODAY()),1,0),""select Col2 limit 120""))"),68.33583333333333)</f>
        <v>68.33583333</v>
      </c>
      <c r="N1869" s="19">
        <f>IFERROR(__xludf.DUMMYFUNCTION("AVERAGE(QUERY(SORT(GOOGLEFINANCE(B1869,""price"",TODAY()-365,TODAY()),1,0),""select Col2 limit 200""))"),80.64229999999996)</f>
        <v>80.6423</v>
      </c>
      <c r="O1869" s="20" t="str">
        <f t="shared" si="2"/>
        <v>Avoid</v>
      </c>
      <c r="P1869" s="21" t="str">
        <f t="shared" si="3"/>
        <v>30 DMA</v>
      </c>
      <c r="Q1869" s="21" t="str">
        <f t="shared" si="4"/>
        <v>30 DMA cross best</v>
      </c>
      <c r="R1869" s="22">
        <f>IFERROR(__xludf.DUMMYFUNCTION("GOOGLEFINANCE(B1869, ""pe"")
"),5.18)</f>
        <v>5.18</v>
      </c>
    </row>
    <row r="1870">
      <c r="A1870" s="9" t="s">
        <v>1878</v>
      </c>
      <c r="B1870" s="11" t="str">
        <f t="shared" si="1"/>
        <v>NSE:GTECJAINX</v>
      </c>
      <c r="C1870" s="12">
        <f>IFERROR(__xludf.DUMMYFUNCTION("GOOGLEFINANCE(B1870,""marketcap"")/10000000"),27.51057)</f>
        <v>27.51057</v>
      </c>
      <c r="D1870" s="13">
        <f>IFERROR(__xludf.DUMMYFUNCTION("GOOGLEFINANCE(B1870,""price"")"),27.0)</f>
        <v>27</v>
      </c>
      <c r="E1870" s="14">
        <f>IFERROR(__xludf.DUMMYFUNCTION("GOOGLEFINANCE(B1870,""Volume"")"),260.0)</f>
        <v>260</v>
      </c>
      <c r="F1870" s="14">
        <f t="array" ref="F1870">F1869</f>
        <v>14</v>
      </c>
      <c r="G1870" s="15" t="str">
        <f>IFERROR(__xludf.DUMMYFUNCTION("IF(E1870&gt;AVERAGE(INDEX(GOOGLEFINANCE(B1870,""volume"",WORKDAY(TODAY(),-$F$1),TODAY()),,2)),""Breakout"","""")"),"")</f>
        <v/>
      </c>
      <c r="H1870" s="16">
        <f>IFERROR(__xludf.DUMMYFUNCTION("GOOGLEFINANCE(B1870,""price"")"),27.0)</f>
        <v>27</v>
      </c>
      <c r="I1870" s="17">
        <f>IFERROR(__xludf.DUMMYFUNCTION("AVERAGE(QUERY(SORT(GOOGLEFINANCE(B1870,""price"",TODAY()-365,TODAY()),1,0),""select Col2 limit 10""))"),26.467000000000002)</f>
        <v>26.467</v>
      </c>
      <c r="J1870" s="17">
        <f>IFERROR(__xludf.DUMMYFUNCTION("AVERAGE(QUERY(SORT(GOOGLEFINANCE(B1870,""price"",TODAY()-365,TODAY()),1,0),""select Col2 limit 30""))"),24.625)</f>
        <v>24.625</v>
      </c>
      <c r="K1870" s="18">
        <f>IFERROR(__xludf.DUMMYFUNCTION("AVERAGE(QUERY(SORT(GOOGLEFINANCE(B1870,""price"",TODAY()-365,TODAY()),1,0),""select Col2 limit 60""))"),24.489166666666673)</f>
        <v>24.48916667</v>
      </c>
      <c r="L1870" s="17">
        <f>IFERROR(__xludf.DUMMYFUNCTION("AVERAGE(QUERY(SORT(GOOGLEFINANCE(B1870,""price"",TODAY()-365,TODAY()),1,0),""select Col2 limit 90""))"),26.53633333333333)</f>
        <v>26.53633333</v>
      </c>
      <c r="M1870" s="17">
        <f>IFERROR(__xludf.DUMMYFUNCTION("AVERAGE(QUERY(SORT(GOOGLEFINANCE(B1870,""price"",TODAY()-365,TODAY()),1,0),""select Col2 limit 120""))"),28.125416666666663)</f>
        <v>28.12541667</v>
      </c>
      <c r="N1870" s="19">
        <f>IFERROR(__xludf.DUMMYFUNCTION("AVERAGE(QUERY(SORT(GOOGLEFINANCE(B1870,""price"",TODAY()-365,TODAY()),1,0),""select Col2 limit 200""))"),33.17885000000001)</f>
        <v>33.17885</v>
      </c>
      <c r="O1870" s="20" t="str">
        <f t="shared" si="2"/>
        <v>Avoid</v>
      </c>
      <c r="P1870" s="21" t="str">
        <f t="shared" si="3"/>
        <v/>
      </c>
      <c r="Q1870" s="21" t="str">
        <f t="shared" si="4"/>
        <v/>
      </c>
      <c r="R1870" s="22" t="str">
        <f>IFERROR(__xludf.DUMMYFUNCTION("GOOGLEFINANCE(B1870, ""pe"")
"),"#N/A")</f>
        <v>#N/A</v>
      </c>
    </row>
    <row r="1871">
      <c r="A1871" s="9" t="s">
        <v>1879</v>
      </c>
      <c r="B1871" s="11" t="str">
        <f t="shared" si="1"/>
        <v>NSE:SHIVAMILLS</v>
      </c>
      <c r="C1871" s="12">
        <f>IFERROR(__xludf.DUMMYFUNCTION("GOOGLEFINANCE(B1871,""marketcap"")/10000000"),66.2135276)</f>
        <v>66.2135276</v>
      </c>
      <c r="D1871" s="13">
        <f>IFERROR(__xludf.DUMMYFUNCTION("GOOGLEFINANCE(B1871,""price"")"),76.62)</f>
        <v>76.62</v>
      </c>
      <c r="E1871" s="14">
        <f>IFERROR(__xludf.DUMMYFUNCTION("GOOGLEFINANCE(B1871,""Volume"")"),255.0)</f>
        <v>255</v>
      </c>
      <c r="F1871" s="14">
        <f t="array" ref="F1871">F1870</f>
        <v>14</v>
      </c>
      <c r="G1871" s="15" t="str">
        <f>IFERROR(__xludf.DUMMYFUNCTION("IF(E1871&gt;AVERAGE(INDEX(GOOGLEFINANCE(B1871,""volume"",WORKDAY(TODAY(),-$F$1),TODAY()),,2)),""Breakout"","""")"),"")</f>
        <v/>
      </c>
      <c r="H1871" s="16">
        <f>IFERROR(__xludf.DUMMYFUNCTION("GOOGLEFINANCE(B1871,""price"")"),76.62)</f>
        <v>76.62</v>
      </c>
      <c r="I1871" s="17">
        <f>IFERROR(__xludf.DUMMYFUNCTION("AVERAGE(QUERY(SORT(GOOGLEFINANCE(B1871,""price"",TODAY()-365,TODAY()),1,0),""select Col2 limit 10""))"),77.523)</f>
        <v>77.523</v>
      </c>
      <c r="J1871" s="17">
        <f>IFERROR(__xludf.DUMMYFUNCTION("AVERAGE(QUERY(SORT(GOOGLEFINANCE(B1871,""price"",TODAY()-365,TODAY()),1,0),""select Col2 limit 30""))"),77.44333333333333)</f>
        <v>77.44333333</v>
      </c>
      <c r="K1871" s="18">
        <f>IFERROR(__xludf.DUMMYFUNCTION("AVERAGE(QUERY(SORT(GOOGLEFINANCE(B1871,""price"",TODAY()-365,TODAY()),1,0),""select Col2 limit 60""))"),76.74066666666668)</f>
        <v>76.74066667</v>
      </c>
      <c r="L1871" s="17">
        <f>IFERROR(__xludf.DUMMYFUNCTION("AVERAGE(QUERY(SORT(GOOGLEFINANCE(B1871,""price"",TODAY()-365,TODAY()),1,0),""select Col2 limit 90""))"),75.84077777777779)</f>
        <v>75.84077778</v>
      </c>
      <c r="M1871" s="17">
        <f>IFERROR(__xludf.DUMMYFUNCTION("AVERAGE(QUERY(SORT(GOOGLEFINANCE(B1871,""price"",TODAY()-365,TODAY()),1,0),""select Col2 limit 120""))"),78.75108333333336)</f>
        <v>78.75108333</v>
      </c>
      <c r="N1871" s="19">
        <f>IFERROR(__xludf.DUMMYFUNCTION("AVERAGE(QUERY(SORT(GOOGLEFINANCE(B1871,""price"",TODAY()-365,TODAY()),1,0),""select Col2 limit 200""))"),85.01510000000003)</f>
        <v>85.0151</v>
      </c>
      <c r="O1871" s="20" t="str">
        <f t="shared" si="2"/>
        <v>Avoid</v>
      </c>
      <c r="P1871" s="21" t="str">
        <f t="shared" si="3"/>
        <v>60 DMA</v>
      </c>
      <c r="Q1871" s="21" t="str">
        <f t="shared" si="4"/>
        <v/>
      </c>
      <c r="R1871" s="22" t="str">
        <f>IFERROR(__xludf.DUMMYFUNCTION("GOOGLEFINANCE(B1871, ""pe"")
"),"#N/A")</f>
        <v>#N/A</v>
      </c>
    </row>
    <row r="1872">
      <c r="A1872" s="9" t="s">
        <v>1880</v>
      </c>
      <c r="B1872" s="11" t="str">
        <f t="shared" si="1"/>
        <v>NSE:SEYAIND</v>
      </c>
      <c r="C1872" s="12">
        <f>IFERROR(__xludf.DUMMYFUNCTION("GOOGLEFINANCE(B1872,""marketcap"")/10000000"),49.2883496)</f>
        <v>49.2883496</v>
      </c>
      <c r="D1872" s="13">
        <f>IFERROR(__xludf.DUMMYFUNCTION("GOOGLEFINANCE(B1872,""price"")"),18.55)</f>
        <v>18.55</v>
      </c>
      <c r="E1872" s="14">
        <f>IFERROR(__xludf.DUMMYFUNCTION("GOOGLEFINANCE(B1872,""Volume"")"),8495.0)</f>
        <v>8495</v>
      </c>
      <c r="F1872" s="14">
        <f t="array" ref="F1872">F1871</f>
        <v>14</v>
      </c>
      <c r="G1872" s="15" t="str">
        <f>IFERROR(__xludf.DUMMYFUNCTION("IF(E1872&gt;AVERAGE(INDEX(GOOGLEFINANCE(B1872,""volume"",WORKDAY(TODAY(),-$F$1),TODAY()),,2)),""Breakout"","""")"),"Breakout")</f>
        <v>Breakout</v>
      </c>
      <c r="H1872" s="16">
        <f>IFERROR(__xludf.DUMMYFUNCTION("GOOGLEFINANCE(B1872,""price"")"),18.55)</f>
        <v>18.55</v>
      </c>
      <c r="I1872" s="17">
        <f>IFERROR(__xludf.DUMMYFUNCTION("AVERAGE(QUERY(SORT(GOOGLEFINANCE(B1872,""price"",TODAY()-365,TODAY()),1,0),""select Col2 limit 10""))"),21.246000000000002)</f>
        <v>21.246</v>
      </c>
      <c r="J1872" s="17">
        <f>IFERROR(__xludf.DUMMYFUNCTION("AVERAGE(QUERY(SORT(GOOGLEFINANCE(B1872,""price"",TODAY()-365,TODAY()),1,0),""select Col2 limit 30""))"),18.99266666666667)</f>
        <v>18.99266667</v>
      </c>
      <c r="K1872" s="18">
        <f>IFERROR(__xludf.DUMMYFUNCTION("AVERAGE(QUERY(SORT(GOOGLEFINANCE(B1872,""price"",TODAY()-365,TODAY()),1,0),""select Col2 limit 60""))"),18.153833333333335)</f>
        <v>18.15383333</v>
      </c>
      <c r="L1872" s="17">
        <f>IFERROR(__xludf.DUMMYFUNCTION("AVERAGE(QUERY(SORT(GOOGLEFINANCE(B1872,""price"",TODAY()-365,TODAY()),1,0),""select Col2 limit 90""))"),20.701888888888885)</f>
        <v>20.70188889</v>
      </c>
      <c r="M1872" s="17">
        <f>IFERROR(__xludf.DUMMYFUNCTION("AVERAGE(QUERY(SORT(GOOGLEFINANCE(B1872,""price"",TODAY()-365,TODAY()),1,0),""select Col2 limit 120""))"),22.560624999999995)</f>
        <v>22.560625</v>
      </c>
      <c r="N1872" s="19">
        <f>IFERROR(__xludf.DUMMYFUNCTION("AVERAGE(QUERY(SORT(GOOGLEFINANCE(B1872,""price"",TODAY()-365,TODAY()),1,0),""select Col2 limit 200""))"),22.560624999999995)</f>
        <v>22.560625</v>
      </c>
      <c r="O1872" s="20" t="str">
        <f t="shared" si="2"/>
        <v>Avoid</v>
      </c>
      <c r="P1872" s="21" t="str">
        <f t="shared" si="3"/>
        <v/>
      </c>
      <c r="Q1872" s="21" t="str">
        <f t="shared" si="4"/>
        <v/>
      </c>
      <c r="R1872" s="22" t="str">
        <f>IFERROR(__xludf.DUMMYFUNCTION("GOOGLEFINANCE(B1872, ""pe"")
"),"#N/A")</f>
        <v>#N/A</v>
      </c>
    </row>
    <row r="1873">
      <c r="A1873" s="9" t="s">
        <v>1881</v>
      </c>
      <c r="B1873" s="11" t="str">
        <f t="shared" si="1"/>
        <v>NSE:AKG</v>
      </c>
      <c r="C1873" s="12">
        <f>IFERROR(__xludf.DUMMYFUNCTION("GOOGLEFINANCE(B1873,""marketcap"")/10000000"),41.8815202)</f>
        <v>41.8815202</v>
      </c>
      <c r="D1873" s="13">
        <f>IFERROR(__xludf.DUMMYFUNCTION("GOOGLEFINANCE(B1873,""price"")"),13.18)</f>
        <v>13.18</v>
      </c>
      <c r="E1873" s="14">
        <f>IFERROR(__xludf.DUMMYFUNCTION("GOOGLEFINANCE(B1873,""Volume"")"),23467.0)</f>
        <v>23467</v>
      </c>
      <c r="F1873" s="14">
        <f t="array" ref="F1873">F1872</f>
        <v>14</v>
      </c>
      <c r="G1873" s="15" t="str">
        <f>IFERROR(__xludf.DUMMYFUNCTION("IF(E1873&gt;AVERAGE(INDEX(GOOGLEFINANCE(B1873,""volume"",WORKDAY(TODAY(),-$F$1),TODAY()),,2)),""Breakout"","""")"),"")</f>
        <v/>
      </c>
      <c r="H1873" s="16">
        <f>IFERROR(__xludf.DUMMYFUNCTION("GOOGLEFINANCE(B1873,""price"")"),13.18)</f>
        <v>13.18</v>
      </c>
      <c r="I1873" s="17">
        <f>IFERROR(__xludf.DUMMYFUNCTION("AVERAGE(QUERY(SORT(GOOGLEFINANCE(B1873,""price"",TODAY()-365,TODAY()),1,0),""select Col2 limit 10""))"),13.423000000000002)</f>
        <v>13.423</v>
      </c>
      <c r="J1873" s="17">
        <f>IFERROR(__xludf.DUMMYFUNCTION("AVERAGE(QUERY(SORT(GOOGLEFINANCE(B1873,""price"",TODAY()-365,TODAY()),1,0),""select Col2 limit 30""))"),13.738333333333333)</f>
        <v>13.73833333</v>
      </c>
      <c r="K1873" s="18">
        <f>IFERROR(__xludf.DUMMYFUNCTION("AVERAGE(QUERY(SORT(GOOGLEFINANCE(B1873,""price"",TODAY()-365,TODAY()),1,0),""select Col2 limit 60""))"),13.688666666666672)</f>
        <v>13.68866667</v>
      </c>
      <c r="L1873" s="17">
        <f>IFERROR(__xludf.DUMMYFUNCTION("AVERAGE(QUERY(SORT(GOOGLEFINANCE(B1873,""price"",TODAY()-365,TODAY()),1,0),""select Col2 limit 90""))"),13.480222222222228)</f>
        <v>13.48022222</v>
      </c>
      <c r="M1873" s="17">
        <f>IFERROR(__xludf.DUMMYFUNCTION("AVERAGE(QUERY(SORT(GOOGLEFINANCE(B1873,""price"",TODAY()-365,TODAY()),1,0),""select Col2 limit 120""))"),14.001500000000002)</f>
        <v>14.0015</v>
      </c>
      <c r="N1873" s="19">
        <f>IFERROR(__xludf.DUMMYFUNCTION("AVERAGE(QUERY(SORT(GOOGLEFINANCE(B1873,""price"",TODAY()-365,TODAY()),1,0),""select Col2 limit 200""))"),15.864899999999995)</f>
        <v>15.8649</v>
      </c>
      <c r="O1873" s="20" t="str">
        <f t="shared" si="2"/>
        <v>Avoid</v>
      </c>
      <c r="P1873" s="21" t="str">
        <f t="shared" si="3"/>
        <v/>
      </c>
      <c r="Q1873" s="21" t="str">
        <f t="shared" si="4"/>
        <v/>
      </c>
      <c r="R1873" s="22">
        <f>IFERROR(__xludf.DUMMYFUNCTION("GOOGLEFINANCE(B1873, ""pe"")
"),48.81)</f>
        <v>48.81</v>
      </c>
    </row>
    <row r="1874">
      <c r="A1874" s="9" t="s">
        <v>1882</v>
      </c>
      <c r="B1874" s="11" t="str">
        <f t="shared" si="1"/>
        <v>NSE:GOLDENTOBC</v>
      </c>
      <c r="C1874" s="12">
        <f>IFERROR(__xludf.DUMMYFUNCTION("GOOGLEFINANCE(B1874,""marketcap"")/10000000"),63.3740741)</f>
        <v>63.3740741</v>
      </c>
      <c r="D1874" s="13">
        <f>IFERROR(__xludf.DUMMYFUNCTION("GOOGLEFINANCE(B1874,""price"")"),35.99)</f>
        <v>35.99</v>
      </c>
      <c r="E1874" s="14">
        <f>IFERROR(__xludf.DUMMYFUNCTION("GOOGLEFINANCE(B1874,""Volume"")"),379.0)</f>
        <v>379</v>
      </c>
      <c r="F1874" s="14">
        <f t="array" ref="F1874">F1873</f>
        <v>14</v>
      </c>
      <c r="G1874" s="15" t="str">
        <f>IFERROR(__xludf.DUMMYFUNCTION("IF(E1874&gt;AVERAGE(INDEX(GOOGLEFINANCE(B1874,""volume"",WORKDAY(TODAY(),-$F$1),TODAY()),,2)),""Breakout"","""")"),"")</f>
        <v/>
      </c>
      <c r="H1874" s="16">
        <f>IFERROR(__xludf.DUMMYFUNCTION("GOOGLEFINANCE(B1874,""price"")"),35.99)</f>
        <v>35.99</v>
      </c>
      <c r="I1874" s="17">
        <f>IFERROR(__xludf.DUMMYFUNCTION("AVERAGE(QUERY(SORT(GOOGLEFINANCE(B1874,""price"",TODAY()-365,TODAY()),1,0),""select Col2 limit 10""))"),34.934)</f>
        <v>34.934</v>
      </c>
      <c r="J1874" s="17">
        <f>IFERROR(__xludf.DUMMYFUNCTION("AVERAGE(QUERY(SORT(GOOGLEFINANCE(B1874,""price"",TODAY()-365,TODAY()),1,0),""select Col2 limit 30""))"),35.396)</f>
        <v>35.396</v>
      </c>
      <c r="K1874" s="18">
        <f>IFERROR(__xludf.DUMMYFUNCTION("AVERAGE(QUERY(SORT(GOOGLEFINANCE(B1874,""price"",TODAY()-365,TODAY()),1,0),""select Col2 limit 60""))"),35.661666666666655)</f>
        <v>35.66166667</v>
      </c>
      <c r="L1874" s="17">
        <f>IFERROR(__xludf.DUMMYFUNCTION("AVERAGE(QUERY(SORT(GOOGLEFINANCE(B1874,""price"",TODAY()-365,TODAY()),1,0),""select Col2 limit 90""))"),35.537666666666674)</f>
        <v>35.53766667</v>
      </c>
      <c r="M1874" s="17">
        <f>IFERROR(__xludf.DUMMYFUNCTION("AVERAGE(QUERY(SORT(GOOGLEFINANCE(B1874,""price"",TODAY()-365,TODAY()),1,0),""select Col2 limit 120""))"),36.57224999999999)</f>
        <v>36.57225</v>
      </c>
      <c r="N1874" s="19">
        <f>IFERROR(__xludf.DUMMYFUNCTION("AVERAGE(QUERY(SORT(GOOGLEFINANCE(B1874,""price"",TODAY()-365,TODAY()),1,0),""select Col2 limit 200""))"),37.675399999999996)</f>
        <v>37.6754</v>
      </c>
      <c r="O1874" s="20" t="str">
        <f t="shared" si="2"/>
        <v>Avoid</v>
      </c>
      <c r="P1874" s="21" t="str">
        <f t="shared" si="3"/>
        <v/>
      </c>
      <c r="Q1874" s="21" t="str">
        <f t="shared" si="4"/>
        <v/>
      </c>
      <c r="R1874" s="22" t="str">
        <f>IFERROR(__xludf.DUMMYFUNCTION("GOOGLEFINANCE(B1874, ""pe"")
"),"#N/A")</f>
        <v>#N/A</v>
      </c>
    </row>
    <row r="1875">
      <c r="A1875" s="9" t="s">
        <v>1883</v>
      </c>
      <c r="B1875" s="11" t="str">
        <f t="shared" si="1"/>
        <v>NSE:BALKRISHNA</v>
      </c>
      <c r="C1875" s="12">
        <f>IFERROR(__xludf.DUMMYFUNCTION("GOOGLEFINANCE(B1875,""marketcap"")/10000000"),68.3698343)</f>
        <v>68.3698343</v>
      </c>
      <c r="D1875" s="13">
        <f>IFERROR(__xludf.DUMMYFUNCTION("GOOGLEFINANCE(B1875,""price"")"),21.29)</f>
        <v>21.29</v>
      </c>
      <c r="E1875" s="14">
        <f>IFERROR(__xludf.DUMMYFUNCTION("GOOGLEFINANCE(B1875,""Volume"")"),659.0)</f>
        <v>659</v>
      </c>
      <c r="F1875" s="14">
        <f t="array" ref="F1875">F1874</f>
        <v>14</v>
      </c>
      <c r="G1875" s="15" t="str">
        <f>IFERROR(__xludf.DUMMYFUNCTION("IF(E1875&gt;AVERAGE(INDEX(GOOGLEFINANCE(B1875,""volume"",WORKDAY(TODAY(),-$F$1),TODAY()),,2)),""Breakout"","""")"),"")</f>
        <v/>
      </c>
      <c r="H1875" s="16">
        <f>IFERROR(__xludf.DUMMYFUNCTION("GOOGLEFINANCE(B1875,""price"")"),21.29)</f>
        <v>21.29</v>
      </c>
      <c r="I1875" s="17">
        <f>IFERROR(__xludf.DUMMYFUNCTION("AVERAGE(QUERY(SORT(GOOGLEFINANCE(B1875,""price"",TODAY()-365,TODAY()),1,0),""select Col2 limit 10""))"),21.493999999999996)</f>
        <v>21.494</v>
      </c>
      <c r="J1875" s="17">
        <f>IFERROR(__xludf.DUMMYFUNCTION("AVERAGE(QUERY(SORT(GOOGLEFINANCE(B1875,""price"",TODAY()-365,TODAY()),1,0),""select Col2 limit 30""))"),21.280999999999995)</f>
        <v>21.281</v>
      </c>
      <c r="K1875" s="18">
        <f>IFERROR(__xludf.DUMMYFUNCTION("AVERAGE(QUERY(SORT(GOOGLEFINANCE(B1875,""price"",TODAY()-365,TODAY()),1,0),""select Col2 limit 60""))"),20.63033333333333)</f>
        <v>20.63033333</v>
      </c>
      <c r="L1875" s="17">
        <f>IFERROR(__xludf.DUMMYFUNCTION("AVERAGE(QUERY(SORT(GOOGLEFINANCE(B1875,""price"",TODAY()-365,TODAY()),1,0),""select Col2 limit 90""))"),19.75155555555555)</f>
        <v>19.75155556</v>
      </c>
      <c r="M1875" s="17">
        <f>IFERROR(__xludf.DUMMYFUNCTION("AVERAGE(QUERY(SORT(GOOGLEFINANCE(B1875,""price"",TODAY()-365,TODAY()),1,0),""select Col2 limit 120""))"),19.851916666666668)</f>
        <v>19.85191667</v>
      </c>
      <c r="N1875" s="19">
        <f>IFERROR(__xludf.DUMMYFUNCTION("AVERAGE(QUERY(SORT(GOOGLEFINANCE(B1875,""price"",TODAY()-365,TODAY()),1,0),""select Col2 limit 200""))"),21.6396)</f>
        <v>21.6396</v>
      </c>
      <c r="O1875" s="20" t="str">
        <f t="shared" si="2"/>
        <v>Avoid</v>
      </c>
      <c r="P1875" s="21" t="str">
        <f t="shared" si="3"/>
        <v>10 DMA</v>
      </c>
      <c r="Q1875" s="21" t="str">
        <f t="shared" si="4"/>
        <v/>
      </c>
      <c r="R1875" s="22" t="str">
        <f>IFERROR(__xludf.DUMMYFUNCTION("GOOGLEFINANCE(B1875, ""pe"")
"),"#N/A")</f>
        <v>#N/A</v>
      </c>
    </row>
    <row r="1876">
      <c r="A1876" s="9" t="s">
        <v>1884</v>
      </c>
      <c r="B1876" s="11" t="str">
        <f t="shared" si="1"/>
        <v>NSE:AARVEEDEN</v>
      </c>
      <c r="C1876" s="12">
        <f>IFERROR(__xludf.DUMMYFUNCTION("GOOGLEFINANCE(B1876,""marketcap"")/10000000"),405.854367)</f>
        <v>405.854367</v>
      </c>
      <c r="D1876" s="13">
        <f>IFERROR(__xludf.DUMMYFUNCTION("GOOGLEFINANCE(B1876,""price"")"),173.0)</f>
        <v>173</v>
      </c>
      <c r="E1876" s="14">
        <f>IFERROR(__xludf.DUMMYFUNCTION("GOOGLEFINANCE(B1876,""Volume"")"),27544.0)</f>
        <v>27544</v>
      </c>
      <c r="F1876" s="14">
        <f t="array" ref="F1876">F1875</f>
        <v>14</v>
      </c>
      <c r="G1876" s="15" t="str">
        <f>IFERROR(__xludf.DUMMYFUNCTION("IF(E1876&gt;AVERAGE(INDEX(GOOGLEFINANCE(B1876,""volume"",WORKDAY(TODAY(),-$F$1),TODAY()),,2)),""Breakout"","""")"),"")</f>
        <v/>
      </c>
      <c r="H1876" s="16">
        <f>IFERROR(__xludf.DUMMYFUNCTION("GOOGLEFINANCE(B1876,""price"")"),173.0)</f>
        <v>173</v>
      </c>
      <c r="I1876" s="17">
        <f>IFERROR(__xludf.DUMMYFUNCTION("AVERAGE(QUERY(SORT(GOOGLEFINANCE(B1876,""price"",TODAY()-365,TODAY()),1,0),""select Col2 limit 10""))"),163.45999999999998)</f>
        <v>163.46</v>
      </c>
      <c r="J1876" s="17">
        <f>IFERROR(__xludf.DUMMYFUNCTION("AVERAGE(QUERY(SORT(GOOGLEFINANCE(B1876,""price"",TODAY()-365,TODAY()),1,0),""select Col2 limit 30""))"),153.49666666666664)</f>
        <v>153.4966667</v>
      </c>
      <c r="K1876" s="18">
        <f>IFERROR(__xludf.DUMMYFUNCTION("AVERAGE(QUERY(SORT(GOOGLEFINANCE(B1876,""price"",TODAY()-365,TODAY()),1,0),""select Col2 limit 60""))"),147.0875)</f>
        <v>147.0875</v>
      </c>
      <c r="L1876" s="17">
        <f>IFERROR(__xludf.DUMMYFUNCTION("AVERAGE(QUERY(SORT(GOOGLEFINANCE(B1876,""price"",TODAY()-365,TODAY()),1,0),""select Col2 limit 90""))"),145.12244444444448)</f>
        <v>145.1224444</v>
      </c>
      <c r="M1876" s="17">
        <f>IFERROR(__xludf.DUMMYFUNCTION("AVERAGE(QUERY(SORT(GOOGLEFINANCE(B1876,""price"",TODAY()-365,TODAY()),1,0),""select Col2 limit 120""))"),144.28650000000005)</f>
        <v>144.2865</v>
      </c>
      <c r="N1876" s="19">
        <f>IFERROR(__xludf.DUMMYFUNCTION("AVERAGE(QUERY(SORT(GOOGLEFINANCE(B1876,""price"",TODAY()-365,TODAY()),1,0),""select Col2 limit 200""))"),120.96095000000003)</f>
        <v>120.96095</v>
      </c>
      <c r="O1876" s="20" t="str">
        <f t="shared" si="2"/>
        <v>Avoid</v>
      </c>
      <c r="P1876" s="21" t="str">
        <f t="shared" si="3"/>
        <v/>
      </c>
      <c r="Q1876" s="21" t="str">
        <f t="shared" si="4"/>
        <v/>
      </c>
      <c r="R1876" s="22">
        <f>IFERROR(__xludf.DUMMYFUNCTION("GOOGLEFINANCE(B1876, ""pe"")
"),21.9)</f>
        <v>21.9</v>
      </c>
    </row>
    <row r="1877">
      <c r="A1877" s="9" t="s">
        <v>1885</v>
      </c>
      <c r="B1877" s="11" t="str">
        <f t="shared" si="1"/>
        <v>NSE:RELIABLE</v>
      </c>
      <c r="C1877" s="12">
        <f>IFERROR(__xludf.DUMMYFUNCTION("GOOGLEFINANCE(B1877,""marketcap"")/10000000"),75.9655206)</f>
        <v>75.9655206</v>
      </c>
      <c r="D1877" s="13">
        <f>IFERROR(__xludf.DUMMYFUNCTION("GOOGLEFINANCE(B1877,""price"")"),73.61)</f>
        <v>73.61</v>
      </c>
      <c r="E1877" s="14">
        <f>IFERROR(__xludf.DUMMYFUNCTION("GOOGLEFINANCE(B1877,""Volume"")"),6970.0)</f>
        <v>6970</v>
      </c>
      <c r="F1877" s="14">
        <f t="array" ref="F1877">F1876</f>
        <v>14</v>
      </c>
      <c r="G1877" s="15" t="str">
        <f>IFERROR(__xludf.DUMMYFUNCTION("IF(E1877&gt;AVERAGE(INDEX(GOOGLEFINANCE(B1877,""volume"",WORKDAY(TODAY(),-$F$1),TODAY()),,2)),""Breakout"","""")"),"")</f>
        <v/>
      </c>
      <c r="H1877" s="16">
        <f>IFERROR(__xludf.DUMMYFUNCTION("GOOGLEFINANCE(B1877,""price"")"),73.61)</f>
        <v>73.61</v>
      </c>
      <c r="I1877" s="17">
        <f>IFERROR(__xludf.DUMMYFUNCTION("AVERAGE(QUERY(SORT(GOOGLEFINANCE(B1877,""price"",TODAY()-365,TODAY()),1,0),""select Col2 limit 10""))"),73.50999999999999)</f>
        <v>73.51</v>
      </c>
      <c r="J1877" s="17">
        <f>IFERROR(__xludf.DUMMYFUNCTION("AVERAGE(QUERY(SORT(GOOGLEFINANCE(B1877,""price"",TODAY()-365,TODAY()),1,0),""select Col2 limit 30""))"),74.54700000000001)</f>
        <v>74.547</v>
      </c>
      <c r="K1877" s="18">
        <f>IFERROR(__xludf.DUMMYFUNCTION("AVERAGE(QUERY(SORT(GOOGLEFINANCE(B1877,""price"",TODAY()-365,TODAY()),1,0),""select Col2 limit 60""))"),75.15183333333334)</f>
        <v>75.15183333</v>
      </c>
      <c r="L1877" s="17">
        <f>IFERROR(__xludf.DUMMYFUNCTION("AVERAGE(QUERY(SORT(GOOGLEFINANCE(B1877,""price"",TODAY()-365,TODAY()),1,0),""select Col2 limit 90""))"),74.92966666666666)</f>
        <v>74.92966667</v>
      </c>
      <c r="M1877" s="17">
        <f>IFERROR(__xludf.DUMMYFUNCTION("AVERAGE(QUERY(SORT(GOOGLEFINANCE(B1877,""price"",TODAY()-365,TODAY()),1,0),""select Col2 limit 120""))"),74.43866666666665)</f>
        <v>74.43866667</v>
      </c>
      <c r="N1877" s="19">
        <f>IFERROR(__xludf.DUMMYFUNCTION("AVERAGE(QUERY(SORT(GOOGLEFINANCE(B1877,""price"",TODAY()-365,TODAY()),1,0),""select Col2 limit 200""))"),74.88894999999998)</f>
        <v>74.88895</v>
      </c>
      <c r="O1877" s="20" t="str">
        <f t="shared" si="2"/>
        <v>Avoid</v>
      </c>
      <c r="P1877" s="21" t="str">
        <f t="shared" si="3"/>
        <v/>
      </c>
      <c r="Q1877" s="21" t="str">
        <f t="shared" si="4"/>
        <v/>
      </c>
      <c r="R1877" s="22">
        <f>IFERROR(__xludf.DUMMYFUNCTION("GOOGLEFINANCE(B1877, ""pe"")
"),7.34)</f>
        <v>7.34</v>
      </c>
    </row>
    <row r="1878">
      <c r="A1878" s="9" t="s">
        <v>1886</v>
      </c>
      <c r="B1878" s="11" t="str">
        <f t="shared" si="1"/>
        <v>NSE:JAIPURKURT</v>
      </c>
      <c r="C1878" s="12">
        <f>IFERROR(__xludf.DUMMYFUNCTION("GOOGLEFINANCE(B1878,""marketcap"")/10000000"),94.97225)</f>
        <v>94.97225</v>
      </c>
      <c r="D1878" s="13">
        <f>IFERROR(__xludf.DUMMYFUNCTION("GOOGLEFINANCE(B1878,""price"")"),42.01)</f>
        <v>42.01</v>
      </c>
      <c r="E1878" s="14">
        <f>IFERROR(__xludf.DUMMYFUNCTION("GOOGLEFINANCE(B1878,""Volume"")"),7192.0)</f>
        <v>7192</v>
      </c>
      <c r="F1878" s="14">
        <f t="array" ref="F1878">F1877</f>
        <v>14</v>
      </c>
      <c r="G1878" s="15" t="str">
        <f>IFERROR(__xludf.DUMMYFUNCTION("IF(E1878&gt;AVERAGE(INDEX(GOOGLEFINANCE(B1878,""volume"",WORKDAY(TODAY(),-$F$1),TODAY()),,2)),""Breakout"","""")"),"")</f>
        <v/>
      </c>
      <c r="H1878" s="16">
        <f>IFERROR(__xludf.DUMMYFUNCTION("GOOGLEFINANCE(B1878,""price"")"),42.01)</f>
        <v>42.01</v>
      </c>
      <c r="I1878" s="17">
        <f>IFERROR(__xludf.DUMMYFUNCTION("AVERAGE(QUERY(SORT(GOOGLEFINANCE(B1878,""price"",TODAY()-365,TODAY()),1,0),""select Col2 limit 10""))"),42.222)</f>
        <v>42.222</v>
      </c>
      <c r="J1878" s="17">
        <f>IFERROR(__xludf.DUMMYFUNCTION("AVERAGE(QUERY(SORT(GOOGLEFINANCE(B1878,""price"",TODAY()-365,TODAY()),1,0),""select Col2 limit 30""))"),42.806666666666665)</f>
        <v>42.80666667</v>
      </c>
      <c r="K1878" s="18">
        <f>IFERROR(__xludf.DUMMYFUNCTION("AVERAGE(QUERY(SORT(GOOGLEFINANCE(B1878,""price"",TODAY()-365,TODAY()),1,0),""select Col2 limit 60""))"),42.980999999999995)</f>
        <v>42.981</v>
      </c>
      <c r="L1878" s="17">
        <f>IFERROR(__xludf.DUMMYFUNCTION("AVERAGE(QUERY(SORT(GOOGLEFINANCE(B1878,""price"",TODAY()-365,TODAY()),1,0),""select Col2 limit 90""))"),44.33244444444443)</f>
        <v>44.33244444</v>
      </c>
      <c r="M1878" s="17">
        <f>IFERROR(__xludf.DUMMYFUNCTION("AVERAGE(QUERY(SORT(GOOGLEFINANCE(B1878,""price"",TODAY()-365,TODAY()),1,0),""select Col2 limit 120""))"),44.70199999999996)</f>
        <v>44.702</v>
      </c>
      <c r="N1878" s="19">
        <f>IFERROR(__xludf.DUMMYFUNCTION("AVERAGE(QUERY(SORT(GOOGLEFINANCE(B1878,""price"",TODAY()-365,TODAY()),1,0),""select Col2 limit 200""))"),41.94929999999997)</f>
        <v>41.9493</v>
      </c>
      <c r="O1878" s="20" t="str">
        <f t="shared" si="2"/>
        <v>Sell Below 200 DMA</v>
      </c>
      <c r="P1878" s="21" t="str">
        <f t="shared" si="3"/>
        <v>10 DMA</v>
      </c>
      <c r="Q1878" s="21" t="str">
        <f t="shared" si="4"/>
        <v/>
      </c>
      <c r="R1878" s="22">
        <f>IFERROR(__xludf.DUMMYFUNCTION("GOOGLEFINANCE(B1878, ""pe"")
"),17.43)</f>
        <v>17.43</v>
      </c>
    </row>
    <row r="1879">
      <c r="A1879" s="9" t="s">
        <v>1887</v>
      </c>
      <c r="B1879" s="11" t="str">
        <f t="shared" si="1"/>
        <v>NSE:PRUDMOULI</v>
      </c>
      <c r="C1879" s="12">
        <f>IFERROR(__xludf.DUMMYFUNCTION("GOOGLEFINANCE(B1879,""marketcap"")/10000000"),138.5222565)</f>
        <v>138.5222565</v>
      </c>
      <c r="D1879" s="13">
        <f>IFERROR(__xludf.DUMMYFUNCTION("GOOGLEFINANCE(B1879,""price"")"),42.94)</f>
        <v>42.94</v>
      </c>
      <c r="E1879" s="14">
        <f>IFERROR(__xludf.DUMMYFUNCTION("GOOGLEFINANCE(B1879,""Volume"")"),34067.0)</f>
        <v>34067</v>
      </c>
      <c r="F1879" s="14">
        <f t="array" ref="F1879">F1878</f>
        <v>14</v>
      </c>
      <c r="G1879" s="15" t="str">
        <f>IFERROR(__xludf.DUMMYFUNCTION("IF(E1879&gt;AVERAGE(INDEX(GOOGLEFINANCE(B1879,""volume"",WORKDAY(TODAY(),-$F$1),TODAY()),,2)),""Breakout"","""")"),"")</f>
        <v/>
      </c>
      <c r="H1879" s="16">
        <f>IFERROR(__xludf.DUMMYFUNCTION("GOOGLEFINANCE(B1879,""price"")"),42.94)</f>
        <v>42.94</v>
      </c>
      <c r="I1879" s="17">
        <f>IFERROR(__xludf.DUMMYFUNCTION("AVERAGE(QUERY(SORT(GOOGLEFINANCE(B1879,""price"",TODAY()-365,TODAY()),1,0),""select Col2 limit 10""))"),44.608000000000004)</f>
        <v>44.608</v>
      </c>
      <c r="J1879" s="17">
        <f>IFERROR(__xludf.DUMMYFUNCTION("AVERAGE(QUERY(SORT(GOOGLEFINANCE(B1879,""price"",TODAY()-365,TODAY()),1,0),""select Col2 limit 30""))"),41.14866666666667)</f>
        <v>41.14866667</v>
      </c>
      <c r="K1879" s="18">
        <f>IFERROR(__xludf.DUMMYFUNCTION("AVERAGE(QUERY(SORT(GOOGLEFINANCE(B1879,""price"",TODAY()-365,TODAY()),1,0),""select Col2 limit 60""))"),39.73133333333333)</f>
        <v>39.73133333</v>
      </c>
      <c r="L1879" s="17">
        <f>IFERROR(__xludf.DUMMYFUNCTION("AVERAGE(QUERY(SORT(GOOGLEFINANCE(B1879,""price"",TODAY()-365,TODAY()),1,0),""select Col2 limit 90""))"),41.66477777777778)</f>
        <v>41.66477778</v>
      </c>
      <c r="M1879" s="17">
        <f>IFERROR(__xludf.DUMMYFUNCTION("AVERAGE(QUERY(SORT(GOOGLEFINANCE(B1879,""price"",TODAY()-365,TODAY()),1,0),""select Col2 limit 120""))"),43.18258333333335)</f>
        <v>43.18258333</v>
      </c>
      <c r="N1879" s="19">
        <f>IFERROR(__xludf.DUMMYFUNCTION("AVERAGE(QUERY(SORT(GOOGLEFINANCE(B1879,""price"",TODAY()-365,TODAY()),1,0),""select Col2 limit 200""))"),51.56549999999997)</f>
        <v>51.5655</v>
      </c>
      <c r="O1879" s="20" t="str">
        <f t="shared" si="2"/>
        <v>Avoid</v>
      </c>
      <c r="P1879" s="21" t="str">
        <f t="shared" si="3"/>
        <v>120 DMA</v>
      </c>
      <c r="Q1879" s="21" t="str">
        <f t="shared" si="4"/>
        <v/>
      </c>
      <c r="R1879" s="22">
        <f>IFERROR(__xludf.DUMMYFUNCTION("GOOGLEFINANCE(B1879, ""pe"")
"),24.68)</f>
        <v>24.68</v>
      </c>
    </row>
    <row r="1880">
      <c r="A1880" s="9" t="s">
        <v>1888</v>
      </c>
      <c r="B1880" s="11" t="str">
        <f t="shared" si="1"/>
        <v>NSE:MALUPAPER</v>
      </c>
      <c r="C1880" s="12">
        <f>IFERROR(__xludf.DUMMYFUNCTION("GOOGLEFINANCE(B1880,""marketcap"")/10000000"),68.2540163)</f>
        <v>68.2540163</v>
      </c>
      <c r="D1880" s="13">
        <f>IFERROR(__xludf.DUMMYFUNCTION("GOOGLEFINANCE(B1880,""price"")"),40.01)</f>
        <v>40.01</v>
      </c>
      <c r="E1880" s="14">
        <f>IFERROR(__xludf.DUMMYFUNCTION("GOOGLEFINANCE(B1880,""Volume"")"),9549.0)</f>
        <v>9549</v>
      </c>
      <c r="F1880" s="14">
        <f t="array" ref="F1880">F1879</f>
        <v>14</v>
      </c>
      <c r="G1880" s="15" t="str">
        <f>IFERROR(__xludf.DUMMYFUNCTION("IF(E1880&gt;AVERAGE(INDEX(GOOGLEFINANCE(B1880,""volume"",WORKDAY(TODAY(),-$F$1),TODAY()),,2)),""Breakout"","""")"),"#N/A")</f>
        <v>#N/A</v>
      </c>
      <c r="H1880" s="16">
        <f>IFERROR(__xludf.DUMMYFUNCTION("GOOGLEFINANCE(B1880,""price"")"),40.01)</f>
        <v>40.01</v>
      </c>
      <c r="I1880" s="17">
        <f>IFERROR(__xludf.DUMMYFUNCTION("AVERAGE(QUERY(SORT(GOOGLEFINANCE(B1880,""price"",TODAY()-365,TODAY()),1,0),""select Col2 limit 10""))"),40.903999999999996)</f>
        <v>40.904</v>
      </c>
      <c r="J1880" s="17">
        <f>IFERROR(__xludf.DUMMYFUNCTION("AVERAGE(QUERY(SORT(GOOGLEFINANCE(B1880,""price"",TODAY()-365,TODAY()),1,0),""select Col2 limit 30""))"),41.081333333333326)</f>
        <v>41.08133333</v>
      </c>
      <c r="K1880" s="18">
        <f>IFERROR(__xludf.DUMMYFUNCTION("AVERAGE(QUERY(SORT(GOOGLEFINANCE(B1880,""price"",TODAY()-365,TODAY()),1,0),""select Col2 limit 60""))"),40.38449999999999)</f>
        <v>40.3845</v>
      </c>
      <c r="L1880" s="17">
        <f>IFERROR(__xludf.DUMMYFUNCTION("AVERAGE(QUERY(SORT(GOOGLEFINANCE(B1880,""price"",TODAY()-365,TODAY()),1,0),""select Col2 limit 90""))"),38.79533333333332)</f>
        <v>38.79533333</v>
      </c>
      <c r="M1880" s="17">
        <f>IFERROR(__xludf.DUMMYFUNCTION("AVERAGE(QUERY(SORT(GOOGLEFINANCE(B1880,""price"",TODAY()-365,TODAY()),1,0),""select Col2 limit 120""))"),38.396416666666646)</f>
        <v>38.39641667</v>
      </c>
      <c r="N1880" s="19">
        <f>IFERROR(__xludf.DUMMYFUNCTION("AVERAGE(QUERY(SORT(GOOGLEFINANCE(B1880,""price"",TODAY()-365,TODAY()),1,0),""select Col2 limit 200""))"),41.41129999999998)</f>
        <v>41.4113</v>
      </c>
      <c r="O1880" s="20" t="str">
        <f t="shared" si="2"/>
        <v>Avoid</v>
      </c>
      <c r="P1880" s="21" t="str">
        <f t="shared" si="3"/>
        <v>60 DMA</v>
      </c>
      <c r="Q1880" s="21" t="str">
        <f t="shared" si="4"/>
        <v/>
      </c>
      <c r="R1880" s="22" t="str">
        <f>IFERROR(__xludf.DUMMYFUNCTION("GOOGLEFINANCE(B1880, ""pe"")
"),"#N/A")</f>
        <v>#N/A</v>
      </c>
    </row>
    <row r="1881">
      <c r="A1881" s="9" t="s">
        <v>1889</v>
      </c>
      <c r="B1881" s="11" t="str">
        <f t="shared" si="1"/>
        <v>NSE:BANARBEADS</v>
      </c>
      <c r="C1881" s="12">
        <f>IFERROR(__xludf.DUMMYFUNCTION("GOOGLEFINANCE(B1881,""marketcap"")/10000000"),80.0913215)</f>
        <v>80.0913215</v>
      </c>
      <c r="D1881" s="13">
        <f>IFERROR(__xludf.DUMMYFUNCTION("GOOGLEFINANCE(B1881,""price"")"),121.79)</f>
        <v>121.79</v>
      </c>
      <c r="E1881" s="14">
        <f>IFERROR(__xludf.DUMMYFUNCTION("GOOGLEFINANCE(B1881,""Volume"")"),1919.0)</f>
        <v>1919</v>
      </c>
      <c r="F1881" s="14">
        <f t="array" ref="F1881">F1880</f>
        <v>14</v>
      </c>
      <c r="G1881" s="15" t="str">
        <f>IFERROR(__xludf.DUMMYFUNCTION("IF(E1881&gt;AVERAGE(INDEX(GOOGLEFINANCE(B1881,""volume"",WORKDAY(TODAY(),-$F$1),TODAY()),,2)),""Breakout"","""")"),"")</f>
        <v/>
      </c>
      <c r="H1881" s="16">
        <f>IFERROR(__xludf.DUMMYFUNCTION("GOOGLEFINANCE(B1881,""price"")"),121.79)</f>
        <v>121.79</v>
      </c>
      <c r="I1881" s="17">
        <f>IFERROR(__xludf.DUMMYFUNCTION("AVERAGE(QUERY(SORT(GOOGLEFINANCE(B1881,""price"",TODAY()-365,TODAY()),1,0),""select Col2 limit 10""))"),118.982)</f>
        <v>118.982</v>
      </c>
      <c r="J1881" s="17">
        <f>IFERROR(__xludf.DUMMYFUNCTION("AVERAGE(QUERY(SORT(GOOGLEFINANCE(B1881,""price"",TODAY()-365,TODAY()),1,0),""select Col2 limit 30""))"),120.81666666666669)</f>
        <v>120.8166667</v>
      </c>
      <c r="K1881" s="18">
        <f>IFERROR(__xludf.DUMMYFUNCTION("AVERAGE(QUERY(SORT(GOOGLEFINANCE(B1881,""price"",TODAY()-365,TODAY()),1,0),""select Col2 limit 60""))"),121.4143333333334)</f>
        <v>121.4143333</v>
      </c>
      <c r="L1881" s="17">
        <f>IFERROR(__xludf.DUMMYFUNCTION("AVERAGE(QUERY(SORT(GOOGLEFINANCE(B1881,""price"",TODAY()-365,TODAY()),1,0),""select Col2 limit 90""))"),122.47055555555562)</f>
        <v>122.4705556</v>
      </c>
      <c r="M1881" s="17">
        <f>IFERROR(__xludf.DUMMYFUNCTION("AVERAGE(QUERY(SORT(GOOGLEFINANCE(B1881,""price"",TODAY()-365,TODAY()),1,0),""select Col2 limit 120""))"),122.5785833333334)</f>
        <v>122.5785833</v>
      </c>
      <c r="N1881" s="19">
        <f>IFERROR(__xludf.DUMMYFUNCTION("AVERAGE(QUERY(SORT(GOOGLEFINANCE(B1881,""price"",TODAY()-365,TODAY()),1,0),""select Col2 limit 200""))"),126.3211)</f>
        <v>126.3211</v>
      </c>
      <c r="O1881" s="20" t="str">
        <f t="shared" si="2"/>
        <v>Avoid</v>
      </c>
      <c r="P1881" s="21" t="str">
        <f t="shared" si="3"/>
        <v>90 DMA</v>
      </c>
      <c r="Q1881" s="21" t="str">
        <f t="shared" si="4"/>
        <v>90 DMA cross best</v>
      </c>
      <c r="R1881" s="22">
        <f>IFERROR(__xludf.DUMMYFUNCTION("GOOGLEFINANCE(B1881, ""pe"")
"),26.11)</f>
        <v>26.11</v>
      </c>
    </row>
    <row r="1882">
      <c r="A1882" s="9" t="s">
        <v>1890</v>
      </c>
      <c r="B1882" s="11" t="str">
        <f t="shared" si="1"/>
        <v>NSE:GODHA</v>
      </c>
      <c r="C1882" s="12">
        <f>IFERROR(__xludf.DUMMYFUNCTION("GOOGLEFINANCE(B1882,""marketcap"")/10000000"),58.0468804)</f>
        <v>58.0468804</v>
      </c>
      <c r="D1882" s="13">
        <f>IFERROR(__xludf.DUMMYFUNCTION("GOOGLEFINANCE(B1882,""price"")"),0.62)</f>
        <v>0.62</v>
      </c>
      <c r="E1882" s="14">
        <f>IFERROR(__xludf.DUMMYFUNCTION("GOOGLEFINANCE(B1882,""Volume"")"),1652168.0)</f>
        <v>1652168</v>
      </c>
      <c r="F1882" s="14">
        <f t="array" ref="F1882">F1881</f>
        <v>14</v>
      </c>
      <c r="G1882" s="15" t="str">
        <f>IFERROR(__xludf.DUMMYFUNCTION("IF(E1882&gt;AVERAGE(INDEX(GOOGLEFINANCE(B1882,""volume"",WORKDAY(TODAY(),-$F$1),TODAY()),,2)),""Breakout"","""")"),"")</f>
        <v/>
      </c>
      <c r="H1882" s="16">
        <f>IFERROR(__xludf.DUMMYFUNCTION("GOOGLEFINANCE(B1882,""price"")"),0.62)</f>
        <v>0.62</v>
      </c>
      <c r="I1882" s="17">
        <f>IFERROR(__xludf.DUMMYFUNCTION("AVERAGE(QUERY(SORT(GOOGLEFINANCE(B1882,""price"",TODAY()-365,TODAY()),1,0),""select Col2 limit 10""))"),0.641)</f>
        <v>0.641</v>
      </c>
      <c r="J1882" s="17">
        <f>IFERROR(__xludf.DUMMYFUNCTION("AVERAGE(QUERY(SORT(GOOGLEFINANCE(B1882,""price"",TODAY()-365,TODAY()),1,0),""select Col2 limit 30""))"),0.604)</f>
        <v>0.604</v>
      </c>
      <c r="K1882" s="18">
        <f>IFERROR(__xludf.DUMMYFUNCTION("AVERAGE(QUERY(SORT(GOOGLEFINANCE(B1882,""price"",TODAY()-365,TODAY()),1,0),""select Col2 limit 60""))"),0.5726666666666667)</f>
        <v>0.5726666667</v>
      </c>
      <c r="L1882" s="17">
        <f>IFERROR(__xludf.DUMMYFUNCTION("AVERAGE(QUERY(SORT(GOOGLEFINANCE(B1882,""price"",TODAY()-365,TODAY()),1,0),""select Col2 limit 90""))"),0.6441111111111111)</f>
        <v>0.6441111111</v>
      </c>
      <c r="M1882" s="17">
        <f>IFERROR(__xludf.DUMMYFUNCTION("AVERAGE(QUERY(SORT(GOOGLEFINANCE(B1882,""price"",TODAY()-365,TODAY()),1,0),""select Col2 limit 120""))"),0.70075)</f>
        <v>0.70075</v>
      </c>
      <c r="N1882" s="19">
        <f>IFERROR(__xludf.DUMMYFUNCTION("AVERAGE(QUERY(SORT(GOOGLEFINANCE(B1882,""price"",TODAY()-365,TODAY()),1,0),""select Col2 limit 200""))"),0.8286500000000002)</f>
        <v>0.82865</v>
      </c>
      <c r="O1882" s="20" t="str">
        <f t="shared" si="2"/>
        <v>Avoid</v>
      </c>
      <c r="P1882" s="21" t="str">
        <f t="shared" si="3"/>
        <v/>
      </c>
      <c r="Q1882" s="21" t="str">
        <f t="shared" si="4"/>
        <v/>
      </c>
      <c r="R1882" s="22">
        <f>IFERROR(__xludf.DUMMYFUNCTION("GOOGLEFINANCE(B1882, ""pe"")
"),7.9)</f>
        <v>7.9</v>
      </c>
    </row>
    <row r="1883">
      <c r="A1883" s="9" t="s">
        <v>1891</v>
      </c>
      <c r="B1883" s="11" t="str">
        <f t="shared" si="1"/>
        <v>NSE:KSHITIJPOL</v>
      </c>
      <c r="C1883" s="12">
        <f>IFERROR(__xludf.DUMMYFUNCTION("GOOGLEFINANCE(B1883,""marketcap"")/10000000"),27.6791452)</f>
        <v>27.6791452</v>
      </c>
      <c r="D1883" s="13">
        <f>IFERROR(__xludf.DUMMYFUNCTION("GOOGLEFINANCE(B1883,""price"")"),3.11)</f>
        <v>3.11</v>
      </c>
      <c r="E1883" s="14">
        <f>IFERROR(__xludf.DUMMYFUNCTION("GOOGLEFINANCE(B1883,""Volume"")"),25005.0)</f>
        <v>25005</v>
      </c>
      <c r="F1883" s="14">
        <f t="array" ref="F1883">F1882</f>
        <v>14</v>
      </c>
      <c r="G1883" s="15" t="str">
        <f>IFERROR(__xludf.DUMMYFUNCTION("IF(E1883&gt;AVERAGE(INDEX(GOOGLEFINANCE(B1883,""volume"",WORKDAY(TODAY(),-$F$1),TODAY()),,2)),""Breakout"","""")"),"")</f>
        <v/>
      </c>
      <c r="H1883" s="16">
        <f>IFERROR(__xludf.DUMMYFUNCTION("GOOGLEFINANCE(B1883,""price"")"),3.11)</f>
        <v>3.11</v>
      </c>
      <c r="I1883" s="17">
        <f>IFERROR(__xludf.DUMMYFUNCTION("AVERAGE(QUERY(SORT(GOOGLEFINANCE(B1883,""price"",TODAY()-365,TODAY()),1,0),""select Col2 limit 10""))"),3.248)</f>
        <v>3.248</v>
      </c>
      <c r="J1883" s="17">
        <f>IFERROR(__xludf.DUMMYFUNCTION("AVERAGE(QUERY(SORT(GOOGLEFINANCE(B1883,""price"",TODAY()-365,TODAY()),1,0),""select Col2 limit 30""))"),3.335)</f>
        <v>3.335</v>
      </c>
      <c r="K1883" s="18">
        <f>IFERROR(__xludf.DUMMYFUNCTION("AVERAGE(QUERY(SORT(GOOGLEFINANCE(B1883,""price"",TODAY()-365,TODAY()),1,0),""select Col2 limit 60""))"),3.355166666666667)</f>
        <v>3.355166667</v>
      </c>
      <c r="L1883" s="17">
        <f>IFERROR(__xludf.DUMMYFUNCTION("AVERAGE(QUERY(SORT(GOOGLEFINANCE(B1883,""price"",TODAY()-365,TODAY()),1,0),""select Col2 limit 90""))"),3.3216666666666663)</f>
        <v>3.321666667</v>
      </c>
      <c r="M1883" s="17">
        <f>IFERROR(__xludf.DUMMYFUNCTION("AVERAGE(QUERY(SORT(GOOGLEFINANCE(B1883,""price"",TODAY()-365,TODAY()),1,0),""select Col2 limit 120""))"),3.418750000000001)</f>
        <v>3.41875</v>
      </c>
      <c r="N1883" s="19">
        <f>IFERROR(__xludf.DUMMYFUNCTION("AVERAGE(QUERY(SORT(GOOGLEFINANCE(B1883,""price"",TODAY()-365,TODAY()),1,0),""select Col2 limit 200""))"),4.1080999999999985)</f>
        <v>4.1081</v>
      </c>
      <c r="O1883" s="20" t="str">
        <f t="shared" si="2"/>
        <v>Avoid</v>
      </c>
      <c r="P1883" s="21" t="str">
        <f t="shared" si="3"/>
        <v/>
      </c>
      <c r="Q1883" s="21" t="str">
        <f t="shared" si="4"/>
        <v/>
      </c>
      <c r="R1883" s="22" t="str">
        <f>IFERROR(__xludf.DUMMYFUNCTION("GOOGLEFINANCE(B1883, ""pe"")
"),"#N/A")</f>
        <v>#N/A</v>
      </c>
    </row>
    <row r="1884">
      <c r="A1884" s="9" t="s">
        <v>1892</v>
      </c>
      <c r="B1884" s="11" t="str">
        <f t="shared" si="1"/>
        <v>NSE:SITINET</v>
      </c>
      <c r="C1884" s="12">
        <f>IFERROR(__xludf.DUMMYFUNCTION("GOOGLEFINANCE(B1884,""marketcap"")/10000000"),49.7070716)</f>
        <v>49.7070716</v>
      </c>
      <c r="D1884" s="13">
        <f>IFERROR(__xludf.DUMMYFUNCTION("GOOGLEFINANCE(B1884,""price"")"),0.57)</f>
        <v>0.57</v>
      </c>
      <c r="E1884" s="14">
        <f>IFERROR(__xludf.DUMMYFUNCTION("GOOGLEFINANCE(B1884,""Volume"")"),158384.0)</f>
        <v>158384</v>
      </c>
      <c r="F1884" s="14">
        <f t="array" ref="F1884">F1883</f>
        <v>14</v>
      </c>
      <c r="G1884" s="15" t="str">
        <f>IFERROR(__xludf.DUMMYFUNCTION("IF(E1884&gt;AVERAGE(INDEX(GOOGLEFINANCE(B1884,""volume"",WORKDAY(TODAY(),-$F$1),TODAY()),,2)),""Breakout"","""")"),"")</f>
        <v/>
      </c>
      <c r="H1884" s="16">
        <f>IFERROR(__xludf.DUMMYFUNCTION("GOOGLEFINANCE(B1884,""price"")"),0.57)</f>
        <v>0.57</v>
      </c>
      <c r="I1884" s="17">
        <f>IFERROR(__xludf.DUMMYFUNCTION("AVERAGE(QUERY(SORT(GOOGLEFINANCE(B1884,""price"",TODAY()-365,TODAY()),1,0),""select Col2 limit 10""))"),0.52)</f>
        <v>0.52</v>
      </c>
      <c r="J1884" s="17">
        <f>IFERROR(__xludf.DUMMYFUNCTION("AVERAGE(QUERY(SORT(GOOGLEFINANCE(B1884,""price"",TODAY()-365,TODAY()),1,0),""select Col2 limit 30""))"),0.5023333333333334)</f>
        <v>0.5023333333</v>
      </c>
      <c r="K1884" s="18">
        <f>IFERROR(__xludf.DUMMYFUNCTION("AVERAGE(QUERY(SORT(GOOGLEFINANCE(B1884,""price"",TODAY()-365,TODAY()),1,0),""select Col2 limit 60""))"),0.5021666666666669)</f>
        <v>0.5021666667</v>
      </c>
      <c r="L1884" s="17">
        <f>IFERROR(__xludf.DUMMYFUNCTION("AVERAGE(QUERY(SORT(GOOGLEFINANCE(B1884,""price"",TODAY()-365,TODAY()),1,0),""select Col2 limit 90""))"),0.511)</f>
        <v>0.511</v>
      </c>
      <c r="M1884" s="17">
        <f>IFERROR(__xludf.DUMMYFUNCTION("AVERAGE(QUERY(SORT(GOOGLEFINANCE(B1884,""price"",TODAY()-365,TODAY()),1,0),""select Col2 limit 120""))"),0.5399999999999999)</f>
        <v>0.54</v>
      </c>
      <c r="N1884" s="19">
        <f>IFERROR(__xludf.DUMMYFUNCTION("AVERAGE(QUERY(SORT(GOOGLEFINANCE(B1884,""price"",TODAY()-365,TODAY()),1,0),""select Col2 limit 200""))"),0.6641999999999997)</f>
        <v>0.6642</v>
      </c>
      <c r="O1884" s="20" t="str">
        <f t="shared" si="2"/>
        <v>Buy Above 200 DMA</v>
      </c>
      <c r="P1884" s="21" t="str">
        <f t="shared" si="3"/>
        <v/>
      </c>
      <c r="Q1884" s="21" t="str">
        <f t="shared" si="4"/>
        <v/>
      </c>
      <c r="R1884" s="22" t="str">
        <f>IFERROR(__xludf.DUMMYFUNCTION("GOOGLEFINANCE(B1884, ""pe"")
"),"#N/A")</f>
        <v>#N/A</v>
      </c>
    </row>
    <row r="1885">
      <c r="A1885" s="9" t="s">
        <v>1893</v>
      </c>
      <c r="B1885" s="11" t="str">
        <f t="shared" si="1"/>
        <v>NSE:3PLAND</v>
      </c>
      <c r="C1885" s="12">
        <f>IFERROR(__xludf.DUMMYFUNCTION("GOOGLEFINANCE(B1885,""marketcap"")/10000000"),84.2220016)</f>
        <v>84.2220016</v>
      </c>
      <c r="D1885" s="13">
        <f>IFERROR(__xludf.DUMMYFUNCTION("GOOGLEFINANCE(B1885,""price"")"),46.77)</f>
        <v>46.77</v>
      </c>
      <c r="E1885" s="14">
        <f>IFERROR(__xludf.DUMMYFUNCTION("GOOGLEFINANCE(B1885,""Volume"")"),8992.0)</f>
        <v>8992</v>
      </c>
      <c r="F1885" s="14">
        <f t="array" ref="F1885">F1884</f>
        <v>14</v>
      </c>
      <c r="G1885" s="15" t="str">
        <f>IFERROR(__xludf.DUMMYFUNCTION("IF(E1885&gt;AVERAGE(INDEX(GOOGLEFINANCE(B1885,""volume"",WORKDAY(TODAY(),-$F$1),TODAY()),,2)),""Breakout"","""")"),"Breakout")</f>
        <v>Breakout</v>
      </c>
      <c r="H1885" s="16">
        <f>IFERROR(__xludf.DUMMYFUNCTION("GOOGLEFINANCE(B1885,""price"")"),46.77)</f>
        <v>46.77</v>
      </c>
      <c r="I1885" s="17">
        <f>IFERROR(__xludf.DUMMYFUNCTION("AVERAGE(QUERY(SORT(GOOGLEFINANCE(B1885,""price"",TODAY()-365,TODAY()),1,0),""select Col2 limit 10""))"),47.991)</f>
        <v>47.991</v>
      </c>
      <c r="J1885" s="17">
        <f>IFERROR(__xludf.DUMMYFUNCTION("AVERAGE(QUERY(SORT(GOOGLEFINANCE(B1885,""price"",TODAY()-365,TODAY()),1,0),""select Col2 limit 30""))"),50.09900000000002)</f>
        <v>50.099</v>
      </c>
      <c r="K1885" s="18">
        <f>IFERROR(__xludf.DUMMYFUNCTION("AVERAGE(QUERY(SORT(GOOGLEFINANCE(B1885,""price"",TODAY()-365,TODAY()),1,0),""select Col2 limit 60""))"),48.856666666666676)</f>
        <v>48.85666667</v>
      </c>
      <c r="L1885" s="17">
        <f>IFERROR(__xludf.DUMMYFUNCTION("AVERAGE(QUERY(SORT(GOOGLEFINANCE(B1885,""price"",TODAY()-365,TODAY()),1,0),""select Col2 limit 90""))"),46.20933333333335)</f>
        <v>46.20933333</v>
      </c>
      <c r="M1885" s="17">
        <f>IFERROR(__xludf.DUMMYFUNCTION("AVERAGE(QUERY(SORT(GOOGLEFINANCE(B1885,""price"",TODAY()-365,TODAY()),1,0),""select Col2 limit 120""))"),45.78975)</f>
        <v>45.78975</v>
      </c>
      <c r="N1885" s="19">
        <f>IFERROR(__xludf.DUMMYFUNCTION("AVERAGE(QUERY(SORT(GOOGLEFINANCE(B1885,""price"",TODAY()-365,TODAY()),1,0),""select Col2 limit 200""))"),48.13824999999997)</f>
        <v>48.13825</v>
      </c>
      <c r="O1885" s="20" t="str">
        <f t="shared" si="2"/>
        <v>Avoid</v>
      </c>
      <c r="P1885" s="21" t="str">
        <f t="shared" si="3"/>
        <v/>
      </c>
      <c r="Q1885" s="21" t="str">
        <f t="shared" si="4"/>
        <v/>
      </c>
      <c r="R1885" s="22">
        <f>IFERROR(__xludf.DUMMYFUNCTION("GOOGLEFINANCE(B1885, ""pe"")
"),40.29)</f>
        <v>40.29</v>
      </c>
    </row>
    <row r="1886">
      <c r="A1886" s="9" t="s">
        <v>1894</v>
      </c>
      <c r="B1886" s="11" t="str">
        <f t="shared" si="1"/>
        <v>NSE:AKSHAR</v>
      </c>
      <c r="C1886" s="12">
        <f>IFERROR(__xludf.DUMMYFUNCTION("GOOGLEFINANCE(B1886,""marketcap"")/10000000"),42.5233006)</f>
        <v>42.5233006</v>
      </c>
      <c r="D1886" s="13">
        <f>IFERROR(__xludf.DUMMYFUNCTION("GOOGLEFINANCE(B1886,""price"")"),0.55)</f>
        <v>0.55</v>
      </c>
      <c r="E1886" s="14">
        <f>IFERROR(__xludf.DUMMYFUNCTION("GOOGLEFINANCE(B1886,""Volume"")"),688452.0)</f>
        <v>688452</v>
      </c>
      <c r="F1886" s="14">
        <f t="array" ref="F1886">F1885</f>
        <v>14</v>
      </c>
      <c r="G1886" s="15" t="str">
        <f>IFERROR(__xludf.DUMMYFUNCTION("IF(E1886&gt;AVERAGE(INDEX(GOOGLEFINANCE(B1886,""volume"",WORKDAY(TODAY(),-$F$1),TODAY()),,2)),""Breakout"","""")"),"")</f>
        <v/>
      </c>
      <c r="H1886" s="16">
        <f>IFERROR(__xludf.DUMMYFUNCTION("GOOGLEFINANCE(B1886,""price"")"),0.55)</f>
        <v>0.55</v>
      </c>
      <c r="I1886" s="17">
        <f>IFERROR(__xludf.DUMMYFUNCTION("AVERAGE(QUERY(SORT(GOOGLEFINANCE(B1886,""price"",TODAY()-365,TODAY()),1,0),""select Col2 limit 10""))"),0.555)</f>
        <v>0.555</v>
      </c>
      <c r="J1886" s="17">
        <f>IFERROR(__xludf.DUMMYFUNCTION("AVERAGE(QUERY(SORT(GOOGLEFINANCE(B1886,""price"",TODAY()-365,TODAY()),1,0),""select Col2 limit 30""))"),0.5650000000000002)</f>
        <v>0.565</v>
      </c>
      <c r="K1886" s="18">
        <f>IFERROR(__xludf.DUMMYFUNCTION("AVERAGE(QUERY(SORT(GOOGLEFINANCE(B1886,""price"",TODAY()-365,TODAY()),1,0),""select Col2 limit 60""))"),0.5790000000000002)</f>
        <v>0.579</v>
      </c>
      <c r="L1886" s="17">
        <f>IFERROR(__xludf.DUMMYFUNCTION("AVERAGE(QUERY(SORT(GOOGLEFINANCE(B1886,""price"",TODAY()-365,TODAY()),1,0),""select Col2 limit 90""))"),0.5775555555555559)</f>
        <v>0.5775555556</v>
      </c>
      <c r="M1886" s="17">
        <f>IFERROR(__xludf.DUMMYFUNCTION("AVERAGE(QUERY(SORT(GOOGLEFINANCE(B1886,""price"",TODAY()-365,TODAY()),1,0),""select Col2 limit 120""))"),0.595916666666667)</f>
        <v>0.5959166667</v>
      </c>
      <c r="N1886" s="19">
        <f>IFERROR(__xludf.DUMMYFUNCTION("AVERAGE(QUERY(SORT(GOOGLEFINANCE(B1886,""price"",TODAY()-365,TODAY()),1,0),""select Col2 limit 200""))"),0.7177500000000003)</f>
        <v>0.71775</v>
      </c>
      <c r="O1886" s="20" t="str">
        <f t="shared" si="2"/>
        <v>Avoid</v>
      </c>
      <c r="P1886" s="21" t="str">
        <f t="shared" si="3"/>
        <v>10 DMA</v>
      </c>
      <c r="Q1886" s="21" t="str">
        <f t="shared" si="4"/>
        <v>10 DMA cross best</v>
      </c>
      <c r="R1886" s="22" t="str">
        <f>IFERROR(__xludf.DUMMYFUNCTION("GOOGLEFINANCE(B1886, ""pe"")
"),"#N/A")</f>
        <v>#N/A</v>
      </c>
    </row>
    <row r="1887">
      <c r="A1887" s="9" t="s">
        <v>1895</v>
      </c>
      <c r="B1887" s="11" t="str">
        <f t="shared" si="1"/>
        <v>NSE:PODDARHOUS</v>
      </c>
      <c r="C1887" s="12" t="str">
        <f>IFERROR(__xludf.DUMMYFUNCTION("GOOGLEFINANCE(B1887,""marketcap"")/10000000"),"#N/A")</f>
        <v>#N/A</v>
      </c>
      <c r="D1887" s="13" t="str">
        <f>IFERROR(__xludf.DUMMYFUNCTION("GOOGLEFINANCE(B1887,""price"")"),"#N/A")</f>
        <v>#N/A</v>
      </c>
      <c r="E1887" s="14" t="str">
        <f>IFERROR(__xludf.DUMMYFUNCTION("GOOGLEFINANCE(B1887,""Volume"")"),"#N/A")</f>
        <v>#N/A</v>
      </c>
      <c r="F1887" s="14">
        <f t="array" ref="F1887">F1886</f>
        <v>14</v>
      </c>
      <c r="G1887" s="15" t="str">
        <f>IFERROR(__xludf.DUMMYFUNCTION("IF(E1887&gt;AVERAGE(INDEX(GOOGLEFINANCE(B1887,""volume"",WORKDAY(TODAY(),-$F$1),TODAY()),,2)),""Breakout"","""")"),"#N/A")</f>
        <v>#N/A</v>
      </c>
      <c r="H1887" s="16" t="str">
        <f>IFERROR(__xludf.DUMMYFUNCTION("GOOGLEFINANCE(B1887,""price"")"),"#N/A")</f>
        <v>#N/A</v>
      </c>
      <c r="I1887" s="17" t="str">
        <f>IFERROR(__xludf.DUMMYFUNCTION("AVERAGE(QUERY(SORT(GOOGLEFINANCE(B1887,""price"",TODAY()-365,TODAY()),1,0),""select Col2 limit 10""))"),"#N/A")</f>
        <v>#N/A</v>
      </c>
      <c r="J1887" s="17" t="str">
        <f>IFERROR(__xludf.DUMMYFUNCTION("AVERAGE(QUERY(SORT(GOOGLEFINANCE(B1887,""price"",TODAY()-365,TODAY()),1,0),""select Col2 limit 30""))"),"#N/A")</f>
        <v>#N/A</v>
      </c>
      <c r="K1887" s="18" t="str">
        <f>IFERROR(__xludf.DUMMYFUNCTION("AVERAGE(QUERY(SORT(GOOGLEFINANCE(B1887,""price"",TODAY()-365,TODAY()),1,0),""select Col2 limit 60""))"),"#N/A")</f>
        <v>#N/A</v>
      </c>
      <c r="L1887" s="17" t="str">
        <f>IFERROR(__xludf.DUMMYFUNCTION("AVERAGE(QUERY(SORT(GOOGLEFINANCE(B1887,""price"",TODAY()-365,TODAY()),1,0),""select Col2 limit 90""))"),"#N/A")</f>
        <v>#N/A</v>
      </c>
      <c r="M1887" s="17" t="str">
        <f>IFERROR(__xludf.DUMMYFUNCTION("AVERAGE(QUERY(SORT(GOOGLEFINANCE(B1887,""price"",TODAY()-365,TODAY()),1,0),""select Col2 limit 120""))"),"#N/A")</f>
        <v>#N/A</v>
      </c>
      <c r="N1887" s="19" t="str">
        <f>IFERROR(__xludf.DUMMYFUNCTION("AVERAGE(QUERY(SORT(GOOGLEFINANCE(B1887,""price"",TODAY()-365,TODAY()),1,0),""select Col2 limit 200""))"),"#N/A")</f>
        <v>#N/A</v>
      </c>
      <c r="O1887" s="20" t="str">
        <f t="shared" si="2"/>
        <v>#N/A</v>
      </c>
      <c r="P1887" s="21" t="str">
        <f t="shared" si="3"/>
        <v>#N/A</v>
      </c>
      <c r="Q1887" s="21" t="str">
        <f t="shared" si="4"/>
        <v>#N/A</v>
      </c>
      <c r="R1887" s="22" t="str">
        <f>IFERROR(__xludf.DUMMYFUNCTION("GOOGLEFINANCE(B1887, ""pe"")
"),"#N/A")</f>
        <v>#N/A</v>
      </c>
    </row>
    <row r="1888">
      <c r="A1888" s="9" t="s">
        <v>1896</v>
      </c>
      <c r="B1888" s="11" t="str">
        <f t="shared" si="1"/>
        <v>NSE:RKDL</v>
      </c>
      <c r="C1888" s="12">
        <f>IFERROR(__xludf.DUMMYFUNCTION("GOOGLEFINANCE(B1888,""marketcap"")/10000000"),70.6560012)</f>
        <v>70.6560012</v>
      </c>
      <c r="D1888" s="13">
        <f>IFERROR(__xludf.DUMMYFUNCTION("GOOGLEFINANCE(B1888,""price"")"),29.44)</f>
        <v>29.44</v>
      </c>
      <c r="E1888" s="14">
        <f>IFERROR(__xludf.DUMMYFUNCTION("GOOGLEFINANCE(B1888,""Volume"")"),15363.0)</f>
        <v>15363</v>
      </c>
      <c r="F1888" s="14">
        <f t="array" ref="F1888">F1887</f>
        <v>14</v>
      </c>
      <c r="G1888" s="15" t="str">
        <f>IFERROR(__xludf.DUMMYFUNCTION("IF(E1888&gt;AVERAGE(INDEX(GOOGLEFINANCE(B1888,""volume"",WORKDAY(TODAY(),-$F$1),TODAY()),,2)),""Breakout"","""")"),"")</f>
        <v/>
      </c>
      <c r="H1888" s="16">
        <f>IFERROR(__xludf.DUMMYFUNCTION("GOOGLEFINANCE(B1888,""price"")"),29.44)</f>
        <v>29.44</v>
      </c>
      <c r="I1888" s="17">
        <f>IFERROR(__xludf.DUMMYFUNCTION("AVERAGE(QUERY(SORT(GOOGLEFINANCE(B1888,""price"",TODAY()-365,TODAY()),1,0),""select Col2 limit 10""))"),29.399)</f>
        <v>29.399</v>
      </c>
      <c r="J1888" s="17">
        <f>IFERROR(__xludf.DUMMYFUNCTION("AVERAGE(QUERY(SORT(GOOGLEFINANCE(B1888,""price"",TODAY()-365,TODAY()),1,0),""select Col2 limit 30""))"),29.643333333333334)</f>
        <v>29.64333333</v>
      </c>
      <c r="K1888" s="18">
        <f>IFERROR(__xludf.DUMMYFUNCTION("AVERAGE(QUERY(SORT(GOOGLEFINANCE(B1888,""price"",TODAY()-365,TODAY()),1,0),""select Col2 limit 60""))"),29.492000000000008)</f>
        <v>29.492</v>
      </c>
      <c r="L1888" s="17">
        <f>IFERROR(__xludf.DUMMYFUNCTION("AVERAGE(QUERY(SORT(GOOGLEFINANCE(B1888,""price"",TODAY()-365,TODAY()),1,0),""select Col2 limit 90""))"),28.6338888888889)</f>
        <v>28.63388889</v>
      </c>
      <c r="M1888" s="17">
        <f>IFERROR(__xludf.DUMMYFUNCTION("AVERAGE(QUERY(SORT(GOOGLEFINANCE(B1888,""price"",TODAY()-365,TODAY()),1,0),""select Col2 limit 120""))"),27.77691666666667)</f>
        <v>27.77691667</v>
      </c>
      <c r="N1888" s="19">
        <f>IFERROR(__xludf.DUMMYFUNCTION("AVERAGE(QUERY(SORT(GOOGLEFINANCE(B1888,""price"",TODAY()-365,TODAY()),1,0),""select Col2 limit 200""))"),27.59635000000001)</f>
        <v>27.59635</v>
      </c>
      <c r="O1888" s="20" t="str">
        <f t="shared" si="2"/>
        <v>Avoid</v>
      </c>
      <c r="P1888" s="21" t="str">
        <f t="shared" si="3"/>
        <v>30 DMA</v>
      </c>
      <c r="Q1888" s="21" t="str">
        <f t="shared" si="4"/>
        <v/>
      </c>
      <c r="R1888" s="22">
        <f>IFERROR(__xludf.DUMMYFUNCTION("GOOGLEFINANCE(B1888, ""pe"")
"),420.57)</f>
        <v>420.57</v>
      </c>
    </row>
    <row r="1889">
      <c r="A1889" s="9" t="s">
        <v>1897</v>
      </c>
      <c r="B1889" s="11" t="str">
        <f t="shared" si="1"/>
        <v>NSE:BANG</v>
      </c>
      <c r="C1889" s="12">
        <f>IFERROR(__xludf.DUMMYFUNCTION("GOOGLEFINANCE(B1889,""marketcap"")/10000000"),73.902)</f>
        <v>73.902</v>
      </c>
      <c r="D1889" s="13">
        <f>IFERROR(__xludf.DUMMYFUNCTION("GOOGLEFINANCE(B1889,""price"")"),54.7)</f>
        <v>54.7</v>
      </c>
      <c r="E1889" s="14">
        <f>IFERROR(__xludf.DUMMYFUNCTION("GOOGLEFINANCE(B1889,""Volume"")"),4210.0)</f>
        <v>4210</v>
      </c>
      <c r="F1889" s="14">
        <f t="array" ref="F1889">F1888</f>
        <v>14</v>
      </c>
      <c r="G1889" s="15" t="str">
        <f>IFERROR(__xludf.DUMMYFUNCTION("IF(E1889&gt;AVERAGE(INDEX(GOOGLEFINANCE(B1889,""volume"",WORKDAY(TODAY(),-$F$1),TODAY()),,2)),""Breakout"","""")"),"")</f>
        <v/>
      </c>
      <c r="H1889" s="16">
        <f>IFERROR(__xludf.DUMMYFUNCTION("GOOGLEFINANCE(B1889,""price"")"),54.7)</f>
        <v>54.7</v>
      </c>
      <c r="I1889" s="17">
        <f>IFERROR(__xludf.DUMMYFUNCTION("AVERAGE(QUERY(SORT(GOOGLEFINANCE(B1889,""price"",TODAY()-365,TODAY()),1,0),""select Col2 limit 10""))"),56.283)</f>
        <v>56.283</v>
      </c>
      <c r="J1889" s="17">
        <f>IFERROR(__xludf.DUMMYFUNCTION("AVERAGE(QUERY(SORT(GOOGLEFINANCE(B1889,""price"",TODAY()-365,TODAY()),1,0),""select Col2 limit 30""))"),57.244000000000014)</f>
        <v>57.244</v>
      </c>
      <c r="K1889" s="18">
        <f>IFERROR(__xludf.DUMMYFUNCTION("AVERAGE(QUERY(SORT(GOOGLEFINANCE(B1889,""price"",TODAY()-365,TODAY()),1,0),""select Col2 limit 60""))"),55.25116666666668)</f>
        <v>55.25116667</v>
      </c>
      <c r="L1889" s="17">
        <f>IFERROR(__xludf.DUMMYFUNCTION("AVERAGE(QUERY(SORT(GOOGLEFINANCE(B1889,""price"",TODAY()-365,TODAY()),1,0),""select Col2 limit 90""))"),52.891333333333336)</f>
        <v>52.89133333</v>
      </c>
      <c r="M1889" s="17">
        <f>IFERROR(__xludf.DUMMYFUNCTION("AVERAGE(QUERY(SORT(GOOGLEFINANCE(B1889,""price"",TODAY()-365,TODAY()),1,0),""select Col2 limit 120""))"),53.06316666666669)</f>
        <v>53.06316667</v>
      </c>
      <c r="N1889" s="19">
        <f>IFERROR(__xludf.DUMMYFUNCTION("AVERAGE(QUERY(SORT(GOOGLEFINANCE(B1889,""price"",TODAY()-365,TODAY()),1,0),""select Col2 limit 200""))"),57.664100000000026)</f>
        <v>57.6641</v>
      </c>
      <c r="O1889" s="20" t="str">
        <f t="shared" si="2"/>
        <v>Avoid</v>
      </c>
      <c r="P1889" s="21" t="str">
        <f t="shared" si="3"/>
        <v/>
      </c>
      <c r="Q1889" s="21" t="str">
        <f t="shared" si="4"/>
        <v/>
      </c>
      <c r="R1889" s="22" t="str">
        <f>IFERROR(__xludf.DUMMYFUNCTION("GOOGLEFINANCE(B1889, ""pe"")
"),"#N/A")</f>
        <v>#N/A</v>
      </c>
    </row>
    <row r="1890">
      <c r="A1890" s="9" t="s">
        <v>1898</v>
      </c>
      <c r="B1890" s="11" t="str">
        <f t="shared" si="1"/>
        <v>NSE:MITTAL</v>
      </c>
      <c r="C1890" s="12">
        <f>IFERROR(__xludf.DUMMYFUNCTION("GOOGLEFINANCE(B1890,""marketcap"")/10000000"),74.1314149)</f>
        <v>74.1314149</v>
      </c>
      <c r="D1890" s="13">
        <f>IFERROR(__xludf.DUMMYFUNCTION("GOOGLEFINANCE(B1890,""price"")"),1.67)</f>
        <v>1.67</v>
      </c>
      <c r="E1890" s="14">
        <f>IFERROR(__xludf.DUMMYFUNCTION("GOOGLEFINANCE(B1890,""Volume"")"),447969.0)</f>
        <v>447969</v>
      </c>
      <c r="F1890" s="14">
        <f t="array" ref="F1890">F1889</f>
        <v>14</v>
      </c>
      <c r="G1890" s="15" t="str">
        <f>IFERROR(__xludf.DUMMYFUNCTION("IF(E1890&gt;AVERAGE(INDEX(GOOGLEFINANCE(B1890,""volume"",WORKDAY(TODAY(),-$F$1),TODAY()),,2)),""Breakout"","""")"),"")</f>
        <v/>
      </c>
      <c r="H1890" s="16">
        <f>IFERROR(__xludf.DUMMYFUNCTION("GOOGLEFINANCE(B1890,""price"")"),1.67)</f>
        <v>1.67</v>
      </c>
      <c r="I1890" s="17">
        <f>IFERROR(__xludf.DUMMYFUNCTION("AVERAGE(QUERY(SORT(GOOGLEFINANCE(B1890,""price"",TODAY()-365,TODAY()),1,0),""select Col2 limit 10""))"),1.7130000000000003)</f>
        <v>1.713</v>
      </c>
      <c r="J1890" s="17">
        <f>IFERROR(__xludf.DUMMYFUNCTION("AVERAGE(QUERY(SORT(GOOGLEFINANCE(B1890,""price"",TODAY()-365,TODAY()),1,0),""select Col2 limit 30""))"),1.636333333333333)</f>
        <v>1.636333333</v>
      </c>
      <c r="K1890" s="18">
        <f>IFERROR(__xludf.DUMMYFUNCTION("AVERAGE(QUERY(SORT(GOOGLEFINANCE(B1890,""price"",TODAY()-365,TODAY()),1,0),""select Col2 limit 60""))"),1.614)</f>
        <v>1.614</v>
      </c>
      <c r="L1890" s="17">
        <f>IFERROR(__xludf.DUMMYFUNCTION("AVERAGE(QUERY(SORT(GOOGLEFINANCE(B1890,""price"",TODAY()-365,TODAY()),1,0),""select Col2 limit 90""))"),1.6592222222222222)</f>
        <v>1.659222222</v>
      </c>
      <c r="M1890" s="17">
        <f>IFERROR(__xludf.DUMMYFUNCTION("AVERAGE(QUERY(SORT(GOOGLEFINANCE(B1890,""price"",TODAY()-365,TODAY()),1,0),""select Col2 limit 120""))"),1.7820833333333332)</f>
        <v>1.782083333</v>
      </c>
      <c r="N1890" s="19">
        <f>IFERROR(__xludf.DUMMYFUNCTION("AVERAGE(QUERY(SORT(GOOGLEFINANCE(B1890,""price"",TODAY()-365,TODAY()),1,0),""select Col2 limit 200""))"),1.9336000000000004)</f>
        <v>1.9336</v>
      </c>
      <c r="O1890" s="20" t="str">
        <f t="shared" si="2"/>
        <v>Avoid</v>
      </c>
      <c r="P1890" s="21" t="str">
        <f t="shared" si="3"/>
        <v/>
      </c>
      <c r="Q1890" s="21" t="str">
        <f t="shared" si="4"/>
        <v/>
      </c>
      <c r="R1890" s="22">
        <f>IFERROR(__xludf.DUMMYFUNCTION("GOOGLEFINANCE(B1890, ""pe"")
"),32.2)</f>
        <v>32.2</v>
      </c>
    </row>
    <row r="1891">
      <c r="A1891" s="9" t="s">
        <v>1899</v>
      </c>
      <c r="B1891" s="11" t="str">
        <f t="shared" si="1"/>
        <v>NSE:LFIC</v>
      </c>
      <c r="C1891" s="12">
        <f>IFERROR(__xludf.DUMMYFUNCTION("GOOGLEFINANCE(B1891,""marketcap"")/10000000"),63.9029983)</f>
        <v>63.9029983</v>
      </c>
      <c r="D1891" s="13">
        <f>IFERROR(__xludf.DUMMYFUNCTION("GOOGLEFINANCE(B1891,""price"")"),214.11)</f>
        <v>214.11</v>
      </c>
      <c r="E1891" s="14">
        <f>IFERROR(__xludf.DUMMYFUNCTION("GOOGLEFINANCE(B1891,""Volume"")"),806.0)</f>
        <v>806</v>
      </c>
      <c r="F1891" s="14">
        <f t="array" ref="F1891">F1890</f>
        <v>14</v>
      </c>
      <c r="G1891" s="15" t="str">
        <f>IFERROR(__xludf.DUMMYFUNCTION("IF(E1891&gt;AVERAGE(INDEX(GOOGLEFINANCE(B1891,""volume"",WORKDAY(TODAY(),-$F$1),TODAY()),,2)),""Breakout"","""")"),"")</f>
        <v/>
      </c>
      <c r="H1891" s="16">
        <f>IFERROR(__xludf.DUMMYFUNCTION("GOOGLEFINANCE(B1891,""price"")"),214.11)</f>
        <v>214.11</v>
      </c>
      <c r="I1891" s="17">
        <f>IFERROR(__xludf.DUMMYFUNCTION("AVERAGE(QUERY(SORT(GOOGLEFINANCE(B1891,""price"",TODAY()-365,TODAY()),1,0),""select Col2 limit 10""))"),215.47200000000004)</f>
        <v>215.472</v>
      </c>
      <c r="J1891" s="17">
        <f>IFERROR(__xludf.DUMMYFUNCTION("AVERAGE(QUERY(SORT(GOOGLEFINANCE(B1891,""price"",TODAY()-365,TODAY()),1,0),""select Col2 limit 30""))"),216.391)</f>
        <v>216.391</v>
      </c>
      <c r="K1891" s="18">
        <f>IFERROR(__xludf.DUMMYFUNCTION("AVERAGE(QUERY(SORT(GOOGLEFINANCE(B1891,""price"",TODAY()-365,TODAY()),1,0),""select Col2 limit 60""))"),214.25233333333335)</f>
        <v>214.2523333</v>
      </c>
      <c r="L1891" s="17">
        <f>IFERROR(__xludf.DUMMYFUNCTION("AVERAGE(QUERY(SORT(GOOGLEFINANCE(B1891,""price"",TODAY()-365,TODAY()),1,0),""select Col2 limit 90""))"),201.8058888888889)</f>
        <v>201.8058889</v>
      </c>
      <c r="M1891" s="17">
        <f>IFERROR(__xludf.DUMMYFUNCTION("AVERAGE(QUERY(SORT(GOOGLEFINANCE(B1891,""price"",TODAY()-365,TODAY()),1,0),""select Col2 limit 120""))"),198.39241666666672)</f>
        <v>198.3924167</v>
      </c>
      <c r="N1891" s="19">
        <f>IFERROR(__xludf.DUMMYFUNCTION("AVERAGE(QUERY(SORT(GOOGLEFINANCE(B1891,""price"",TODAY()-365,TODAY()),1,0),""select Col2 limit 200""))"),216.05790000000005)</f>
        <v>216.0579</v>
      </c>
      <c r="O1891" s="20" t="str">
        <f t="shared" si="2"/>
        <v>Avoid</v>
      </c>
      <c r="P1891" s="21" t="str">
        <f t="shared" si="3"/>
        <v>10 DMA</v>
      </c>
      <c r="Q1891" s="21" t="str">
        <f t="shared" si="4"/>
        <v/>
      </c>
      <c r="R1891" s="22">
        <f>IFERROR(__xludf.DUMMYFUNCTION("GOOGLEFINANCE(B1891, ""pe"")
"),17.85)</f>
        <v>17.85</v>
      </c>
    </row>
    <row r="1892">
      <c r="A1892" s="9" t="s">
        <v>1900</v>
      </c>
      <c r="B1892" s="11" t="str">
        <f t="shared" si="1"/>
        <v>NSE:SILGO</v>
      </c>
      <c r="C1892" s="12">
        <f>IFERROR(__xludf.DUMMYFUNCTION("GOOGLEFINANCE(B1892,""marketcap"")/10000000"),131.0469597)</f>
        <v>131.0469597</v>
      </c>
      <c r="D1892" s="13">
        <f>IFERROR(__xludf.DUMMYFUNCTION("GOOGLEFINANCE(B1892,""price"")"),56.1)</f>
        <v>56.1</v>
      </c>
      <c r="E1892" s="14">
        <f>IFERROR(__xludf.DUMMYFUNCTION("GOOGLEFINANCE(B1892,""Volume"")"),11915.0)</f>
        <v>11915</v>
      </c>
      <c r="F1892" s="14">
        <f t="array" ref="F1892">F1891</f>
        <v>14</v>
      </c>
      <c r="G1892" s="15" t="str">
        <f>IFERROR(__xludf.DUMMYFUNCTION("IF(E1892&gt;AVERAGE(INDEX(GOOGLEFINANCE(B1892,""volume"",WORKDAY(TODAY(),-$F$1),TODAY()),,2)),""Breakout"","""")"),"")</f>
        <v/>
      </c>
      <c r="H1892" s="16">
        <f>IFERROR(__xludf.DUMMYFUNCTION("GOOGLEFINANCE(B1892,""price"")"),56.1)</f>
        <v>56.1</v>
      </c>
      <c r="I1892" s="17">
        <f>IFERROR(__xludf.DUMMYFUNCTION("AVERAGE(QUERY(SORT(GOOGLEFINANCE(B1892,""price"",TODAY()-365,TODAY()),1,0),""select Col2 limit 10""))"),56.302)</f>
        <v>56.302</v>
      </c>
      <c r="J1892" s="17">
        <f>IFERROR(__xludf.DUMMYFUNCTION("AVERAGE(QUERY(SORT(GOOGLEFINANCE(B1892,""price"",TODAY()-365,TODAY()),1,0),""select Col2 limit 30""))"),54.73766666666666)</f>
        <v>54.73766667</v>
      </c>
      <c r="K1892" s="18">
        <f>IFERROR(__xludf.DUMMYFUNCTION("AVERAGE(QUERY(SORT(GOOGLEFINANCE(B1892,""price"",TODAY()-365,TODAY()),1,0),""select Col2 limit 60""))"),53.816000000000024)</f>
        <v>53.816</v>
      </c>
      <c r="L1892" s="17">
        <f>IFERROR(__xludf.DUMMYFUNCTION("AVERAGE(QUERY(SORT(GOOGLEFINANCE(B1892,""price"",TODAY()-365,TODAY()),1,0),""select Col2 limit 90""))"),51.20711111111112)</f>
        <v>51.20711111</v>
      </c>
      <c r="M1892" s="17">
        <f>IFERROR(__xludf.DUMMYFUNCTION("AVERAGE(QUERY(SORT(GOOGLEFINANCE(B1892,""price"",TODAY()-365,TODAY()),1,0),""select Col2 limit 120""))"),48.104833333333325)</f>
        <v>48.10483333</v>
      </c>
      <c r="N1892" s="19">
        <f>IFERROR(__xludf.DUMMYFUNCTION("AVERAGE(QUERY(SORT(GOOGLEFINANCE(B1892,""price"",TODAY()-365,TODAY()),1,0),""select Col2 limit 200""))"),44.75910000000001)</f>
        <v>44.7591</v>
      </c>
      <c r="O1892" s="20" t="str">
        <f t="shared" si="2"/>
        <v>Avoid</v>
      </c>
      <c r="P1892" s="21" t="str">
        <f t="shared" si="3"/>
        <v>10 DMA</v>
      </c>
      <c r="Q1892" s="21" t="str">
        <f t="shared" si="4"/>
        <v/>
      </c>
      <c r="R1892" s="22">
        <f>IFERROR(__xludf.DUMMYFUNCTION("GOOGLEFINANCE(B1892, ""pe"")
"),22.9)</f>
        <v>22.9</v>
      </c>
    </row>
    <row r="1893">
      <c r="A1893" s="9" t="s">
        <v>1901</v>
      </c>
      <c r="B1893" s="11" t="str">
        <f t="shared" si="1"/>
        <v>NSE:MANUGRAPH</v>
      </c>
      <c r="C1893" s="12">
        <f>IFERROR(__xludf.DUMMYFUNCTION("GOOGLEFINANCE(B1893,""marketcap"")/10000000"),58.4622219)</f>
        <v>58.4622219</v>
      </c>
      <c r="D1893" s="13">
        <f>IFERROR(__xludf.DUMMYFUNCTION("GOOGLEFINANCE(B1893,""price"")"),20.22)</f>
        <v>20.22</v>
      </c>
      <c r="E1893" s="14">
        <f>IFERROR(__xludf.DUMMYFUNCTION("GOOGLEFINANCE(B1893,""Volume"")"),951.0)</f>
        <v>951</v>
      </c>
      <c r="F1893" s="14">
        <f t="array" ref="F1893">F1892</f>
        <v>14</v>
      </c>
      <c r="G1893" s="15" t="str">
        <f>IFERROR(__xludf.DUMMYFUNCTION("IF(E1893&gt;AVERAGE(INDEX(GOOGLEFINANCE(B1893,""volume"",WORKDAY(TODAY(),-$F$1),TODAY()),,2)),""Breakout"","""")"),"")</f>
        <v/>
      </c>
      <c r="H1893" s="16">
        <f>IFERROR(__xludf.DUMMYFUNCTION("GOOGLEFINANCE(B1893,""price"")"),20.22)</f>
        <v>20.22</v>
      </c>
      <c r="I1893" s="17">
        <f>IFERROR(__xludf.DUMMYFUNCTION("AVERAGE(QUERY(SORT(GOOGLEFINANCE(B1893,""price"",TODAY()-365,TODAY()),1,0),""select Col2 limit 10""))"),20.048)</f>
        <v>20.048</v>
      </c>
      <c r="J1893" s="17">
        <f>IFERROR(__xludf.DUMMYFUNCTION("AVERAGE(QUERY(SORT(GOOGLEFINANCE(B1893,""price"",TODAY()-365,TODAY()),1,0),""select Col2 limit 30""))"),20.19833333333333)</f>
        <v>20.19833333</v>
      </c>
      <c r="K1893" s="18">
        <f>IFERROR(__xludf.DUMMYFUNCTION("AVERAGE(QUERY(SORT(GOOGLEFINANCE(B1893,""price"",TODAY()-365,TODAY()),1,0),""select Col2 limit 60""))"),19.81516666666666)</f>
        <v>19.81516667</v>
      </c>
      <c r="L1893" s="17">
        <f>IFERROR(__xludf.DUMMYFUNCTION("AVERAGE(QUERY(SORT(GOOGLEFINANCE(B1893,""price"",TODAY()-365,TODAY()),1,0),""select Col2 limit 90""))"),19.033777777777768)</f>
        <v>19.03377778</v>
      </c>
      <c r="M1893" s="17">
        <f>IFERROR(__xludf.DUMMYFUNCTION("AVERAGE(QUERY(SORT(GOOGLEFINANCE(B1893,""price"",TODAY()-365,TODAY()),1,0),""select Col2 limit 120""))"),18.547916666666655)</f>
        <v>18.54791667</v>
      </c>
      <c r="N1893" s="19">
        <f>IFERROR(__xludf.DUMMYFUNCTION("AVERAGE(QUERY(SORT(GOOGLEFINANCE(B1893,""price"",TODAY()-365,TODAY()),1,0),""select Col2 limit 200""))"),20.02094999999999)</f>
        <v>20.02095</v>
      </c>
      <c r="O1893" s="20" t="str">
        <f t="shared" si="2"/>
        <v>Avoid</v>
      </c>
      <c r="P1893" s="21" t="str">
        <f t="shared" si="3"/>
        <v/>
      </c>
      <c r="Q1893" s="21" t="str">
        <f t="shared" si="4"/>
        <v/>
      </c>
      <c r="R1893" s="22" t="str">
        <f>IFERROR(__xludf.DUMMYFUNCTION("GOOGLEFINANCE(B1893, ""pe"")
"),"#N/A")</f>
        <v>#N/A</v>
      </c>
    </row>
    <row r="1894">
      <c r="A1894" s="9" t="s">
        <v>1902</v>
      </c>
      <c r="B1894" s="11" t="str">
        <f t="shared" si="1"/>
        <v>NSE:NGIL</v>
      </c>
      <c r="C1894" s="12">
        <f>IFERROR(__xludf.DUMMYFUNCTION("GOOGLEFINANCE(B1894,""marketcap"")/10000000"),46.638657)</f>
        <v>46.638657</v>
      </c>
      <c r="D1894" s="13">
        <f>IFERROR(__xludf.DUMMYFUNCTION("GOOGLEFINANCE(B1894,""price"")"),29.21)</f>
        <v>29.21</v>
      </c>
      <c r="E1894" s="14">
        <f>IFERROR(__xludf.DUMMYFUNCTION("GOOGLEFINANCE(B1894,""Volume"")"),66270.0)</f>
        <v>66270</v>
      </c>
      <c r="F1894" s="14">
        <f t="array" ref="F1894">F1893</f>
        <v>14</v>
      </c>
      <c r="G1894" s="15" t="str">
        <f>IFERROR(__xludf.DUMMYFUNCTION("IF(E1894&gt;AVERAGE(INDEX(GOOGLEFINANCE(B1894,""volume"",WORKDAY(TODAY(),-$F$1),TODAY()),,2)),""Breakout"","""")"),"Breakout")</f>
        <v>Breakout</v>
      </c>
      <c r="H1894" s="16">
        <f>IFERROR(__xludf.DUMMYFUNCTION("GOOGLEFINANCE(B1894,""price"")"),29.21)</f>
        <v>29.21</v>
      </c>
      <c r="I1894" s="17">
        <f>IFERROR(__xludf.DUMMYFUNCTION("AVERAGE(QUERY(SORT(GOOGLEFINANCE(B1894,""price"",TODAY()-365,TODAY()),1,0),""select Col2 limit 10""))"),29.378000000000004)</f>
        <v>29.378</v>
      </c>
      <c r="J1894" s="17">
        <f>IFERROR(__xludf.DUMMYFUNCTION("AVERAGE(QUERY(SORT(GOOGLEFINANCE(B1894,""price"",TODAY()-365,TODAY()),1,0),""select Col2 limit 30""))"),29.34233333333333)</f>
        <v>29.34233333</v>
      </c>
      <c r="K1894" s="18">
        <f>IFERROR(__xludf.DUMMYFUNCTION("AVERAGE(QUERY(SORT(GOOGLEFINANCE(B1894,""price"",TODAY()-365,TODAY()),1,0),""select Col2 limit 60""))"),29.668833333333332)</f>
        <v>29.66883333</v>
      </c>
      <c r="L1894" s="17">
        <f>IFERROR(__xludf.DUMMYFUNCTION("AVERAGE(QUERY(SORT(GOOGLEFINANCE(B1894,""price"",TODAY()-365,TODAY()),1,0),""select Col2 limit 90""))"),30.962888888888887)</f>
        <v>30.96288889</v>
      </c>
      <c r="M1894" s="17">
        <f>IFERROR(__xludf.DUMMYFUNCTION("AVERAGE(QUERY(SORT(GOOGLEFINANCE(B1894,""price"",TODAY()-365,TODAY()),1,0),""select Col2 limit 120""))"),32.79091666666667)</f>
        <v>32.79091667</v>
      </c>
      <c r="N1894" s="19">
        <f>IFERROR(__xludf.DUMMYFUNCTION("AVERAGE(QUERY(SORT(GOOGLEFINANCE(B1894,""price"",TODAY()-365,TODAY()),1,0),""select Col2 limit 200""))"),35.763750000000016)</f>
        <v>35.76375</v>
      </c>
      <c r="O1894" s="20" t="str">
        <f t="shared" si="2"/>
        <v>Avoid</v>
      </c>
      <c r="P1894" s="21" t="str">
        <f t="shared" si="3"/>
        <v>10 DMA</v>
      </c>
      <c r="Q1894" s="21" t="str">
        <f t="shared" si="4"/>
        <v>10 DMA cross best</v>
      </c>
      <c r="R1894" s="22" t="str">
        <f>IFERROR(__xludf.DUMMYFUNCTION("GOOGLEFINANCE(B1894, ""pe"")
"),"#N/A")</f>
        <v>#N/A</v>
      </c>
    </row>
    <row r="1895">
      <c r="A1895" s="9" t="s">
        <v>1903</v>
      </c>
      <c r="B1895" s="11" t="str">
        <f t="shared" si="1"/>
        <v>NSE:LCCINFOTEC</v>
      </c>
      <c r="C1895" s="12">
        <f>IFERROR(__xludf.DUMMYFUNCTION("GOOGLEFINANCE(B1895,""marketcap"")/10000000"),50.8905063)</f>
        <v>50.8905063</v>
      </c>
      <c r="D1895" s="13">
        <f>IFERROR(__xludf.DUMMYFUNCTION("GOOGLEFINANCE(B1895,""price"")"),4.02)</f>
        <v>4.02</v>
      </c>
      <c r="E1895" s="14">
        <f>IFERROR(__xludf.DUMMYFUNCTION("GOOGLEFINANCE(B1895,""Volume"")"),28946.0)</f>
        <v>28946</v>
      </c>
      <c r="F1895" s="14">
        <f t="array" ref="F1895">F1894</f>
        <v>14</v>
      </c>
      <c r="G1895" s="15" t="str">
        <f>IFERROR(__xludf.DUMMYFUNCTION("IF(E1895&gt;AVERAGE(INDEX(GOOGLEFINANCE(B1895,""volume"",WORKDAY(TODAY(),-$F$1),TODAY()),,2)),""Breakout"","""")"),"")</f>
        <v/>
      </c>
      <c r="H1895" s="16">
        <f>IFERROR(__xludf.DUMMYFUNCTION("GOOGLEFINANCE(B1895,""price"")"),4.02)</f>
        <v>4.02</v>
      </c>
      <c r="I1895" s="17">
        <f>IFERROR(__xludf.DUMMYFUNCTION("AVERAGE(QUERY(SORT(GOOGLEFINANCE(B1895,""price"",TODAY()-365,TODAY()),1,0),""select Col2 limit 10""))"),4.129)</f>
        <v>4.129</v>
      </c>
      <c r="J1895" s="17">
        <f>IFERROR(__xludf.DUMMYFUNCTION("AVERAGE(QUERY(SORT(GOOGLEFINANCE(B1895,""price"",TODAY()-365,TODAY()),1,0),""select Col2 limit 30""))"),4.986000000000001)</f>
        <v>4.986</v>
      </c>
      <c r="K1895" s="18">
        <f>IFERROR(__xludf.DUMMYFUNCTION("AVERAGE(QUERY(SORT(GOOGLEFINANCE(B1895,""price"",TODAY()-365,TODAY()),1,0),""select Col2 limit 60""))"),5.3053333333333335)</f>
        <v>5.305333333</v>
      </c>
      <c r="L1895" s="17">
        <f>IFERROR(__xludf.DUMMYFUNCTION("AVERAGE(QUERY(SORT(GOOGLEFINANCE(B1895,""price"",TODAY()-365,TODAY()),1,0),""select Col2 limit 90""))"),5.680888888888888)</f>
        <v>5.680888889</v>
      </c>
      <c r="M1895" s="17">
        <f>IFERROR(__xludf.DUMMYFUNCTION("AVERAGE(QUERY(SORT(GOOGLEFINANCE(B1895,""price"",TODAY()-365,TODAY()),1,0),""select Col2 limit 120""))"),6.430249999999998)</f>
        <v>6.43025</v>
      </c>
      <c r="N1895" s="19">
        <f>IFERROR(__xludf.DUMMYFUNCTION("AVERAGE(QUERY(SORT(GOOGLEFINANCE(B1895,""price"",TODAY()-365,TODAY()),1,0),""select Col2 limit 200""))"),7.715299999999997)</f>
        <v>7.7153</v>
      </c>
      <c r="O1895" s="20" t="str">
        <f t="shared" si="2"/>
        <v>Avoid</v>
      </c>
      <c r="P1895" s="21" t="str">
        <f t="shared" si="3"/>
        <v/>
      </c>
      <c r="Q1895" s="21" t="str">
        <f t="shared" si="4"/>
        <v/>
      </c>
      <c r="R1895" s="22" t="str">
        <f>IFERROR(__xludf.DUMMYFUNCTION("GOOGLEFINANCE(B1895, ""pe"")
"),"#N/A")</f>
        <v>#N/A</v>
      </c>
    </row>
    <row r="1896">
      <c r="A1896" s="9" t="s">
        <v>1904</v>
      </c>
      <c r="B1896" s="11" t="str">
        <f t="shared" si="1"/>
        <v>NSE:DNAMEDIA</v>
      </c>
      <c r="C1896" s="12">
        <f>IFERROR(__xludf.DUMMYFUNCTION("GOOGLEFINANCE(B1896,""marketcap"")/10000000"),55.5581735)</f>
        <v>55.5581735</v>
      </c>
      <c r="D1896" s="13">
        <f>IFERROR(__xludf.DUMMYFUNCTION("GOOGLEFINANCE(B1896,""price"")"),4.7)</f>
        <v>4.7</v>
      </c>
      <c r="E1896" s="14">
        <f>IFERROR(__xludf.DUMMYFUNCTION("GOOGLEFINANCE(B1896,""Volume"")"),7644.0)</f>
        <v>7644</v>
      </c>
      <c r="F1896" s="14">
        <f t="array" ref="F1896">F1895</f>
        <v>14</v>
      </c>
      <c r="G1896" s="15" t="str">
        <f>IFERROR(__xludf.DUMMYFUNCTION("IF(E1896&gt;AVERAGE(INDEX(GOOGLEFINANCE(B1896,""volume"",WORKDAY(TODAY(),-$F$1),TODAY()),,2)),""Breakout"","""")"),"")</f>
        <v/>
      </c>
      <c r="H1896" s="16">
        <f>IFERROR(__xludf.DUMMYFUNCTION("GOOGLEFINANCE(B1896,""price"")"),4.7)</f>
        <v>4.7</v>
      </c>
      <c r="I1896" s="17">
        <f>IFERROR(__xludf.DUMMYFUNCTION("AVERAGE(QUERY(SORT(GOOGLEFINANCE(B1896,""price"",TODAY()-365,TODAY()),1,0),""select Col2 limit 10""))"),4.946999999999999)</f>
        <v>4.947</v>
      </c>
      <c r="J1896" s="17">
        <f>IFERROR(__xludf.DUMMYFUNCTION("AVERAGE(QUERY(SORT(GOOGLEFINANCE(B1896,""price"",TODAY()-365,TODAY()),1,0),""select Col2 limit 30""))"),4.981999999999999)</f>
        <v>4.982</v>
      </c>
      <c r="K1896" s="18">
        <f>IFERROR(__xludf.DUMMYFUNCTION("AVERAGE(QUERY(SORT(GOOGLEFINANCE(B1896,""price"",TODAY()-365,TODAY()),1,0),""select Col2 limit 60""))"),5.0138333333333325)</f>
        <v>5.013833333</v>
      </c>
      <c r="L1896" s="17">
        <f>IFERROR(__xludf.DUMMYFUNCTION("AVERAGE(QUERY(SORT(GOOGLEFINANCE(B1896,""price"",TODAY()-365,TODAY()),1,0),""select Col2 limit 90""))"),4.990222222222221)</f>
        <v>4.990222222</v>
      </c>
      <c r="M1896" s="17">
        <f>IFERROR(__xludf.DUMMYFUNCTION("AVERAGE(QUERY(SORT(GOOGLEFINANCE(B1896,""price"",TODAY()-365,TODAY()),1,0),""select Col2 limit 120""))"),5.130583333333334)</f>
        <v>5.130583333</v>
      </c>
      <c r="N1896" s="19">
        <f>IFERROR(__xludf.DUMMYFUNCTION("AVERAGE(QUERY(SORT(GOOGLEFINANCE(B1896,""price"",TODAY()-365,TODAY()),1,0),""select Col2 limit 200""))"),5.268649999999996)</f>
        <v>5.26865</v>
      </c>
      <c r="O1896" s="20" t="str">
        <f t="shared" si="2"/>
        <v>Avoid</v>
      </c>
      <c r="P1896" s="21" t="str">
        <f t="shared" si="3"/>
        <v/>
      </c>
      <c r="Q1896" s="21" t="str">
        <f t="shared" si="4"/>
        <v/>
      </c>
      <c r="R1896" s="22">
        <f>IFERROR(__xludf.DUMMYFUNCTION("GOOGLEFINANCE(B1896, ""pe"")
"),4.05)</f>
        <v>4.05</v>
      </c>
    </row>
    <row r="1897">
      <c r="A1897" s="9" t="s">
        <v>1905</v>
      </c>
      <c r="B1897" s="11" t="str">
        <f t="shared" si="1"/>
        <v>NSE:KANANIIND</v>
      </c>
      <c r="C1897" s="12">
        <f>IFERROR(__xludf.DUMMYFUNCTION("GOOGLEFINANCE(B1897,""marketcap"")/10000000"),40.3650712)</f>
        <v>40.3650712</v>
      </c>
      <c r="D1897" s="13">
        <f>IFERROR(__xludf.DUMMYFUNCTION("GOOGLEFINANCE(B1897,""price"")"),2.04)</f>
        <v>2.04</v>
      </c>
      <c r="E1897" s="14">
        <f>IFERROR(__xludf.DUMMYFUNCTION("GOOGLEFINANCE(B1897,""Volume"")"),96293.0)</f>
        <v>96293</v>
      </c>
      <c r="F1897" s="14">
        <f t="array" ref="F1897">F1896</f>
        <v>14</v>
      </c>
      <c r="G1897" s="15" t="str">
        <f>IFERROR(__xludf.DUMMYFUNCTION("IF(E1897&gt;AVERAGE(INDEX(GOOGLEFINANCE(B1897,""volume"",WORKDAY(TODAY(),-$F$1),TODAY()),,2)),""Breakout"","""")"),"")</f>
        <v/>
      </c>
      <c r="H1897" s="16">
        <f>IFERROR(__xludf.DUMMYFUNCTION("GOOGLEFINANCE(B1897,""price"")"),2.04)</f>
        <v>2.04</v>
      </c>
      <c r="I1897" s="17" t="str">
        <f>IFERROR(__xludf.DUMMYFUNCTION("AVERAGE(QUERY(SORT(GOOGLEFINANCE(B1897,""price"",TODAY()-365,TODAY()),1,0),""select Col2 limit 10""))"),"#N/A")</f>
        <v>#N/A</v>
      </c>
      <c r="J1897" s="17" t="str">
        <f>IFERROR(__xludf.DUMMYFUNCTION("AVERAGE(QUERY(SORT(GOOGLEFINANCE(B1897,""price"",TODAY()-365,TODAY()),1,0),""select Col2 limit 30""))"),"#N/A")</f>
        <v>#N/A</v>
      </c>
      <c r="K1897" s="18" t="str">
        <f>IFERROR(__xludf.DUMMYFUNCTION("AVERAGE(QUERY(SORT(GOOGLEFINANCE(B1897,""price"",TODAY()-365,TODAY()),1,0),""select Col2 limit 60""))"),"#N/A")</f>
        <v>#N/A</v>
      </c>
      <c r="L1897" s="17" t="str">
        <f>IFERROR(__xludf.DUMMYFUNCTION("AVERAGE(QUERY(SORT(GOOGLEFINANCE(B1897,""price"",TODAY()-365,TODAY()),1,0),""select Col2 limit 90""))"),"#N/A")</f>
        <v>#N/A</v>
      </c>
      <c r="M1897" s="17" t="str">
        <f>IFERROR(__xludf.DUMMYFUNCTION("AVERAGE(QUERY(SORT(GOOGLEFINANCE(B1897,""price"",TODAY()-365,TODAY()),1,0),""select Col2 limit 120""))"),"#N/A")</f>
        <v>#N/A</v>
      </c>
      <c r="N1897" s="19" t="str">
        <f>IFERROR(__xludf.DUMMYFUNCTION("AVERAGE(QUERY(SORT(GOOGLEFINANCE(B1897,""price"",TODAY()-365,TODAY()),1,0),""select Col2 limit 200""))"),"#N/A")</f>
        <v>#N/A</v>
      </c>
      <c r="O1897" s="20" t="str">
        <f t="shared" si="2"/>
        <v>#N/A</v>
      </c>
      <c r="P1897" s="21" t="str">
        <f t="shared" si="3"/>
        <v>#N/A</v>
      </c>
      <c r="Q1897" s="21" t="str">
        <f t="shared" si="4"/>
        <v>#N/A</v>
      </c>
      <c r="R1897" s="22">
        <f>IFERROR(__xludf.DUMMYFUNCTION("GOOGLEFINANCE(B1897, ""pe"")
"),51.0)</f>
        <v>51</v>
      </c>
    </row>
    <row r="1898">
      <c r="A1898" s="9" t="s">
        <v>1906</v>
      </c>
      <c r="B1898" s="11" t="str">
        <f t="shared" si="1"/>
        <v>NSE:ABMINTLLTD</v>
      </c>
      <c r="C1898" s="12">
        <f>IFERROR(__xludf.DUMMYFUNCTION("GOOGLEFINANCE(B1898,""marketcap"")/10000000"),55.8835214)</f>
        <v>55.8835214</v>
      </c>
      <c r="D1898" s="13">
        <f>IFERROR(__xludf.DUMMYFUNCTION("GOOGLEFINANCE(B1898,""price"")"),59.4)</f>
        <v>59.4</v>
      </c>
      <c r="E1898" s="14">
        <f>IFERROR(__xludf.DUMMYFUNCTION("GOOGLEFINANCE(B1898,""Volume"")"),165.0)</f>
        <v>165</v>
      </c>
      <c r="F1898" s="14">
        <f t="array" ref="F1898">F1897</f>
        <v>14</v>
      </c>
      <c r="G1898" s="15" t="str">
        <f>IFERROR(__xludf.DUMMYFUNCTION("IF(E1898&gt;AVERAGE(INDEX(GOOGLEFINANCE(B1898,""volume"",WORKDAY(TODAY(),-$F$1),TODAY()),,2)),""Breakout"","""")"),"")</f>
        <v/>
      </c>
      <c r="H1898" s="16">
        <f>IFERROR(__xludf.DUMMYFUNCTION("GOOGLEFINANCE(B1898,""price"")"),59.4)</f>
        <v>59.4</v>
      </c>
      <c r="I1898" s="17">
        <f>IFERROR(__xludf.DUMMYFUNCTION("AVERAGE(QUERY(SORT(GOOGLEFINANCE(B1898,""price"",TODAY()-365,TODAY()),1,0),""select Col2 limit 10""))"),61.086)</f>
        <v>61.086</v>
      </c>
      <c r="J1898" s="17">
        <f>IFERROR(__xludf.DUMMYFUNCTION("AVERAGE(QUERY(SORT(GOOGLEFINANCE(B1898,""price"",TODAY()-365,TODAY()),1,0),""select Col2 limit 30""))"),55.943999999999996)</f>
        <v>55.944</v>
      </c>
      <c r="K1898" s="18">
        <f>IFERROR(__xludf.DUMMYFUNCTION("AVERAGE(QUERY(SORT(GOOGLEFINANCE(B1898,""price"",TODAY()-365,TODAY()),1,0),""select Col2 limit 60""))"),52.95899999999999)</f>
        <v>52.959</v>
      </c>
      <c r="L1898" s="17">
        <f>IFERROR(__xludf.DUMMYFUNCTION("AVERAGE(QUERY(SORT(GOOGLEFINANCE(B1898,""price"",TODAY()-365,TODAY()),1,0),""select Col2 limit 90""))"),51.137444444444434)</f>
        <v>51.13744444</v>
      </c>
      <c r="M1898" s="17">
        <f>IFERROR(__xludf.DUMMYFUNCTION("AVERAGE(QUERY(SORT(GOOGLEFINANCE(B1898,""price"",TODAY()-365,TODAY()),1,0),""select Col2 limit 120""))"),53.31983333333331)</f>
        <v>53.31983333</v>
      </c>
      <c r="N1898" s="19">
        <f>IFERROR(__xludf.DUMMYFUNCTION("AVERAGE(QUERY(SORT(GOOGLEFINANCE(B1898,""price"",TODAY()-365,TODAY()),1,0),""select Col2 limit 200""))"),59.381850000000014)</f>
        <v>59.38185</v>
      </c>
      <c r="O1898" s="20" t="str">
        <f t="shared" si="2"/>
        <v>Avoid</v>
      </c>
      <c r="P1898" s="21" t="str">
        <f t="shared" si="3"/>
        <v/>
      </c>
      <c r="Q1898" s="21" t="str">
        <f t="shared" si="4"/>
        <v/>
      </c>
      <c r="R1898" s="22" t="str">
        <f>IFERROR(__xludf.DUMMYFUNCTION("GOOGLEFINANCE(B1898, ""pe"")
"),"#N/A")</f>
        <v>#N/A</v>
      </c>
    </row>
    <row r="1899">
      <c r="A1899" s="9" t="s">
        <v>1907</v>
      </c>
      <c r="B1899" s="11" t="str">
        <f t="shared" si="1"/>
        <v>NSE:FELDVR</v>
      </c>
      <c r="C1899" s="12">
        <f>IFERROR(__xludf.DUMMYFUNCTION("GOOGLEFINANCE(B1899,""marketcap"")/10000000"),40.8976476)</f>
        <v>40.8976476</v>
      </c>
      <c r="D1899" s="13">
        <f>IFERROR(__xludf.DUMMYFUNCTION("GOOGLEFINANCE(B1899,""price"")"),3.62)</f>
        <v>3.62</v>
      </c>
      <c r="E1899" s="14">
        <f>IFERROR(__xludf.DUMMYFUNCTION("GOOGLEFINANCE(B1899,""Volume"")"),424.0)</f>
        <v>424</v>
      </c>
      <c r="F1899" s="14">
        <f t="array" ref="F1899">F1898</f>
        <v>14</v>
      </c>
      <c r="G1899" s="15" t="str">
        <f>IFERROR(__xludf.DUMMYFUNCTION("IF(E1899&gt;AVERAGE(INDEX(GOOGLEFINANCE(B1899,""volume"",WORKDAY(TODAY(),-$F$1),TODAY()),,2)),""Breakout"","""")"),"")</f>
        <v/>
      </c>
      <c r="H1899" s="16">
        <f>IFERROR(__xludf.DUMMYFUNCTION("GOOGLEFINANCE(B1899,""price"")"),3.62)</f>
        <v>3.62</v>
      </c>
      <c r="I1899" s="17">
        <f>IFERROR(__xludf.DUMMYFUNCTION("AVERAGE(QUERY(SORT(GOOGLEFINANCE(B1899,""price"",TODAY()-365,TODAY()),1,0),""select Col2 limit 10""))"),3.4899999999999998)</f>
        <v>3.49</v>
      </c>
      <c r="J1899" s="17">
        <f>IFERROR(__xludf.DUMMYFUNCTION("AVERAGE(QUERY(SORT(GOOGLEFINANCE(B1899,""price"",TODAY()-365,TODAY()),1,0),""select Col2 limit 30""))"),3.6060000000000008)</f>
        <v>3.606</v>
      </c>
      <c r="K1899" s="18">
        <f>IFERROR(__xludf.DUMMYFUNCTION("AVERAGE(QUERY(SORT(GOOGLEFINANCE(B1899,""price"",TODAY()-365,TODAY()),1,0),""select Col2 limit 60""))"),3.681666666666666)</f>
        <v>3.681666667</v>
      </c>
      <c r="L1899" s="17">
        <f>IFERROR(__xludf.DUMMYFUNCTION("AVERAGE(QUERY(SORT(GOOGLEFINANCE(B1899,""price"",TODAY()-365,TODAY()),1,0),""select Col2 limit 90""))"),3.686666666666667)</f>
        <v>3.686666667</v>
      </c>
      <c r="M1899" s="17">
        <f>IFERROR(__xludf.DUMMYFUNCTION("AVERAGE(QUERY(SORT(GOOGLEFINANCE(B1899,""price"",TODAY()-365,TODAY()),1,0),""select Col2 limit 120""))"),3.8975)</f>
        <v>3.8975</v>
      </c>
      <c r="N1899" s="19">
        <f>IFERROR(__xludf.DUMMYFUNCTION("AVERAGE(QUERY(SORT(GOOGLEFINANCE(B1899,""price"",TODAY()-365,TODAY()),1,0),""select Col2 limit 200""))"),4.408800000000001)</f>
        <v>4.4088</v>
      </c>
      <c r="O1899" s="20" t="str">
        <f t="shared" si="2"/>
        <v>Avoid</v>
      </c>
      <c r="P1899" s="21" t="str">
        <f t="shared" si="3"/>
        <v/>
      </c>
      <c r="Q1899" s="21" t="str">
        <f t="shared" si="4"/>
        <v/>
      </c>
      <c r="R1899" s="22" t="str">
        <f>IFERROR(__xludf.DUMMYFUNCTION("GOOGLEFINANCE(B1899, ""pe"")
"),"#N/A")</f>
        <v>#N/A</v>
      </c>
    </row>
    <row r="1900">
      <c r="A1900" s="9" t="s">
        <v>1908</v>
      </c>
      <c r="B1900" s="11" t="str">
        <f t="shared" si="1"/>
        <v>NSE:FEL</v>
      </c>
      <c r="C1900" s="12">
        <f>IFERROR(__xludf.DUMMYFUNCTION("GOOGLEFINANCE(B1900,""marketcap"")/10000000"),40.8976476)</f>
        <v>40.8976476</v>
      </c>
      <c r="D1900" s="13">
        <f>IFERROR(__xludf.DUMMYFUNCTION("GOOGLEFINANCE(B1900,""price"")"),0.59)</f>
        <v>0.59</v>
      </c>
      <c r="E1900" s="14">
        <f>IFERROR(__xludf.DUMMYFUNCTION("GOOGLEFINANCE(B1900,""Volume"")"),19168.0)</f>
        <v>19168</v>
      </c>
      <c r="F1900" s="14">
        <f t="array" ref="F1900">F1899</f>
        <v>14</v>
      </c>
      <c r="G1900" s="15" t="str">
        <f>IFERROR(__xludf.DUMMYFUNCTION("IF(E1900&gt;AVERAGE(INDEX(GOOGLEFINANCE(B1900,""volume"",WORKDAY(TODAY(),-$F$1),TODAY()),,2)),""Breakout"","""")"),"")</f>
        <v/>
      </c>
      <c r="H1900" s="16">
        <f>IFERROR(__xludf.DUMMYFUNCTION("GOOGLEFINANCE(B1900,""price"")"),0.59)</f>
        <v>0.59</v>
      </c>
      <c r="I1900" s="17">
        <f>IFERROR(__xludf.DUMMYFUNCTION("AVERAGE(QUERY(SORT(GOOGLEFINANCE(B1900,""price"",TODAY()-365,TODAY()),1,0),""select Col2 limit 10""))"),0.5929999999999999)</f>
        <v>0.593</v>
      </c>
      <c r="J1900" s="17">
        <f>IFERROR(__xludf.DUMMYFUNCTION("AVERAGE(QUERY(SORT(GOOGLEFINANCE(B1900,""price"",TODAY()-365,TODAY()),1,0),""select Col2 limit 30""))"),0.5993333333333333)</f>
        <v>0.5993333333</v>
      </c>
      <c r="K1900" s="18">
        <f>IFERROR(__xludf.DUMMYFUNCTION("AVERAGE(QUERY(SORT(GOOGLEFINANCE(B1900,""price"",TODAY()-365,TODAY()),1,0),""select Col2 limit 60""))"),0.597666666666667)</f>
        <v>0.5976666667</v>
      </c>
      <c r="L1900" s="17">
        <f>IFERROR(__xludf.DUMMYFUNCTION("AVERAGE(QUERY(SORT(GOOGLEFINANCE(B1900,""price"",TODAY()-365,TODAY()),1,0),""select Col2 limit 90""))"),0.5932222222222224)</f>
        <v>0.5932222222</v>
      </c>
      <c r="M1900" s="17">
        <f>IFERROR(__xludf.DUMMYFUNCTION("AVERAGE(QUERY(SORT(GOOGLEFINANCE(B1900,""price"",TODAY()-365,TODAY()),1,0),""select Col2 limit 120""))"),0.587833333333333)</f>
        <v>0.5878333333</v>
      </c>
      <c r="N1900" s="19">
        <f>IFERROR(__xludf.DUMMYFUNCTION("AVERAGE(QUERY(SORT(GOOGLEFINANCE(B1900,""price"",TODAY()-365,TODAY()),1,0),""select Col2 limit 200""))"),0.6390499999999999)</f>
        <v>0.63905</v>
      </c>
      <c r="O1900" s="20" t="str">
        <f t="shared" si="2"/>
        <v>Avoid</v>
      </c>
      <c r="P1900" s="21" t="str">
        <f t="shared" si="3"/>
        <v>10 DMA</v>
      </c>
      <c r="Q1900" s="21" t="str">
        <f t="shared" si="4"/>
        <v/>
      </c>
      <c r="R1900" s="22" t="str">
        <f>IFERROR(__xludf.DUMMYFUNCTION("GOOGLEFINANCE(B1900, ""pe"")
"),"#N/A")</f>
        <v>#N/A</v>
      </c>
    </row>
    <row r="1901">
      <c r="A1901" s="9" t="s">
        <v>1909</v>
      </c>
      <c r="B1901" s="11" t="str">
        <f t="shared" si="1"/>
        <v>NSE:AKASH</v>
      </c>
      <c r="C1901" s="12">
        <f>IFERROR(__xludf.DUMMYFUNCTION("GOOGLEFINANCE(B1901,""marketcap"")/10000000"),46.742932)</f>
        <v>46.742932</v>
      </c>
      <c r="D1901" s="13">
        <f>IFERROR(__xludf.DUMMYFUNCTION("GOOGLEFINANCE(B1901,""price"")"),27.72)</f>
        <v>27.72</v>
      </c>
      <c r="E1901" s="14">
        <f>IFERROR(__xludf.DUMMYFUNCTION("GOOGLEFINANCE(B1901,""Volume"")"),1933.0)</f>
        <v>1933</v>
      </c>
      <c r="F1901" s="14">
        <f t="array" ref="F1901">F1900</f>
        <v>14</v>
      </c>
      <c r="G1901" s="15" t="str">
        <f>IFERROR(__xludf.DUMMYFUNCTION("IF(E1901&gt;AVERAGE(INDEX(GOOGLEFINANCE(B1901,""volume"",WORKDAY(TODAY(),-$F$1),TODAY()),,2)),""Breakout"","""")"),"")</f>
        <v/>
      </c>
      <c r="H1901" s="16">
        <f>IFERROR(__xludf.DUMMYFUNCTION("GOOGLEFINANCE(B1901,""price"")"),27.72)</f>
        <v>27.72</v>
      </c>
      <c r="I1901" s="17">
        <f>IFERROR(__xludf.DUMMYFUNCTION("AVERAGE(QUERY(SORT(GOOGLEFINANCE(B1901,""price"",TODAY()-365,TODAY()),1,0),""select Col2 limit 10""))"),28.131999999999998)</f>
        <v>28.132</v>
      </c>
      <c r="J1901" s="17">
        <f>IFERROR(__xludf.DUMMYFUNCTION("AVERAGE(QUERY(SORT(GOOGLEFINANCE(B1901,""price"",TODAY()-365,TODAY()),1,0),""select Col2 limit 30""))"),28.273)</f>
        <v>28.273</v>
      </c>
      <c r="K1901" s="18">
        <f>IFERROR(__xludf.DUMMYFUNCTION("AVERAGE(QUERY(SORT(GOOGLEFINANCE(B1901,""price"",TODAY()-365,TODAY()),1,0),""select Col2 limit 60""))"),28.43266666666666)</f>
        <v>28.43266667</v>
      </c>
      <c r="L1901" s="17">
        <f>IFERROR(__xludf.DUMMYFUNCTION("AVERAGE(QUERY(SORT(GOOGLEFINANCE(B1901,""price"",TODAY()-365,TODAY()),1,0),""select Col2 limit 90""))"),27.79033333333333)</f>
        <v>27.79033333</v>
      </c>
      <c r="M1901" s="17">
        <f>IFERROR(__xludf.DUMMYFUNCTION("AVERAGE(QUERY(SORT(GOOGLEFINANCE(B1901,""price"",TODAY()-365,TODAY()),1,0),""select Col2 limit 120""))"),27.880666666666652)</f>
        <v>27.88066667</v>
      </c>
      <c r="N1901" s="19">
        <f>IFERROR(__xludf.DUMMYFUNCTION("AVERAGE(QUERY(SORT(GOOGLEFINANCE(B1901,""price"",TODAY()-365,TODAY()),1,0),""select Col2 limit 200""))"),30.48125)</f>
        <v>30.48125</v>
      </c>
      <c r="O1901" s="20" t="str">
        <f t="shared" si="2"/>
        <v>Avoid</v>
      </c>
      <c r="P1901" s="21" t="str">
        <f t="shared" si="3"/>
        <v>90 DMA</v>
      </c>
      <c r="Q1901" s="21" t="str">
        <f t="shared" si="4"/>
        <v/>
      </c>
      <c r="R1901" s="22">
        <f>IFERROR(__xludf.DUMMYFUNCTION("GOOGLEFINANCE(B1901, ""pe"")
"),52.47)</f>
        <v>52.47</v>
      </c>
    </row>
    <row r="1902">
      <c r="A1902" s="9" t="s">
        <v>1910</v>
      </c>
      <c r="B1902" s="11" t="str">
        <f t="shared" si="1"/>
        <v>NSE:SAGARDEEP</v>
      </c>
      <c r="C1902" s="12">
        <f>IFERROR(__xludf.DUMMYFUNCTION("GOOGLEFINANCE(B1902,""marketcap"")/10000000"),48.1018411)</f>
        <v>48.1018411</v>
      </c>
      <c r="D1902" s="13">
        <f>IFERROR(__xludf.DUMMYFUNCTION("GOOGLEFINANCE(B1902,""price"")"),28.2)</f>
        <v>28.2</v>
      </c>
      <c r="E1902" s="14">
        <f>IFERROR(__xludf.DUMMYFUNCTION("GOOGLEFINANCE(B1902,""Volume"")"),4271.0)</f>
        <v>4271</v>
      </c>
      <c r="F1902" s="14">
        <f t="array" ref="F1902">F1901</f>
        <v>14</v>
      </c>
      <c r="G1902" s="15" t="str">
        <f>IFERROR(__xludf.DUMMYFUNCTION("IF(E1902&gt;AVERAGE(INDEX(GOOGLEFINANCE(B1902,""volume"",WORKDAY(TODAY(),-$F$1),TODAY()),,2)),""Breakout"","""")"),"")</f>
        <v/>
      </c>
      <c r="H1902" s="16">
        <f>IFERROR(__xludf.DUMMYFUNCTION("GOOGLEFINANCE(B1902,""price"")"),28.2)</f>
        <v>28.2</v>
      </c>
      <c r="I1902" s="17">
        <f>IFERROR(__xludf.DUMMYFUNCTION("AVERAGE(QUERY(SORT(GOOGLEFINANCE(B1902,""price"",TODAY()-365,TODAY()),1,0),""select Col2 limit 10""))"),29.630000000000003)</f>
        <v>29.63</v>
      </c>
      <c r="J1902" s="17">
        <f>IFERROR(__xludf.DUMMYFUNCTION("AVERAGE(QUERY(SORT(GOOGLEFINANCE(B1902,""price"",TODAY()-365,TODAY()),1,0),""select Col2 limit 30""))"),31.12666666666667)</f>
        <v>31.12666667</v>
      </c>
      <c r="K1902" s="18">
        <f>IFERROR(__xludf.DUMMYFUNCTION("AVERAGE(QUERY(SORT(GOOGLEFINANCE(B1902,""price"",TODAY()-365,TODAY()),1,0),""select Col2 limit 60""))"),30.392166666666682)</f>
        <v>30.39216667</v>
      </c>
      <c r="L1902" s="17">
        <f>IFERROR(__xludf.DUMMYFUNCTION("AVERAGE(QUERY(SORT(GOOGLEFINANCE(B1902,""price"",TODAY()-365,TODAY()),1,0),""select Col2 limit 90""))"),30.05688888888889)</f>
        <v>30.05688889</v>
      </c>
      <c r="M1902" s="17">
        <f>IFERROR(__xludf.DUMMYFUNCTION("AVERAGE(QUERY(SORT(GOOGLEFINANCE(B1902,""price"",TODAY()-365,TODAY()),1,0),""select Col2 limit 120""))"),30.572916666666675)</f>
        <v>30.57291667</v>
      </c>
      <c r="N1902" s="19">
        <f>IFERROR(__xludf.DUMMYFUNCTION("AVERAGE(QUERY(SORT(GOOGLEFINANCE(B1902,""price"",TODAY()-365,TODAY()),1,0),""select Col2 limit 200""))"),29.506350000000012)</f>
        <v>29.50635</v>
      </c>
      <c r="O1902" s="20" t="str">
        <f t="shared" si="2"/>
        <v>Avoid</v>
      </c>
      <c r="P1902" s="21" t="str">
        <f t="shared" si="3"/>
        <v/>
      </c>
      <c r="Q1902" s="21" t="str">
        <f t="shared" si="4"/>
        <v/>
      </c>
      <c r="R1902" s="22">
        <f>IFERROR(__xludf.DUMMYFUNCTION("GOOGLEFINANCE(B1902, ""pe"")
"),24.05)</f>
        <v>24.05</v>
      </c>
    </row>
    <row r="1903">
      <c r="A1903" s="9" t="s">
        <v>1911</v>
      </c>
      <c r="B1903" s="11" t="str">
        <f t="shared" si="1"/>
        <v>NSE:KAVVERITEL</v>
      </c>
      <c r="C1903" s="12" t="str">
        <f>IFERROR(__xludf.DUMMYFUNCTION("GOOGLEFINANCE(B1903,""marketcap"")/10000000"),"#N/A")</f>
        <v>#N/A</v>
      </c>
      <c r="D1903" s="13" t="str">
        <f>IFERROR(__xludf.DUMMYFUNCTION("GOOGLEFINANCE(B1903,""price"")"),"#N/A")</f>
        <v>#N/A</v>
      </c>
      <c r="E1903" s="14" t="str">
        <f>IFERROR(__xludf.DUMMYFUNCTION("GOOGLEFINANCE(B1903,""Volume"")"),"#N/A")</f>
        <v>#N/A</v>
      </c>
      <c r="F1903" s="14">
        <f t="array" ref="F1903">F1902</f>
        <v>14</v>
      </c>
      <c r="G1903" s="15" t="str">
        <f>IFERROR(__xludf.DUMMYFUNCTION("IF(E1903&gt;AVERAGE(INDEX(GOOGLEFINANCE(B1903,""volume"",WORKDAY(TODAY(),-$F$1),TODAY()),,2)),""Breakout"","""")"),"#N/A")</f>
        <v>#N/A</v>
      </c>
      <c r="H1903" s="16" t="str">
        <f>IFERROR(__xludf.DUMMYFUNCTION("GOOGLEFINANCE(B1903,""price"")"),"#N/A")</f>
        <v>#N/A</v>
      </c>
      <c r="I1903" s="17" t="str">
        <f>IFERROR(__xludf.DUMMYFUNCTION("AVERAGE(QUERY(SORT(GOOGLEFINANCE(B1903,""price"",TODAY()-365,TODAY()),1,0),""select Col2 limit 10""))"),"#N/A")</f>
        <v>#N/A</v>
      </c>
      <c r="J1903" s="17" t="str">
        <f>IFERROR(__xludf.DUMMYFUNCTION("AVERAGE(QUERY(SORT(GOOGLEFINANCE(B1903,""price"",TODAY()-365,TODAY()),1,0),""select Col2 limit 30""))"),"#N/A")</f>
        <v>#N/A</v>
      </c>
      <c r="K1903" s="18" t="str">
        <f>IFERROR(__xludf.DUMMYFUNCTION("AVERAGE(QUERY(SORT(GOOGLEFINANCE(B1903,""price"",TODAY()-365,TODAY()),1,0),""select Col2 limit 60""))"),"#N/A")</f>
        <v>#N/A</v>
      </c>
      <c r="L1903" s="17" t="str">
        <f>IFERROR(__xludf.DUMMYFUNCTION("AVERAGE(QUERY(SORT(GOOGLEFINANCE(B1903,""price"",TODAY()-365,TODAY()),1,0),""select Col2 limit 90""))"),"#N/A")</f>
        <v>#N/A</v>
      </c>
      <c r="M1903" s="17" t="str">
        <f>IFERROR(__xludf.DUMMYFUNCTION("AVERAGE(QUERY(SORT(GOOGLEFINANCE(B1903,""price"",TODAY()-365,TODAY()),1,0),""select Col2 limit 120""))"),"#N/A")</f>
        <v>#N/A</v>
      </c>
      <c r="N1903" s="19" t="str">
        <f>IFERROR(__xludf.DUMMYFUNCTION("AVERAGE(QUERY(SORT(GOOGLEFINANCE(B1903,""price"",TODAY()-365,TODAY()),1,0),""select Col2 limit 200""))"),"#N/A")</f>
        <v>#N/A</v>
      </c>
      <c r="O1903" s="20" t="str">
        <f t="shared" si="2"/>
        <v>#N/A</v>
      </c>
      <c r="P1903" s="21" t="str">
        <f t="shared" si="3"/>
        <v>#N/A</v>
      </c>
      <c r="Q1903" s="21" t="str">
        <f t="shared" si="4"/>
        <v>#N/A</v>
      </c>
      <c r="R1903" s="22" t="str">
        <f>IFERROR(__xludf.DUMMYFUNCTION("GOOGLEFINANCE(B1903, ""pe"")
"),"#N/A")</f>
        <v>#N/A</v>
      </c>
    </row>
    <row r="1904">
      <c r="A1904" s="9" t="s">
        <v>1912</v>
      </c>
      <c r="B1904" s="11" t="str">
        <f t="shared" si="1"/>
        <v>NSE:KEEPLEARN</v>
      </c>
      <c r="C1904" s="12">
        <f>IFERROR(__xludf.DUMMYFUNCTION("GOOGLEFINANCE(B1904,""marketcap"")/10000000"),49.8278407)</f>
        <v>49.8278407</v>
      </c>
      <c r="D1904" s="13">
        <f>IFERROR(__xludf.DUMMYFUNCTION("GOOGLEFINANCE(B1904,""price"")"),3.15)</f>
        <v>3.15</v>
      </c>
      <c r="E1904" s="14">
        <f>IFERROR(__xludf.DUMMYFUNCTION("GOOGLEFINANCE(B1904,""Volume"")"),20652.0)</f>
        <v>20652</v>
      </c>
      <c r="F1904" s="14">
        <f t="array" ref="F1904">F1903</f>
        <v>14</v>
      </c>
      <c r="G1904" s="15" t="str">
        <f>IFERROR(__xludf.DUMMYFUNCTION("IF(E1904&gt;AVERAGE(INDEX(GOOGLEFINANCE(B1904,""volume"",WORKDAY(TODAY(),-$F$1),TODAY()),,2)),""Breakout"","""")"),"")</f>
        <v/>
      </c>
      <c r="H1904" s="16">
        <f>IFERROR(__xludf.DUMMYFUNCTION("GOOGLEFINANCE(B1904,""price"")"),3.15)</f>
        <v>3.15</v>
      </c>
      <c r="I1904" s="17">
        <f>IFERROR(__xludf.DUMMYFUNCTION("AVERAGE(QUERY(SORT(GOOGLEFINANCE(B1904,""price"",TODAY()-365,TODAY()),1,0),""select Col2 limit 10""))"),3.138)</f>
        <v>3.138</v>
      </c>
      <c r="J1904" s="17">
        <f>IFERROR(__xludf.DUMMYFUNCTION("AVERAGE(QUERY(SORT(GOOGLEFINANCE(B1904,""price"",TODAY()-365,TODAY()),1,0),""select Col2 limit 30""))"),3.261)</f>
        <v>3.261</v>
      </c>
      <c r="K1904" s="18">
        <f>IFERROR(__xludf.DUMMYFUNCTION("AVERAGE(QUERY(SORT(GOOGLEFINANCE(B1904,""price"",TODAY()-365,TODAY()),1,0),""select Col2 limit 60""))"),3.465333333333333)</f>
        <v>3.465333333</v>
      </c>
      <c r="L1904" s="17">
        <f>IFERROR(__xludf.DUMMYFUNCTION("AVERAGE(QUERY(SORT(GOOGLEFINANCE(B1904,""price"",TODAY()-365,TODAY()),1,0),""select Col2 limit 90""))"),3.4412222222222226)</f>
        <v>3.441222222</v>
      </c>
      <c r="M1904" s="17">
        <f>IFERROR(__xludf.DUMMYFUNCTION("AVERAGE(QUERY(SORT(GOOGLEFINANCE(B1904,""price"",TODAY()-365,TODAY()),1,0),""select Col2 limit 120""))"),3.5105833333333334)</f>
        <v>3.510583333</v>
      </c>
      <c r="N1904" s="19">
        <f>IFERROR(__xludf.DUMMYFUNCTION("AVERAGE(QUERY(SORT(GOOGLEFINANCE(B1904,""price"",TODAY()-365,TODAY()),1,0),""select Col2 limit 200""))"),4.039850000000002)</f>
        <v>4.03985</v>
      </c>
      <c r="O1904" s="20" t="str">
        <f t="shared" si="2"/>
        <v>Avoid</v>
      </c>
      <c r="P1904" s="21" t="str">
        <f t="shared" si="3"/>
        <v/>
      </c>
      <c r="Q1904" s="21" t="str">
        <f t="shared" si="4"/>
        <v/>
      </c>
      <c r="R1904" s="22">
        <f>IFERROR(__xludf.DUMMYFUNCTION("GOOGLEFINANCE(B1904, ""pe"")
"),149.15)</f>
        <v>149.15</v>
      </c>
    </row>
    <row r="1905">
      <c r="A1905" s="9" t="s">
        <v>1913</v>
      </c>
      <c r="B1905" s="11" t="str">
        <f t="shared" si="1"/>
        <v>NSE:SHRENIK</v>
      </c>
      <c r="C1905" s="12">
        <f>IFERROR(__xludf.DUMMYFUNCTION("GOOGLEFINANCE(B1905,""marketcap"")/10000000"),35.4959989)</f>
        <v>35.4959989</v>
      </c>
      <c r="D1905" s="13">
        <f>IFERROR(__xludf.DUMMYFUNCTION("GOOGLEFINANCE(B1905,""price"")"),0.58)</f>
        <v>0.58</v>
      </c>
      <c r="E1905" s="14">
        <f>IFERROR(__xludf.DUMMYFUNCTION("GOOGLEFINANCE(B1905,""Volume"")"),288479.0)</f>
        <v>288479</v>
      </c>
      <c r="F1905" s="14">
        <f t="array" ref="F1905">F1904</f>
        <v>14</v>
      </c>
      <c r="G1905" s="15" t="str">
        <f>IFERROR(__xludf.DUMMYFUNCTION("IF(E1905&gt;AVERAGE(INDEX(GOOGLEFINANCE(B1905,""volume"",WORKDAY(TODAY(),-$F$1),TODAY()),,2)),""Breakout"","""")"),"")</f>
        <v/>
      </c>
      <c r="H1905" s="16">
        <f>IFERROR(__xludf.DUMMYFUNCTION("GOOGLEFINANCE(B1905,""price"")"),0.58)</f>
        <v>0.58</v>
      </c>
      <c r="I1905" s="17">
        <f>IFERROR(__xludf.DUMMYFUNCTION("AVERAGE(QUERY(SORT(GOOGLEFINANCE(B1905,""price"",TODAY()-365,TODAY()),1,0),""select Col2 limit 10""))"),0.584)</f>
        <v>0.584</v>
      </c>
      <c r="J1905" s="17">
        <f>IFERROR(__xludf.DUMMYFUNCTION("AVERAGE(QUERY(SORT(GOOGLEFINANCE(B1905,""price"",TODAY()-365,TODAY()),1,0),""select Col2 limit 30""))"),0.5939999999999998)</f>
        <v>0.594</v>
      </c>
      <c r="K1905" s="18">
        <f>IFERROR(__xludf.DUMMYFUNCTION("AVERAGE(QUERY(SORT(GOOGLEFINANCE(B1905,""price"",TODAY()-365,TODAY()),1,0),""select Col2 limit 60""))"),0.61)</f>
        <v>0.61</v>
      </c>
      <c r="L1905" s="17">
        <f>IFERROR(__xludf.DUMMYFUNCTION("AVERAGE(QUERY(SORT(GOOGLEFINANCE(B1905,""price"",TODAY()-365,TODAY()),1,0),""select Col2 limit 90""))"),0.6233333333333334)</f>
        <v>0.6233333333</v>
      </c>
      <c r="M1905" s="17">
        <f>IFERROR(__xludf.DUMMYFUNCTION("AVERAGE(QUERY(SORT(GOOGLEFINANCE(B1905,""price"",TODAY()-365,TODAY()),1,0),""select Col2 limit 120""))"),0.6394166666666664)</f>
        <v>0.6394166667</v>
      </c>
      <c r="N1905" s="19">
        <f>IFERROR(__xludf.DUMMYFUNCTION("AVERAGE(QUERY(SORT(GOOGLEFINANCE(B1905,""price"",TODAY()-365,TODAY()),1,0),""select Col2 limit 200""))"),0.6892500000000001)</f>
        <v>0.68925</v>
      </c>
      <c r="O1905" s="20" t="str">
        <f t="shared" si="2"/>
        <v>Avoid</v>
      </c>
      <c r="P1905" s="21" t="str">
        <f t="shared" si="3"/>
        <v>10 DMA</v>
      </c>
      <c r="Q1905" s="21" t="str">
        <f t="shared" si="4"/>
        <v>10 DMA cross best</v>
      </c>
      <c r="R1905" s="22" t="str">
        <f>IFERROR(__xludf.DUMMYFUNCTION("GOOGLEFINANCE(B1905, ""pe"")
"),"#N/A")</f>
        <v>#N/A</v>
      </c>
    </row>
    <row r="1906">
      <c r="A1906" s="9" t="s">
        <v>1914</v>
      </c>
      <c r="B1906" s="11" t="str">
        <f t="shared" si="1"/>
        <v>NSE:VINEETLAB</v>
      </c>
      <c r="C1906" s="12">
        <f>IFERROR(__xludf.DUMMYFUNCTION("GOOGLEFINANCE(B1906,""marketcap"")/10000000"),27.7092164)</f>
        <v>27.7092164</v>
      </c>
      <c r="D1906" s="13">
        <f>IFERROR(__xludf.DUMMYFUNCTION("GOOGLEFINANCE(B1906,""price"")"),29.7)</f>
        <v>29.7</v>
      </c>
      <c r="E1906" s="14">
        <f>IFERROR(__xludf.DUMMYFUNCTION("GOOGLEFINANCE(B1906,""Volume"")"),17171.0)</f>
        <v>17171</v>
      </c>
      <c r="F1906" s="14">
        <f t="array" ref="F1906">F1905</f>
        <v>14</v>
      </c>
      <c r="G1906" s="15" t="str">
        <f>IFERROR(__xludf.DUMMYFUNCTION("IF(E1906&gt;AVERAGE(INDEX(GOOGLEFINANCE(B1906,""volume"",WORKDAY(TODAY(),-$F$1),TODAY()),,2)),""Breakout"","""")"),"Breakout")</f>
        <v>Breakout</v>
      </c>
      <c r="H1906" s="16">
        <f>IFERROR(__xludf.DUMMYFUNCTION("GOOGLEFINANCE(B1906,""price"")"),29.7)</f>
        <v>29.7</v>
      </c>
      <c r="I1906" s="17">
        <f>IFERROR(__xludf.DUMMYFUNCTION("AVERAGE(QUERY(SORT(GOOGLEFINANCE(B1906,""price"",TODAY()-365,TODAY()),1,0),""select Col2 limit 10""))"),30.416999999999994)</f>
        <v>30.417</v>
      </c>
      <c r="J1906" s="17">
        <f>IFERROR(__xludf.DUMMYFUNCTION("AVERAGE(QUERY(SORT(GOOGLEFINANCE(B1906,""price"",TODAY()-365,TODAY()),1,0),""select Col2 limit 30""))"),31.116)</f>
        <v>31.116</v>
      </c>
      <c r="K1906" s="18">
        <f>IFERROR(__xludf.DUMMYFUNCTION("AVERAGE(QUERY(SORT(GOOGLEFINANCE(B1906,""price"",TODAY()-365,TODAY()),1,0),""select Col2 limit 60""))"),30.859666666666666)</f>
        <v>30.85966667</v>
      </c>
      <c r="L1906" s="17">
        <f>IFERROR(__xludf.DUMMYFUNCTION("AVERAGE(QUERY(SORT(GOOGLEFINANCE(B1906,""price"",TODAY()-365,TODAY()),1,0),""select Col2 limit 90""))"),31.93644444444444)</f>
        <v>31.93644444</v>
      </c>
      <c r="M1906" s="17">
        <f>IFERROR(__xludf.DUMMYFUNCTION("AVERAGE(QUERY(SORT(GOOGLEFINANCE(B1906,""price"",TODAY()-365,TODAY()),1,0),""select Col2 limit 120""))"),34.57166666666667)</f>
        <v>34.57166667</v>
      </c>
      <c r="N1906" s="19">
        <f>IFERROR(__xludf.DUMMYFUNCTION("AVERAGE(QUERY(SORT(GOOGLEFINANCE(B1906,""price"",TODAY()-365,TODAY()),1,0),""select Col2 limit 200""))"),42.9041)</f>
        <v>42.9041</v>
      </c>
      <c r="O1906" s="20" t="str">
        <f t="shared" si="2"/>
        <v>Avoid</v>
      </c>
      <c r="P1906" s="21" t="str">
        <f t="shared" si="3"/>
        <v/>
      </c>
      <c r="Q1906" s="21" t="str">
        <f t="shared" si="4"/>
        <v/>
      </c>
      <c r="R1906" s="22" t="str">
        <f>IFERROR(__xludf.DUMMYFUNCTION("GOOGLEFINANCE(B1906, ""pe"")
"),"#N/A")</f>
        <v>#N/A</v>
      </c>
    </row>
    <row r="1907">
      <c r="A1907" s="9" t="s">
        <v>1915</v>
      </c>
      <c r="B1907" s="11" t="str">
        <f t="shared" si="1"/>
        <v>NSE:PEARLPOLY</v>
      </c>
      <c r="C1907" s="12">
        <f>IFERROR(__xludf.DUMMYFUNCTION("GOOGLEFINANCE(B1907,""marketcap"")/10000000"),52.9290208)</f>
        <v>52.9290208</v>
      </c>
      <c r="D1907" s="13">
        <f>IFERROR(__xludf.DUMMYFUNCTION("GOOGLEFINANCE(B1907,""price"")"),31.44)</f>
        <v>31.44</v>
      </c>
      <c r="E1907" s="14">
        <f>IFERROR(__xludf.DUMMYFUNCTION("GOOGLEFINANCE(B1907,""Volume"")"),3128.0)</f>
        <v>3128</v>
      </c>
      <c r="F1907" s="14">
        <f t="array" ref="F1907">F1906</f>
        <v>14</v>
      </c>
      <c r="G1907" s="15" t="str">
        <f>IFERROR(__xludf.DUMMYFUNCTION("IF(E1907&gt;AVERAGE(INDEX(GOOGLEFINANCE(B1907,""volume"",WORKDAY(TODAY(),-$F$1),TODAY()),,2)),""Breakout"","""")"),"")</f>
        <v/>
      </c>
      <c r="H1907" s="16">
        <f>IFERROR(__xludf.DUMMYFUNCTION("GOOGLEFINANCE(B1907,""price"")"),31.44)</f>
        <v>31.44</v>
      </c>
      <c r="I1907" s="17">
        <f>IFERROR(__xludf.DUMMYFUNCTION("AVERAGE(QUERY(SORT(GOOGLEFINANCE(B1907,""price"",TODAY()-365,TODAY()),1,0),""select Col2 limit 10""))"),30.511000000000003)</f>
        <v>30.511</v>
      </c>
      <c r="J1907" s="17">
        <f>IFERROR(__xludf.DUMMYFUNCTION("AVERAGE(QUERY(SORT(GOOGLEFINANCE(B1907,""price"",TODAY()-365,TODAY()),1,0),""select Col2 limit 30""))"),30.565666666666672)</f>
        <v>30.56566667</v>
      </c>
      <c r="K1907" s="18">
        <f>IFERROR(__xludf.DUMMYFUNCTION("AVERAGE(QUERY(SORT(GOOGLEFINANCE(B1907,""price"",TODAY()-365,TODAY()),1,0),""select Col2 limit 60""))"),30.568166666666674)</f>
        <v>30.56816667</v>
      </c>
      <c r="L1907" s="17">
        <f>IFERROR(__xludf.DUMMYFUNCTION("AVERAGE(QUERY(SORT(GOOGLEFINANCE(B1907,""price"",TODAY()-365,TODAY()),1,0),""select Col2 limit 90""))"),29.70477777777778)</f>
        <v>29.70477778</v>
      </c>
      <c r="M1907" s="17">
        <f>IFERROR(__xludf.DUMMYFUNCTION("AVERAGE(QUERY(SORT(GOOGLEFINANCE(B1907,""price"",TODAY()-365,TODAY()),1,0),""select Col2 limit 120""))"),29.5515)</f>
        <v>29.5515</v>
      </c>
      <c r="N1907" s="19">
        <f>IFERROR(__xludf.DUMMYFUNCTION("AVERAGE(QUERY(SORT(GOOGLEFINANCE(B1907,""price"",TODAY()-365,TODAY()),1,0),""select Col2 limit 200""))"),32.35615000000001)</f>
        <v>32.35615</v>
      </c>
      <c r="O1907" s="20" t="str">
        <f t="shared" si="2"/>
        <v>Buy Above 200 DMA</v>
      </c>
      <c r="P1907" s="21" t="str">
        <f t="shared" si="3"/>
        <v/>
      </c>
      <c r="Q1907" s="21" t="str">
        <f t="shared" si="4"/>
        <v/>
      </c>
      <c r="R1907" s="22" t="str">
        <f>IFERROR(__xludf.DUMMYFUNCTION("GOOGLEFINANCE(B1907, ""pe"")
"),"#N/A")</f>
        <v>#N/A</v>
      </c>
    </row>
    <row r="1908">
      <c r="A1908" s="9" t="s">
        <v>1916</v>
      </c>
      <c r="B1908" s="11" t="str">
        <f t="shared" si="1"/>
        <v>NSE:ICDSLTD</v>
      </c>
      <c r="C1908" s="12">
        <f>IFERROR(__xludf.DUMMYFUNCTION("GOOGLEFINANCE(B1908,""marketcap"")/10000000"),61.225443)</f>
        <v>61.225443</v>
      </c>
      <c r="D1908" s="13">
        <f>IFERROR(__xludf.DUMMYFUNCTION("GOOGLEFINANCE(B1908,""price"")"),47.0)</f>
        <v>47</v>
      </c>
      <c r="E1908" s="14">
        <f>IFERROR(__xludf.DUMMYFUNCTION("GOOGLEFINANCE(B1908,""Volume"")"),17.0)</f>
        <v>17</v>
      </c>
      <c r="F1908" s="14">
        <f t="array" ref="F1908">F1907</f>
        <v>14</v>
      </c>
      <c r="G1908" s="15" t="str">
        <f>IFERROR(__xludf.DUMMYFUNCTION("IF(E1908&gt;AVERAGE(INDEX(GOOGLEFINANCE(B1908,""volume"",WORKDAY(TODAY(),-$F$1),TODAY()),,2)),""Breakout"","""")"),"")</f>
        <v/>
      </c>
      <c r="H1908" s="16">
        <f>IFERROR(__xludf.DUMMYFUNCTION("GOOGLEFINANCE(B1908,""price"")"),47.0)</f>
        <v>47</v>
      </c>
      <c r="I1908" s="17">
        <f>IFERROR(__xludf.DUMMYFUNCTION("AVERAGE(QUERY(SORT(GOOGLEFINANCE(B1908,""price"",TODAY()-365,TODAY()),1,0),""select Col2 limit 10""))"),49.673)</f>
        <v>49.673</v>
      </c>
      <c r="J1908" s="17">
        <f>IFERROR(__xludf.DUMMYFUNCTION("AVERAGE(QUERY(SORT(GOOGLEFINANCE(B1908,""price"",TODAY()-365,TODAY()),1,0),""select Col2 limit 30""))"),53.64633333333334)</f>
        <v>53.64633333</v>
      </c>
      <c r="K1908" s="18">
        <f>IFERROR(__xludf.DUMMYFUNCTION("AVERAGE(QUERY(SORT(GOOGLEFINANCE(B1908,""price"",TODAY()-365,TODAY()),1,0),""select Col2 limit 60""))"),53.31316666666668)</f>
        <v>53.31316667</v>
      </c>
      <c r="L1908" s="17">
        <f>IFERROR(__xludf.DUMMYFUNCTION("AVERAGE(QUERY(SORT(GOOGLEFINANCE(B1908,""price"",TODAY()-365,TODAY()),1,0),""select Col2 limit 90""))"),49.85655555555556)</f>
        <v>49.85655556</v>
      </c>
      <c r="M1908" s="17">
        <f>IFERROR(__xludf.DUMMYFUNCTION("AVERAGE(QUERY(SORT(GOOGLEFINANCE(B1908,""price"",TODAY()-365,TODAY()),1,0),""select Col2 limit 120""))"),48.90616666666666)</f>
        <v>48.90616667</v>
      </c>
      <c r="N1908" s="19">
        <f>IFERROR(__xludf.DUMMYFUNCTION("AVERAGE(QUERY(SORT(GOOGLEFINANCE(B1908,""price"",TODAY()-365,TODAY()),1,0),""select Col2 limit 200""))"),49.88344999999998)</f>
        <v>49.88345</v>
      </c>
      <c r="O1908" s="20" t="str">
        <f t="shared" si="2"/>
        <v>Avoid</v>
      </c>
      <c r="P1908" s="21" t="str">
        <f t="shared" si="3"/>
        <v/>
      </c>
      <c r="Q1908" s="21" t="str">
        <f t="shared" si="4"/>
        <v/>
      </c>
      <c r="R1908" s="22">
        <f>IFERROR(__xludf.DUMMYFUNCTION("GOOGLEFINANCE(B1908, ""pe"")
"),43.52)</f>
        <v>43.52</v>
      </c>
    </row>
    <row r="1909">
      <c r="A1909" s="9" t="s">
        <v>1917</v>
      </c>
      <c r="B1909" s="11" t="str">
        <f t="shared" si="1"/>
        <v>NSE:ATALREAL</v>
      </c>
      <c r="C1909" s="12">
        <f>IFERROR(__xludf.DUMMYFUNCTION("GOOGLEFINANCE(B1909,""marketcap"")/10000000"),213.1488084)</f>
        <v>213.1488084</v>
      </c>
      <c r="D1909" s="13">
        <f>IFERROR(__xludf.DUMMYFUNCTION("GOOGLEFINANCE(B1909,""price"")"),19.2)</f>
        <v>19.2</v>
      </c>
      <c r="E1909" s="14">
        <f>IFERROR(__xludf.DUMMYFUNCTION("GOOGLEFINANCE(B1909,""Volume"")"),37800.0)</f>
        <v>37800</v>
      </c>
      <c r="F1909" s="14">
        <f t="array" ref="F1909">F1908</f>
        <v>14</v>
      </c>
      <c r="G1909" s="15" t="str">
        <f>IFERROR(__xludf.DUMMYFUNCTION("IF(E1909&gt;AVERAGE(INDEX(GOOGLEFINANCE(B1909,""volume"",WORKDAY(TODAY(),-$F$1),TODAY()),,2)),""Breakout"","""")"),"")</f>
        <v/>
      </c>
      <c r="H1909" s="16">
        <f>IFERROR(__xludf.DUMMYFUNCTION("GOOGLEFINANCE(B1909,""price"")"),19.2)</f>
        <v>19.2</v>
      </c>
      <c r="I1909" s="17">
        <f>IFERROR(__xludf.DUMMYFUNCTION("AVERAGE(QUERY(SORT(GOOGLEFINANCE(B1909,""price"",TODAY()-365,TODAY()),1,0),""select Col2 limit 10""))"),19.624999999999996)</f>
        <v>19.625</v>
      </c>
      <c r="J1909" s="17">
        <f>IFERROR(__xludf.DUMMYFUNCTION("AVERAGE(QUERY(SORT(GOOGLEFINANCE(B1909,""price"",TODAY()-365,TODAY()),1,0),""select Col2 limit 30""))"),19.749000000000006)</f>
        <v>19.749</v>
      </c>
      <c r="K1909" s="18">
        <f>IFERROR(__xludf.DUMMYFUNCTION("AVERAGE(QUERY(SORT(GOOGLEFINANCE(B1909,""price"",TODAY()-365,TODAY()),1,0),""select Col2 limit 60""))"),17.749000000000006)</f>
        <v>17.749</v>
      </c>
      <c r="L1909" s="17">
        <f>IFERROR(__xludf.DUMMYFUNCTION("AVERAGE(QUERY(SORT(GOOGLEFINANCE(B1909,""price"",TODAY()-365,TODAY()),1,0),""select Col2 limit 90""))"),16.70922222222223)</f>
        <v>16.70922222</v>
      </c>
      <c r="M1909" s="17">
        <f>IFERROR(__xludf.DUMMYFUNCTION("AVERAGE(QUERY(SORT(GOOGLEFINANCE(B1909,""price"",TODAY()-365,TODAY()),1,0),""select Col2 limit 120""))"),15.729750000000005)</f>
        <v>15.72975</v>
      </c>
      <c r="N1909" s="19">
        <f>IFERROR(__xludf.DUMMYFUNCTION("AVERAGE(QUERY(SORT(GOOGLEFINANCE(B1909,""price"",TODAY()-365,TODAY()),1,0),""select Col2 limit 200""))"),14.295550000000006)</f>
        <v>14.29555</v>
      </c>
      <c r="O1909" s="20" t="str">
        <f t="shared" si="2"/>
        <v>Avoid</v>
      </c>
      <c r="P1909" s="21" t="str">
        <f t="shared" si="3"/>
        <v/>
      </c>
      <c r="Q1909" s="21" t="str">
        <f t="shared" si="4"/>
        <v/>
      </c>
      <c r="R1909" s="22">
        <f>IFERROR(__xludf.DUMMYFUNCTION("GOOGLEFINANCE(B1909, ""pe"")
"),38.4)</f>
        <v>38.4</v>
      </c>
    </row>
    <row r="1910">
      <c r="A1910" s="9" t="s">
        <v>1918</v>
      </c>
      <c r="B1910" s="11" t="str">
        <f t="shared" si="1"/>
        <v>NSE:ADROITINFO</v>
      </c>
      <c r="C1910" s="12">
        <f>IFERROR(__xludf.DUMMYFUNCTION("GOOGLEFINANCE(B1910,""marketcap"")/10000000"),83.1183648)</f>
        <v>83.1183648</v>
      </c>
      <c r="D1910" s="13">
        <f>IFERROR(__xludf.DUMMYFUNCTION("GOOGLEFINANCE(B1910,""price"")"),10.87)</f>
        <v>10.87</v>
      </c>
      <c r="E1910" s="14">
        <f>IFERROR(__xludf.DUMMYFUNCTION("GOOGLEFINANCE(B1910,""Volume"")"),13231.0)</f>
        <v>13231</v>
      </c>
      <c r="F1910" s="14">
        <f t="array" ref="F1910">F1909</f>
        <v>14</v>
      </c>
      <c r="G1910" s="15" t="str">
        <f>IFERROR(__xludf.DUMMYFUNCTION("IF(E1910&gt;AVERAGE(INDEX(GOOGLEFINANCE(B1910,""volume"",WORKDAY(TODAY(),-$F$1),TODAY()),,2)),""Breakout"","""")"),"")</f>
        <v/>
      </c>
      <c r="H1910" s="16">
        <f>IFERROR(__xludf.DUMMYFUNCTION("GOOGLEFINANCE(B1910,""price"")"),10.87)</f>
        <v>10.87</v>
      </c>
      <c r="I1910" s="17">
        <f>IFERROR(__xludf.DUMMYFUNCTION("AVERAGE(QUERY(SORT(GOOGLEFINANCE(B1910,""price"",TODAY()-365,TODAY()),1,0),""select Col2 limit 10""))"),10.847)</f>
        <v>10.847</v>
      </c>
      <c r="J1910" s="17">
        <f>IFERROR(__xludf.DUMMYFUNCTION("AVERAGE(QUERY(SORT(GOOGLEFINANCE(B1910,""price"",TODAY()-365,TODAY()),1,0),""select Col2 limit 30""))"),10.987000000000002)</f>
        <v>10.987</v>
      </c>
      <c r="K1910" s="18">
        <f>IFERROR(__xludf.DUMMYFUNCTION("AVERAGE(QUERY(SORT(GOOGLEFINANCE(B1910,""price"",TODAY()-365,TODAY()),1,0),""select Col2 limit 60""))"),11.146000000000003)</f>
        <v>11.146</v>
      </c>
      <c r="L1910" s="17">
        <f>IFERROR(__xludf.DUMMYFUNCTION("AVERAGE(QUERY(SORT(GOOGLEFINANCE(B1910,""price"",TODAY()-365,TODAY()),1,0),""select Col2 limit 90""))"),11.722333333333333)</f>
        <v>11.72233333</v>
      </c>
      <c r="M1910" s="17">
        <f>IFERROR(__xludf.DUMMYFUNCTION("AVERAGE(QUERY(SORT(GOOGLEFINANCE(B1910,""price"",TODAY()-365,TODAY()),1,0),""select Col2 limit 120""))"),12.949916666666663)</f>
        <v>12.94991667</v>
      </c>
      <c r="N1910" s="19">
        <f>IFERROR(__xludf.DUMMYFUNCTION("AVERAGE(QUERY(SORT(GOOGLEFINANCE(B1910,""price"",TODAY()-365,TODAY()),1,0),""select Col2 limit 200""))"),16.093949999999996)</f>
        <v>16.09395</v>
      </c>
      <c r="O1910" s="20" t="str">
        <f t="shared" si="2"/>
        <v>Avoid</v>
      </c>
      <c r="P1910" s="21" t="str">
        <f t="shared" si="3"/>
        <v/>
      </c>
      <c r="Q1910" s="21" t="str">
        <f t="shared" si="4"/>
        <v/>
      </c>
      <c r="R1910" s="22">
        <f>IFERROR(__xludf.DUMMYFUNCTION("GOOGLEFINANCE(B1910, ""pe"")
"),40.22)</f>
        <v>40.22</v>
      </c>
    </row>
    <row r="1911">
      <c r="A1911" s="9" t="s">
        <v>1919</v>
      </c>
      <c r="B1911" s="11" t="str">
        <f t="shared" si="1"/>
        <v>NSE:BINANIIND</v>
      </c>
      <c r="C1911" s="12" t="str">
        <f>IFERROR(__xludf.DUMMYFUNCTION("GOOGLEFINANCE(B1911,""marketcap"")/10000000"),"#N/A")</f>
        <v>#N/A</v>
      </c>
      <c r="D1911" s="13" t="str">
        <f>IFERROR(__xludf.DUMMYFUNCTION("GOOGLEFINANCE(B1911,""price"")"),"#N/A")</f>
        <v>#N/A</v>
      </c>
      <c r="E1911" s="14" t="str">
        <f>IFERROR(__xludf.DUMMYFUNCTION("GOOGLEFINANCE(B1911,""Volume"")"),"#N/A")</f>
        <v>#N/A</v>
      </c>
      <c r="F1911" s="14">
        <f t="array" ref="F1911">F1910</f>
        <v>14</v>
      </c>
      <c r="G1911" s="15" t="str">
        <f>IFERROR(__xludf.DUMMYFUNCTION("IF(E1911&gt;AVERAGE(INDEX(GOOGLEFINANCE(B1911,""volume"",WORKDAY(TODAY(),-$F$1),TODAY()),,2)),""Breakout"","""")"),"#N/A")</f>
        <v>#N/A</v>
      </c>
      <c r="H1911" s="16" t="str">
        <f>IFERROR(__xludf.DUMMYFUNCTION("GOOGLEFINANCE(B1911,""price"")"),"#N/A")</f>
        <v>#N/A</v>
      </c>
      <c r="I1911" s="17" t="str">
        <f>IFERROR(__xludf.DUMMYFUNCTION("AVERAGE(QUERY(SORT(GOOGLEFINANCE(B1911,""price"",TODAY()-365,TODAY()),1,0),""select Col2 limit 10""))"),"#N/A")</f>
        <v>#N/A</v>
      </c>
      <c r="J1911" s="17" t="str">
        <f>IFERROR(__xludf.DUMMYFUNCTION("AVERAGE(QUERY(SORT(GOOGLEFINANCE(B1911,""price"",TODAY()-365,TODAY()),1,0),""select Col2 limit 30""))"),"#N/A")</f>
        <v>#N/A</v>
      </c>
      <c r="K1911" s="18" t="str">
        <f>IFERROR(__xludf.DUMMYFUNCTION("AVERAGE(QUERY(SORT(GOOGLEFINANCE(B1911,""price"",TODAY()-365,TODAY()),1,0),""select Col2 limit 60""))"),"#N/A")</f>
        <v>#N/A</v>
      </c>
      <c r="L1911" s="17" t="str">
        <f>IFERROR(__xludf.DUMMYFUNCTION("AVERAGE(QUERY(SORT(GOOGLEFINANCE(B1911,""price"",TODAY()-365,TODAY()),1,0),""select Col2 limit 90""))"),"#N/A")</f>
        <v>#N/A</v>
      </c>
      <c r="M1911" s="17" t="str">
        <f>IFERROR(__xludf.DUMMYFUNCTION("AVERAGE(QUERY(SORT(GOOGLEFINANCE(B1911,""price"",TODAY()-365,TODAY()),1,0),""select Col2 limit 120""))"),"#N/A")</f>
        <v>#N/A</v>
      </c>
      <c r="N1911" s="19" t="str">
        <f>IFERROR(__xludf.DUMMYFUNCTION("AVERAGE(QUERY(SORT(GOOGLEFINANCE(B1911,""price"",TODAY()-365,TODAY()),1,0),""select Col2 limit 200""))"),"#N/A")</f>
        <v>#N/A</v>
      </c>
      <c r="O1911" s="20" t="str">
        <f t="shared" si="2"/>
        <v>#N/A</v>
      </c>
      <c r="P1911" s="21" t="str">
        <f t="shared" si="3"/>
        <v>#N/A</v>
      </c>
      <c r="Q1911" s="21" t="str">
        <f t="shared" si="4"/>
        <v>#N/A</v>
      </c>
      <c r="R1911" s="22" t="str">
        <f>IFERROR(__xludf.DUMMYFUNCTION("GOOGLEFINANCE(B1911, ""pe"")
"),"#N/A")</f>
        <v>#N/A</v>
      </c>
    </row>
    <row r="1912">
      <c r="A1912" s="9" t="s">
        <v>1920</v>
      </c>
      <c r="B1912" s="11" t="str">
        <f t="shared" si="1"/>
        <v>NSE:ASHOKAMET</v>
      </c>
      <c r="C1912" s="12">
        <f>IFERROR(__xludf.DUMMYFUNCTION("GOOGLEFINANCE(B1912,""marketcap"")/10000000"),42.5931862)</f>
        <v>42.5931862</v>
      </c>
      <c r="D1912" s="13">
        <f>IFERROR(__xludf.DUMMYFUNCTION("GOOGLEFINANCE(B1912,""price"")"),17.04)</f>
        <v>17.04</v>
      </c>
      <c r="E1912" s="14">
        <f>IFERROR(__xludf.DUMMYFUNCTION("GOOGLEFINANCE(B1912,""Volume"")"),10843.0)</f>
        <v>10843</v>
      </c>
      <c r="F1912" s="14">
        <f t="array" ref="F1912">F1911</f>
        <v>14</v>
      </c>
      <c r="G1912" s="15" t="str">
        <f>IFERROR(__xludf.DUMMYFUNCTION("IF(E1912&gt;AVERAGE(INDEX(GOOGLEFINANCE(B1912,""volume"",WORKDAY(TODAY(),-$F$1),TODAY()),,2)),""Breakout"","""")"),"")</f>
        <v/>
      </c>
      <c r="H1912" s="16">
        <f>IFERROR(__xludf.DUMMYFUNCTION("GOOGLEFINANCE(B1912,""price"")"),17.04)</f>
        <v>17.04</v>
      </c>
      <c r="I1912" s="17">
        <f>IFERROR(__xludf.DUMMYFUNCTION("AVERAGE(QUERY(SORT(GOOGLEFINANCE(B1912,""price"",TODAY()-365,TODAY()),1,0),""select Col2 limit 10""))"),17.062)</f>
        <v>17.062</v>
      </c>
      <c r="J1912" s="17">
        <f>IFERROR(__xludf.DUMMYFUNCTION("AVERAGE(QUERY(SORT(GOOGLEFINANCE(B1912,""price"",TODAY()-365,TODAY()),1,0),""select Col2 limit 30""))"),17.176333333333336)</f>
        <v>17.17633333</v>
      </c>
      <c r="K1912" s="18">
        <f>IFERROR(__xludf.DUMMYFUNCTION("AVERAGE(QUERY(SORT(GOOGLEFINANCE(B1912,""price"",TODAY()-365,TODAY()),1,0),""select Col2 limit 60""))"),17.465666666666667)</f>
        <v>17.46566667</v>
      </c>
      <c r="L1912" s="17">
        <f>IFERROR(__xludf.DUMMYFUNCTION("AVERAGE(QUERY(SORT(GOOGLEFINANCE(B1912,""price"",TODAY()-365,TODAY()),1,0),""select Col2 limit 90""))"),17.585888888888885)</f>
        <v>17.58588889</v>
      </c>
      <c r="M1912" s="17">
        <f>IFERROR(__xludf.DUMMYFUNCTION("AVERAGE(QUERY(SORT(GOOGLEFINANCE(B1912,""price"",TODAY()-365,TODAY()),1,0),""select Col2 limit 120""))"),18.090249999999994)</f>
        <v>18.09025</v>
      </c>
      <c r="N1912" s="19">
        <f>IFERROR(__xludf.DUMMYFUNCTION("AVERAGE(QUERY(SORT(GOOGLEFINANCE(B1912,""price"",TODAY()-365,TODAY()),1,0),""select Col2 limit 200""))"),20.3845)</f>
        <v>20.3845</v>
      </c>
      <c r="O1912" s="20" t="str">
        <f t="shared" si="2"/>
        <v>Avoid</v>
      </c>
      <c r="P1912" s="21" t="str">
        <f t="shared" si="3"/>
        <v>10 DMA</v>
      </c>
      <c r="Q1912" s="21" t="str">
        <f t="shared" si="4"/>
        <v>10 DMA cross best</v>
      </c>
      <c r="R1912" s="22">
        <f>IFERROR(__xludf.DUMMYFUNCTION("GOOGLEFINANCE(B1912, ""pe"")
"),5.8)</f>
        <v>5.8</v>
      </c>
    </row>
    <row r="1913">
      <c r="A1913" s="9" t="s">
        <v>1921</v>
      </c>
      <c r="B1913" s="11" t="str">
        <f t="shared" si="1"/>
        <v>NSE:ADL</v>
      </c>
      <c r="C1913" s="12">
        <f>IFERROR(__xludf.DUMMYFUNCTION("GOOGLEFINANCE(B1913,""marketcap"")/10000000"),50.0906735)</f>
        <v>50.0906735</v>
      </c>
      <c r="D1913" s="13">
        <f>IFERROR(__xludf.DUMMYFUNCTION("GOOGLEFINANCE(B1913,""price"")"),89.99)</f>
        <v>89.99</v>
      </c>
      <c r="E1913" s="14">
        <f>IFERROR(__xludf.DUMMYFUNCTION("GOOGLEFINANCE(B1913,""Volume"")"),83.0)</f>
        <v>83</v>
      </c>
      <c r="F1913" s="14">
        <f t="array" ref="F1913">F1912</f>
        <v>14</v>
      </c>
      <c r="G1913" s="15" t="str">
        <f>IFERROR(__xludf.DUMMYFUNCTION("IF(E1913&gt;AVERAGE(INDEX(GOOGLEFINANCE(B1913,""volume"",WORKDAY(TODAY(),-$F$1),TODAY()),,2)),""Breakout"","""")"),"")</f>
        <v/>
      </c>
      <c r="H1913" s="16">
        <f>IFERROR(__xludf.DUMMYFUNCTION("GOOGLEFINANCE(B1913,""price"")"),89.99)</f>
        <v>89.99</v>
      </c>
      <c r="I1913" s="17">
        <f>IFERROR(__xludf.DUMMYFUNCTION("AVERAGE(QUERY(SORT(GOOGLEFINANCE(B1913,""price"",TODAY()-365,TODAY()),1,0),""select Col2 limit 10""))"),88.799)</f>
        <v>88.799</v>
      </c>
      <c r="J1913" s="17">
        <f>IFERROR(__xludf.DUMMYFUNCTION("AVERAGE(QUERY(SORT(GOOGLEFINANCE(B1913,""price"",TODAY()-365,TODAY()),1,0),""select Col2 limit 30""))"),91.00233333333334)</f>
        <v>91.00233333</v>
      </c>
      <c r="K1913" s="18">
        <f>IFERROR(__xludf.DUMMYFUNCTION("AVERAGE(QUERY(SORT(GOOGLEFINANCE(B1913,""price"",TODAY()-365,TODAY()),1,0),""select Col2 limit 60""))"),90.80199999999998)</f>
        <v>90.802</v>
      </c>
      <c r="L1913" s="17">
        <f>IFERROR(__xludf.DUMMYFUNCTION("AVERAGE(QUERY(SORT(GOOGLEFINANCE(B1913,""price"",TODAY()-365,TODAY()),1,0),""select Col2 limit 90""))"),88.85688888888886)</f>
        <v>88.85688889</v>
      </c>
      <c r="M1913" s="17">
        <f>IFERROR(__xludf.DUMMYFUNCTION("AVERAGE(QUERY(SORT(GOOGLEFINANCE(B1913,""price"",TODAY()-365,TODAY()),1,0),""select Col2 limit 120""))"),85.87416666666668)</f>
        <v>85.87416667</v>
      </c>
      <c r="N1913" s="19">
        <f>IFERROR(__xludf.DUMMYFUNCTION("AVERAGE(QUERY(SORT(GOOGLEFINANCE(B1913,""price"",TODAY()-365,TODAY()),1,0),""select Col2 limit 200""))"),89.81629999999997)</f>
        <v>89.8163</v>
      </c>
      <c r="O1913" s="20" t="str">
        <f t="shared" si="2"/>
        <v>Avoid</v>
      </c>
      <c r="P1913" s="21" t="str">
        <f t="shared" si="3"/>
        <v>60 DMA</v>
      </c>
      <c r="Q1913" s="21" t="str">
        <f t="shared" si="4"/>
        <v/>
      </c>
      <c r="R1913" s="22">
        <f>IFERROR(__xludf.DUMMYFUNCTION("GOOGLEFINANCE(B1913, ""pe"")
"),898.28)</f>
        <v>898.28</v>
      </c>
    </row>
    <row r="1914">
      <c r="A1914" s="9" t="s">
        <v>1922</v>
      </c>
      <c r="B1914" s="11" t="str">
        <f t="shared" si="1"/>
        <v>NSE:FLFL</v>
      </c>
      <c r="C1914" s="12">
        <f>IFERROR(__xludf.DUMMYFUNCTION("GOOGLEFINANCE(B1914,""marketcap"")/10000000"),36.8581955)</f>
        <v>36.8581955</v>
      </c>
      <c r="D1914" s="13">
        <f>IFERROR(__xludf.DUMMYFUNCTION("GOOGLEFINANCE(B1914,""price"")"),1.83)</f>
        <v>1.83</v>
      </c>
      <c r="E1914" s="14">
        <f>IFERROR(__xludf.DUMMYFUNCTION("GOOGLEFINANCE(B1914,""Volume"")"),1160.0)</f>
        <v>1160</v>
      </c>
      <c r="F1914" s="14">
        <f t="array" ref="F1914">F1913</f>
        <v>14</v>
      </c>
      <c r="G1914" s="15" t="str">
        <f>IFERROR(__xludf.DUMMYFUNCTION("IF(E1914&gt;AVERAGE(INDEX(GOOGLEFINANCE(B1914,""volume"",WORKDAY(TODAY(),-$F$1),TODAY()),,2)),""Breakout"","""")"),"")</f>
        <v/>
      </c>
      <c r="H1914" s="16">
        <f>IFERROR(__xludf.DUMMYFUNCTION("GOOGLEFINANCE(B1914,""price"")"),1.83)</f>
        <v>1.83</v>
      </c>
      <c r="I1914" s="17">
        <f>IFERROR(__xludf.DUMMYFUNCTION("AVERAGE(QUERY(SORT(GOOGLEFINANCE(B1914,""price"",TODAY()-365,TODAY()),1,0),""select Col2 limit 10""))"),1.925)</f>
        <v>1.925</v>
      </c>
      <c r="J1914" s="17">
        <f>IFERROR(__xludf.DUMMYFUNCTION("AVERAGE(QUERY(SORT(GOOGLEFINANCE(B1914,""price"",TODAY()-365,TODAY()),1,0),""select Col2 limit 30""))"),1.7723333333333333)</f>
        <v>1.772333333</v>
      </c>
      <c r="K1914" s="18">
        <f>IFERROR(__xludf.DUMMYFUNCTION("AVERAGE(QUERY(SORT(GOOGLEFINANCE(B1914,""price"",TODAY()-365,TODAY()),1,0),""select Col2 limit 60""))"),1.6744999999999999)</f>
        <v>1.6745</v>
      </c>
      <c r="L1914" s="17">
        <f>IFERROR(__xludf.DUMMYFUNCTION("AVERAGE(QUERY(SORT(GOOGLEFINANCE(B1914,""price"",TODAY()-365,TODAY()),1,0),""select Col2 limit 90""))"),1.724)</f>
        <v>1.724</v>
      </c>
      <c r="M1914" s="17">
        <f>IFERROR(__xludf.DUMMYFUNCTION("AVERAGE(QUERY(SORT(GOOGLEFINANCE(B1914,""price"",TODAY()-365,TODAY()),1,0),""select Col2 limit 120""))"),1.8230000000000006)</f>
        <v>1.823</v>
      </c>
      <c r="N1914" s="19">
        <f>IFERROR(__xludf.DUMMYFUNCTION("AVERAGE(QUERY(SORT(GOOGLEFINANCE(B1914,""price"",TODAY()-365,TODAY()),1,0),""select Col2 limit 200""))"),2.017850000000001)</f>
        <v>2.01785</v>
      </c>
      <c r="O1914" s="20" t="str">
        <f t="shared" si="2"/>
        <v>Avoid</v>
      </c>
      <c r="P1914" s="21" t="str">
        <f t="shared" si="3"/>
        <v/>
      </c>
      <c r="Q1914" s="21" t="str">
        <f t="shared" si="4"/>
        <v/>
      </c>
      <c r="R1914" s="22" t="str">
        <f>IFERROR(__xludf.DUMMYFUNCTION("GOOGLEFINANCE(B1914, ""pe"")
"),"#N/A")</f>
        <v>#N/A</v>
      </c>
    </row>
    <row r="1915">
      <c r="A1915" s="9" t="s">
        <v>1923</v>
      </c>
      <c r="B1915" s="11" t="str">
        <f t="shared" si="1"/>
        <v>NSE:COUNCODOS</v>
      </c>
      <c r="C1915" s="12">
        <f>IFERROR(__xludf.DUMMYFUNCTION("GOOGLEFINANCE(B1915,""marketcap"")/10000000"),53.3869364)</f>
        <v>53.3869364</v>
      </c>
      <c r="D1915" s="13">
        <f>IFERROR(__xludf.DUMMYFUNCTION("GOOGLEFINANCE(B1915,""price"")"),6.85)</f>
        <v>6.85</v>
      </c>
      <c r="E1915" s="14">
        <f>IFERROR(__xludf.DUMMYFUNCTION("GOOGLEFINANCE(B1915,""Volume"")"),22380.0)</f>
        <v>22380</v>
      </c>
      <c r="F1915" s="14">
        <f t="array" ref="F1915">F1914</f>
        <v>14</v>
      </c>
      <c r="G1915" s="15" t="str">
        <f>IFERROR(__xludf.DUMMYFUNCTION("IF(E1915&gt;AVERAGE(INDEX(GOOGLEFINANCE(B1915,""volume"",WORKDAY(TODAY(),-$F$1),TODAY()),,2)),""Breakout"","""")"),"")</f>
        <v/>
      </c>
      <c r="H1915" s="16">
        <f>IFERROR(__xludf.DUMMYFUNCTION("GOOGLEFINANCE(B1915,""price"")"),6.85)</f>
        <v>6.85</v>
      </c>
      <c r="I1915" s="17">
        <f>IFERROR(__xludf.DUMMYFUNCTION("AVERAGE(QUERY(SORT(GOOGLEFINANCE(B1915,""price"",TODAY()-365,TODAY()),1,0),""select Col2 limit 10""))"),6.779999999999999)</f>
        <v>6.78</v>
      </c>
      <c r="J1915" s="17">
        <f>IFERROR(__xludf.DUMMYFUNCTION("AVERAGE(QUERY(SORT(GOOGLEFINANCE(B1915,""price"",TODAY()-365,TODAY()),1,0),""select Col2 limit 30""))"),6.8820000000000014)</f>
        <v>6.882</v>
      </c>
      <c r="K1915" s="18">
        <f>IFERROR(__xludf.DUMMYFUNCTION("AVERAGE(QUERY(SORT(GOOGLEFINANCE(B1915,""price"",TODAY()-365,TODAY()),1,0),""select Col2 limit 60""))"),7.409499999999998)</f>
        <v>7.4095</v>
      </c>
      <c r="L1915" s="17">
        <f>IFERROR(__xludf.DUMMYFUNCTION("AVERAGE(QUERY(SORT(GOOGLEFINANCE(B1915,""price"",TODAY()-365,TODAY()),1,0),""select Col2 limit 90""))"),7.333444444444443)</f>
        <v>7.333444444</v>
      </c>
      <c r="M1915" s="17">
        <f>IFERROR(__xludf.DUMMYFUNCTION("AVERAGE(QUERY(SORT(GOOGLEFINANCE(B1915,""price"",TODAY()-365,TODAY()),1,0),""select Col2 limit 120""))"),7.049583333333332)</f>
        <v>7.049583333</v>
      </c>
      <c r="N1915" s="19">
        <f>IFERROR(__xludf.DUMMYFUNCTION("AVERAGE(QUERY(SORT(GOOGLEFINANCE(B1915,""price"",TODAY()-365,TODAY()),1,0),""select Col2 limit 200""))"),6.865649999999997)</f>
        <v>6.86565</v>
      </c>
      <c r="O1915" s="20" t="str">
        <f t="shared" si="2"/>
        <v>Avoid</v>
      </c>
      <c r="P1915" s="21" t="str">
        <f t="shared" si="3"/>
        <v>30 DMA</v>
      </c>
      <c r="Q1915" s="21" t="str">
        <f t="shared" si="4"/>
        <v>30 DMA cross best</v>
      </c>
      <c r="R1915" s="22">
        <f>IFERROR(__xludf.DUMMYFUNCTION("GOOGLEFINANCE(B1915, ""pe"")
"),85.63)</f>
        <v>85.63</v>
      </c>
    </row>
    <row r="1916">
      <c r="A1916" s="9" t="s">
        <v>1924</v>
      </c>
      <c r="B1916" s="11" t="str">
        <f t="shared" si="1"/>
        <v>NSE:NEXTMEDIA</v>
      </c>
      <c r="C1916" s="12">
        <f>IFERROR(__xludf.DUMMYFUNCTION("GOOGLEFINANCE(B1916,""marketcap"")/10000000"),42.8783478)</f>
        <v>42.8783478</v>
      </c>
      <c r="D1916" s="13">
        <f>IFERROR(__xludf.DUMMYFUNCTION("GOOGLEFINANCE(B1916,""price"")"),6.41)</f>
        <v>6.41</v>
      </c>
      <c r="E1916" s="14">
        <f>IFERROR(__xludf.DUMMYFUNCTION("GOOGLEFINANCE(B1916,""Volume"")"),2535.0)</f>
        <v>2535</v>
      </c>
      <c r="F1916" s="14">
        <f t="array" ref="F1916">F1915</f>
        <v>14</v>
      </c>
      <c r="G1916" s="15" t="str">
        <f>IFERROR(__xludf.DUMMYFUNCTION("IF(E1916&gt;AVERAGE(INDEX(GOOGLEFINANCE(B1916,""volume"",WORKDAY(TODAY(),-$F$1),TODAY()),,2)),""Breakout"","""")"),"")</f>
        <v/>
      </c>
      <c r="H1916" s="16">
        <f>IFERROR(__xludf.DUMMYFUNCTION("GOOGLEFINANCE(B1916,""price"")"),6.41)</f>
        <v>6.41</v>
      </c>
      <c r="I1916" s="17">
        <f>IFERROR(__xludf.DUMMYFUNCTION("AVERAGE(QUERY(SORT(GOOGLEFINANCE(B1916,""price"",TODAY()-365,TODAY()),1,0),""select Col2 limit 10""))"),6.480999999999999)</f>
        <v>6.481</v>
      </c>
      <c r="J1916" s="17">
        <f>IFERROR(__xludf.DUMMYFUNCTION("AVERAGE(QUERY(SORT(GOOGLEFINANCE(B1916,""price"",TODAY()-365,TODAY()),1,0),""select Col2 limit 30""))"),6.736)</f>
        <v>6.736</v>
      </c>
      <c r="K1916" s="18">
        <f>IFERROR(__xludf.DUMMYFUNCTION("AVERAGE(QUERY(SORT(GOOGLEFINANCE(B1916,""price"",TODAY()-365,TODAY()),1,0),""select Col2 limit 60""))"),6.907166666666669)</f>
        <v>6.907166667</v>
      </c>
      <c r="L1916" s="17">
        <f>IFERROR(__xludf.DUMMYFUNCTION("AVERAGE(QUERY(SORT(GOOGLEFINANCE(B1916,""price"",TODAY()-365,TODAY()),1,0),""select Col2 limit 90""))"),6.868444444444444)</f>
        <v>6.868444444</v>
      </c>
      <c r="M1916" s="17">
        <f>IFERROR(__xludf.DUMMYFUNCTION("AVERAGE(QUERY(SORT(GOOGLEFINANCE(B1916,""price"",TODAY()-365,TODAY()),1,0),""select Col2 limit 120""))"),6.842166666666667)</f>
        <v>6.842166667</v>
      </c>
      <c r="N1916" s="19">
        <f>IFERROR(__xludf.DUMMYFUNCTION("AVERAGE(QUERY(SORT(GOOGLEFINANCE(B1916,""price"",TODAY()-365,TODAY()),1,0),""select Col2 limit 200""))"),7.30005)</f>
        <v>7.30005</v>
      </c>
      <c r="O1916" s="20" t="str">
        <f t="shared" si="2"/>
        <v>Avoid</v>
      </c>
      <c r="P1916" s="21" t="str">
        <f t="shared" si="3"/>
        <v/>
      </c>
      <c r="Q1916" s="21" t="str">
        <f t="shared" si="4"/>
        <v/>
      </c>
      <c r="R1916" s="22">
        <f>IFERROR(__xludf.DUMMYFUNCTION("GOOGLEFINANCE(B1916, ""pe"")
"),0.67)</f>
        <v>0.67</v>
      </c>
    </row>
    <row r="1917">
      <c r="A1917" s="9" t="s">
        <v>1925</v>
      </c>
      <c r="B1917" s="11" t="str">
        <f t="shared" si="1"/>
        <v>NSE:ARSSINFRA</v>
      </c>
      <c r="C1917" s="12">
        <f>IFERROR(__xludf.DUMMYFUNCTION("GOOGLEFINANCE(B1917,""marketcap"")/10000000"),123.2397449)</f>
        <v>123.2397449</v>
      </c>
      <c r="D1917" s="13">
        <f>IFERROR(__xludf.DUMMYFUNCTION("GOOGLEFINANCE(B1917,""price"")"),54.2)</f>
        <v>54.2</v>
      </c>
      <c r="E1917" s="14">
        <f>IFERROR(__xludf.DUMMYFUNCTION("GOOGLEFINANCE(B1917,""Volume"")"),4838.0)</f>
        <v>4838</v>
      </c>
      <c r="F1917" s="14">
        <f t="array" ref="F1917">F1916</f>
        <v>14</v>
      </c>
      <c r="G1917" s="15" t="str">
        <f>IFERROR(__xludf.DUMMYFUNCTION("IF(E1917&gt;AVERAGE(INDEX(GOOGLEFINANCE(B1917,""volume"",WORKDAY(TODAY(),-$F$1),TODAY()),,2)),""Breakout"","""")"),"")</f>
        <v/>
      </c>
      <c r="H1917" s="16">
        <f>IFERROR(__xludf.DUMMYFUNCTION("GOOGLEFINANCE(B1917,""price"")"),54.2)</f>
        <v>54.2</v>
      </c>
      <c r="I1917" s="17">
        <f>IFERROR(__xludf.DUMMYFUNCTION("AVERAGE(QUERY(SORT(GOOGLEFINANCE(B1917,""price"",TODAY()-365,TODAY()),1,0),""select Col2 limit 10""))"),46.823)</f>
        <v>46.823</v>
      </c>
      <c r="J1917" s="17">
        <f>IFERROR(__xludf.DUMMYFUNCTION("AVERAGE(QUERY(SORT(GOOGLEFINANCE(B1917,""price"",TODAY()-365,TODAY()),1,0),""select Col2 limit 30""))"),47.83866666666666)</f>
        <v>47.83866667</v>
      </c>
      <c r="K1917" s="18">
        <f>IFERROR(__xludf.DUMMYFUNCTION("AVERAGE(QUERY(SORT(GOOGLEFINANCE(B1917,""price"",TODAY()-365,TODAY()),1,0),""select Col2 limit 60""))"),40.477999999999994)</f>
        <v>40.478</v>
      </c>
      <c r="L1917" s="17">
        <f>IFERROR(__xludf.DUMMYFUNCTION("AVERAGE(QUERY(SORT(GOOGLEFINANCE(B1917,""price"",TODAY()-365,TODAY()),1,0),""select Col2 limit 90""))"),33.42522222222221)</f>
        <v>33.42522222</v>
      </c>
      <c r="M1917" s="17">
        <f>IFERROR(__xludf.DUMMYFUNCTION("AVERAGE(QUERY(SORT(GOOGLEFINANCE(B1917,""price"",TODAY()-365,TODAY()),1,0),""select Col2 limit 120""))"),29.630999999999986)</f>
        <v>29.631</v>
      </c>
      <c r="N1917" s="19">
        <f>IFERROR(__xludf.DUMMYFUNCTION("AVERAGE(QUERY(SORT(GOOGLEFINANCE(B1917,""price"",TODAY()-365,TODAY()),1,0),""select Col2 limit 200""))"),26.801204819277103)</f>
        <v>26.80120482</v>
      </c>
      <c r="O1917" s="20" t="str">
        <f t="shared" si="2"/>
        <v>Avoid</v>
      </c>
      <c r="P1917" s="21" t="str">
        <f t="shared" si="3"/>
        <v/>
      </c>
      <c r="Q1917" s="21" t="str">
        <f t="shared" si="4"/>
        <v/>
      </c>
      <c r="R1917" s="22" t="str">
        <f>IFERROR(__xludf.DUMMYFUNCTION("GOOGLEFINANCE(B1917, ""pe"")
"),"#N/A")</f>
        <v>#N/A</v>
      </c>
    </row>
    <row r="1918">
      <c r="A1918" s="9" t="s">
        <v>1926</v>
      </c>
      <c r="B1918" s="11" t="str">
        <f t="shared" si="1"/>
        <v>NSE:SGL</v>
      </c>
      <c r="C1918" s="12">
        <f>IFERROR(__xludf.DUMMYFUNCTION("GOOGLEFINANCE(B1918,""marketcap"")/10000000"),39.9436353)</f>
        <v>39.9436353</v>
      </c>
      <c r="D1918" s="13">
        <f>IFERROR(__xludf.DUMMYFUNCTION("GOOGLEFINANCE(B1918,""price"")"),14.55)</f>
        <v>14.55</v>
      </c>
      <c r="E1918" s="14">
        <f>IFERROR(__xludf.DUMMYFUNCTION("GOOGLEFINANCE(B1918,""Volume"")"),288.0)</f>
        <v>288</v>
      </c>
      <c r="F1918" s="14">
        <f t="array" ref="F1918">F1917</f>
        <v>14</v>
      </c>
      <c r="G1918" s="15" t="str">
        <f>IFERROR(__xludf.DUMMYFUNCTION("IF(E1918&gt;AVERAGE(INDEX(GOOGLEFINANCE(B1918,""volume"",WORKDAY(TODAY(),-$F$1),TODAY()),,2)),""Breakout"","""")"),"")</f>
        <v/>
      </c>
      <c r="H1918" s="16">
        <f>IFERROR(__xludf.DUMMYFUNCTION("GOOGLEFINANCE(B1918,""price"")"),14.55)</f>
        <v>14.55</v>
      </c>
      <c r="I1918" s="17">
        <f>IFERROR(__xludf.DUMMYFUNCTION("AVERAGE(QUERY(SORT(GOOGLEFINANCE(B1918,""price"",TODAY()-365,TODAY()),1,0),""select Col2 limit 10""))"),15.217000000000002)</f>
        <v>15.217</v>
      </c>
      <c r="J1918" s="17">
        <f>IFERROR(__xludf.DUMMYFUNCTION("AVERAGE(QUERY(SORT(GOOGLEFINANCE(B1918,""price"",TODAY()-365,TODAY()),1,0),""select Col2 limit 30""))"),15.78866666666667)</f>
        <v>15.78866667</v>
      </c>
      <c r="K1918" s="18">
        <f>IFERROR(__xludf.DUMMYFUNCTION("AVERAGE(QUERY(SORT(GOOGLEFINANCE(B1918,""price"",TODAY()-365,TODAY()),1,0),""select Col2 limit 60""))"),15.339166666666669)</f>
        <v>15.33916667</v>
      </c>
      <c r="L1918" s="17">
        <f>IFERROR(__xludf.DUMMYFUNCTION("AVERAGE(QUERY(SORT(GOOGLEFINANCE(B1918,""price"",TODAY()-365,TODAY()),1,0),""select Col2 limit 90""))"),14.304888888888895)</f>
        <v>14.30488889</v>
      </c>
      <c r="M1918" s="17">
        <f>IFERROR(__xludf.DUMMYFUNCTION("AVERAGE(QUERY(SORT(GOOGLEFINANCE(B1918,""price"",TODAY()-365,TODAY()),1,0),""select Col2 limit 120""))"),14.21483333333334)</f>
        <v>14.21483333</v>
      </c>
      <c r="N1918" s="19">
        <f>IFERROR(__xludf.DUMMYFUNCTION("AVERAGE(QUERY(SORT(GOOGLEFINANCE(B1918,""price"",TODAY()-365,TODAY()),1,0),""select Col2 limit 200""))"),15.329450000000007)</f>
        <v>15.32945</v>
      </c>
      <c r="O1918" s="20" t="str">
        <f t="shared" si="2"/>
        <v>Avoid</v>
      </c>
      <c r="P1918" s="21" t="str">
        <f t="shared" si="3"/>
        <v/>
      </c>
      <c r="Q1918" s="21" t="str">
        <f t="shared" si="4"/>
        <v/>
      </c>
      <c r="R1918" s="22" t="str">
        <f>IFERROR(__xludf.DUMMYFUNCTION("GOOGLEFINANCE(B1918, ""pe"")
"),"#N/A")</f>
        <v>#N/A</v>
      </c>
    </row>
    <row r="1919">
      <c r="A1919" s="9" t="s">
        <v>1927</v>
      </c>
      <c r="B1919" s="11" t="str">
        <f t="shared" si="1"/>
        <v>NSE:TNTELE</v>
      </c>
      <c r="C1919" s="12">
        <f>IFERROR(__xludf.DUMMYFUNCTION("GOOGLEFINANCE(B1919,""marketcap"")/10000000"),93.6003474)</f>
        <v>93.6003474</v>
      </c>
      <c r="D1919" s="13">
        <f>IFERROR(__xludf.DUMMYFUNCTION("GOOGLEFINANCE(B1919,""price"")"),20.49)</f>
        <v>20.49</v>
      </c>
      <c r="E1919" s="14">
        <f>IFERROR(__xludf.DUMMYFUNCTION("GOOGLEFINANCE(B1919,""Volume"")"),402.0)</f>
        <v>402</v>
      </c>
      <c r="F1919" s="14">
        <f t="array" ref="F1919">F1918</f>
        <v>14</v>
      </c>
      <c r="G1919" s="15" t="str">
        <f>IFERROR(__xludf.DUMMYFUNCTION("IF(E1919&gt;AVERAGE(INDEX(GOOGLEFINANCE(B1919,""volume"",WORKDAY(TODAY(),-$F$1),TODAY()),,2)),""Breakout"","""")"),"")</f>
        <v/>
      </c>
      <c r="H1919" s="16">
        <f>IFERROR(__xludf.DUMMYFUNCTION("GOOGLEFINANCE(B1919,""price"")"),20.49)</f>
        <v>20.49</v>
      </c>
      <c r="I1919" s="17">
        <f>IFERROR(__xludf.DUMMYFUNCTION("AVERAGE(QUERY(SORT(GOOGLEFINANCE(B1919,""price"",TODAY()-365,TODAY()),1,0),""select Col2 limit 10""))"),22.964999999999996)</f>
        <v>22.965</v>
      </c>
      <c r="J1919" s="17">
        <f>IFERROR(__xludf.DUMMYFUNCTION("AVERAGE(QUERY(SORT(GOOGLEFINANCE(B1919,""price"",TODAY()-365,TODAY()),1,0),""select Col2 limit 30""))"),17.966333333333335)</f>
        <v>17.96633333</v>
      </c>
      <c r="K1919" s="18">
        <f>IFERROR(__xludf.DUMMYFUNCTION("AVERAGE(QUERY(SORT(GOOGLEFINANCE(B1919,""price"",TODAY()-365,TODAY()),1,0),""select Col2 limit 60""))"),13.745333333333331)</f>
        <v>13.74533333</v>
      </c>
      <c r="L1919" s="17">
        <f>IFERROR(__xludf.DUMMYFUNCTION("AVERAGE(QUERY(SORT(GOOGLEFINANCE(B1919,""price"",TODAY()-365,TODAY()),1,0),""select Col2 limit 90""))"),12.189888888888888)</f>
        <v>12.18988889</v>
      </c>
      <c r="M1919" s="17">
        <f>IFERROR(__xludf.DUMMYFUNCTION("AVERAGE(QUERY(SORT(GOOGLEFINANCE(B1919,""price"",TODAY()-365,TODAY()),1,0),""select Col2 limit 120""))"),11.473333333333327)</f>
        <v>11.47333333</v>
      </c>
      <c r="N1919" s="19">
        <f>IFERROR(__xludf.DUMMYFUNCTION("AVERAGE(QUERY(SORT(GOOGLEFINANCE(B1919,""price"",TODAY()-365,TODAY()),1,0),""select Col2 limit 200""))"),11.091949999999997)</f>
        <v>11.09195</v>
      </c>
      <c r="O1919" s="20" t="str">
        <f t="shared" si="2"/>
        <v>Avoid</v>
      </c>
      <c r="P1919" s="21" t="str">
        <f t="shared" si="3"/>
        <v/>
      </c>
      <c r="Q1919" s="21" t="str">
        <f t="shared" si="4"/>
        <v/>
      </c>
      <c r="R1919" s="22" t="str">
        <f>IFERROR(__xludf.DUMMYFUNCTION("GOOGLEFINANCE(B1919, ""pe"")
"),"#N/A")</f>
        <v>#N/A</v>
      </c>
    </row>
    <row r="1920">
      <c r="A1920" s="9" t="s">
        <v>1928</v>
      </c>
      <c r="B1920" s="11" t="str">
        <f t="shared" si="1"/>
        <v>NSE:SUPERSPIN</v>
      </c>
      <c r="C1920" s="12">
        <f>IFERROR(__xludf.DUMMYFUNCTION("GOOGLEFINANCE(B1920,""marketcap"")/10000000"),54.9449987)</f>
        <v>54.9449987</v>
      </c>
      <c r="D1920" s="13">
        <f>IFERROR(__xludf.DUMMYFUNCTION("GOOGLEFINANCE(B1920,""price"")"),9.99)</f>
        <v>9.99</v>
      </c>
      <c r="E1920" s="14">
        <f>IFERROR(__xludf.DUMMYFUNCTION("GOOGLEFINANCE(B1920,""Volume"")"),9681.0)</f>
        <v>9681</v>
      </c>
      <c r="F1920" s="14">
        <f t="array" ref="F1920">F1919</f>
        <v>14</v>
      </c>
      <c r="G1920" s="15" t="str">
        <f>IFERROR(__xludf.DUMMYFUNCTION("IF(E1920&gt;AVERAGE(INDEX(GOOGLEFINANCE(B1920,""volume"",WORKDAY(TODAY(),-$F$1),TODAY()),,2)),""Breakout"","""")"),"")</f>
        <v/>
      </c>
      <c r="H1920" s="16">
        <f>IFERROR(__xludf.DUMMYFUNCTION("GOOGLEFINANCE(B1920,""price"")"),9.99)</f>
        <v>9.99</v>
      </c>
      <c r="I1920" s="17">
        <f>IFERROR(__xludf.DUMMYFUNCTION("AVERAGE(QUERY(SORT(GOOGLEFINANCE(B1920,""price"",TODAY()-365,TODAY()),1,0),""select Col2 limit 10""))"),10.236)</f>
        <v>10.236</v>
      </c>
      <c r="J1920" s="17">
        <f>IFERROR(__xludf.DUMMYFUNCTION("AVERAGE(QUERY(SORT(GOOGLEFINANCE(B1920,""price"",TODAY()-365,TODAY()),1,0),""select Col2 limit 30""))"),10.361)</f>
        <v>10.361</v>
      </c>
      <c r="K1920" s="18">
        <f>IFERROR(__xludf.DUMMYFUNCTION("AVERAGE(QUERY(SORT(GOOGLEFINANCE(B1920,""price"",TODAY()-365,TODAY()),1,0),""select Col2 limit 60""))"),10.212166666666667)</f>
        <v>10.21216667</v>
      </c>
      <c r="L1920" s="17">
        <f>IFERROR(__xludf.DUMMYFUNCTION("AVERAGE(QUERY(SORT(GOOGLEFINANCE(B1920,""price"",TODAY()-365,TODAY()),1,0),""select Col2 limit 90""))"),10.457111111111109)</f>
        <v>10.45711111</v>
      </c>
      <c r="M1920" s="17">
        <f>IFERROR(__xludf.DUMMYFUNCTION("AVERAGE(QUERY(SORT(GOOGLEFINANCE(B1920,""price"",TODAY()-365,TODAY()),1,0),""select Col2 limit 120""))"),10.752833333333333)</f>
        <v>10.75283333</v>
      </c>
      <c r="N1920" s="19">
        <f>IFERROR(__xludf.DUMMYFUNCTION("AVERAGE(QUERY(SORT(GOOGLEFINANCE(B1920,""price"",TODAY()-365,TODAY()),1,0),""select Col2 limit 200""))"),11.459599999999996)</f>
        <v>11.4596</v>
      </c>
      <c r="O1920" s="20" t="str">
        <f t="shared" si="2"/>
        <v>Avoid</v>
      </c>
      <c r="P1920" s="21" t="str">
        <f t="shared" si="3"/>
        <v/>
      </c>
      <c r="Q1920" s="21" t="str">
        <f t="shared" si="4"/>
        <v/>
      </c>
      <c r="R1920" s="22" t="str">
        <f>IFERROR(__xludf.DUMMYFUNCTION("GOOGLEFINANCE(B1920, ""pe"")
"),"#N/A")</f>
        <v>#N/A</v>
      </c>
    </row>
    <row r="1921">
      <c r="A1921" s="9" t="s">
        <v>1929</v>
      </c>
      <c r="B1921" s="11" t="str">
        <f t="shared" si="1"/>
        <v>NSE:SANGINITA</v>
      </c>
      <c r="C1921" s="12">
        <f>IFERROR(__xludf.DUMMYFUNCTION("GOOGLEFINANCE(B1921,""marketcap"")/10000000"),26.0310481)</f>
        <v>26.0310481</v>
      </c>
      <c r="D1921" s="13">
        <f>IFERROR(__xludf.DUMMYFUNCTION("GOOGLEFINANCE(B1921,""price"")"),10.06)</f>
        <v>10.06</v>
      </c>
      <c r="E1921" s="14">
        <f>IFERROR(__xludf.DUMMYFUNCTION("GOOGLEFINANCE(B1921,""Volume"")"),18833.0)</f>
        <v>18833</v>
      </c>
      <c r="F1921" s="14">
        <f t="array" ref="F1921">F1920</f>
        <v>14</v>
      </c>
      <c r="G1921" s="15" t="str">
        <f>IFERROR(__xludf.DUMMYFUNCTION("IF(E1921&gt;AVERAGE(INDEX(GOOGLEFINANCE(B1921,""volume"",WORKDAY(TODAY(),-$F$1),TODAY()),,2)),""Breakout"","""")"),"")</f>
        <v/>
      </c>
      <c r="H1921" s="16">
        <f>IFERROR(__xludf.DUMMYFUNCTION("GOOGLEFINANCE(B1921,""price"")"),10.06)</f>
        <v>10.06</v>
      </c>
      <c r="I1921" s="17">
        <f>IFERROR(__xludf.DUMMYFUNCTION("AVERAGE(QUERY(SORT(GOOGLEFINANCE(B1921,""price"",TODAY()-365,TODAY()),1,0),""select Col2 limit 10""))"),10.357000000000001)</f>
        <v>10.357</v>
      </c>
      <c r="J1921" s="17">
        <f>IFERROR(__xludf.DUMMYFUNCTION("AVERAGE(QUERY(SORT(GOOGLEFINANCE(B1921,""price"",TODAY()-365,TODAY()),1,0),""select Col2 limit 30""))"),10.315333333333333)</f>
        <v>10.31533333</v>
      </c>
      <c r="K1921" s="18">
        <f>IFERROR(__xludf.DUMMYFUNCTION("AVERAGE(QUERY(SORT(GOOGLEFINANCE(B1921,""price"",TODAY()-365,TODAY()),1,0),""select Col2 limit 60""))"),10.346333333333328)</f>
        <v>10.34633333</v>
      </c>
      <c r="L1921" s="17">
        <f>IFERROR(__xludf.DUMMYFUNCTION("AVERAGE(QUERY(SORT(GOOGLEFINANCE(B1921,""price"",TODAY()-365,TODAY()),1,0),""select Col2 limit 90""))"),10.590555555555552)</f>
        <v>10.59055556</v>
      </c>
      <c r="M1921" s="17">
        <f>IFERROR(__xludf.DUMMYFUNCTION("AVERAGE(QUERY(SORT(GOOGLEFINANCE(B1921,""price"",TODAY()-365,TODAY()),1,0),""select Col2 limit 120""))"),10.923583333333331)</f>
        <v>10.92358333</v>
      </c>
      <c r="N1921" s="19">
        <f>IFERROR(__xludf.DUMMYFUNCTION("AVERAGE(QUERY(SORT(GOOGLEFINANCE(B1921,""price"",TODAY()-365,TODAY()),1,0),""select Col2 limit 200""))"),12.724999999999989)</f>
        <v>12.725</v>
      </c>
      <c r="O1921" s="20" t="str">
        <f t="shared" si="2"/>
        <v>Avoid</v>
      </c>
      <c r="P1921" s="21" t="str">
        <f t="shared" si="3"/>
        <v/>
      </c>
      <c r="Q1921" s="21" t="str">
        <f t="shared" si="4"/>
        <v/>
      </c>
      <c r="R1921" s="22">
        <f>IFERROR(__xludf.DUMMYFUNCTION("GOOGLEFINANCE(B1921, ""pe"")
"),63.06)</f>
        <v>63.06</v>
      </c>
    </row>
    <row r="1922">
      <c r="A1922" s="9" t="s">
        <v>1930</v>
      </c>
      <c r="B1922" s="11" t="str">
        <f t="shared" si="1"/>
        <v>NSE:AMBICAAGAR</v>
      </c>
      <c r="C1922" s="12">
        <f>IFERROR(__xludf.DUMMYFUNCTION("GOOGLEFINANCE(B1922,""marketcap"")/10000000"),47.9764787)</f>
        <v>47.9764787</v>
      </c>
      <c r="D1922" s="13">
        <f>IFERROR(__xludf.DUMMYFUNCTION("GOOGLEFINANCE(B1922,""price"")"),27.93)</f>
        <v>27.93</v>
      </c>
      <c r="E1922" s="14">
        <f>IFERROR(__xludf.DUMMYFUNCTION("GOOGLEFINANCE(B1922,""Volume"")"),8172.0)</f>
        <v>8172</v>
      </c>
      <c r="F1922" s="14">
        <f t="array" ref="F1922">F1921</f>
        <v>14</v>
      </c>
      <c r="G1922" s="15" t="str">
        <f>IFERROR(__xludf.DUMMYFUNCTION("IF(E1922&gt;AVERAGE(INDEX(GOOGLEFINANCE(B1922,""volume"",WORKDAY(TODAY(),-$F$1),TODAY()),,2)),""Breakout"","""")"),"")</f>
        <v/>
      </c>
      <c r="H1922" s="16">
        <f>IFERROR(__xludf.DUMMYFUNCTION("GOOGLEFINANCE(B1922,""price"")"),27.93)</f>
        <v>27.93</v>
      </c>
      <c r="I1922" s="17">
        <f>IFERROR(__xludf.DUMMYFUNCTION("AVERAGE(QUERY(SORT(GOOGLEFINANCE(B1922,""price"",TODAY()-365,TODAY()),1,0),""select Col2 limit 10""))"),28.331)</f>
        <v>28.331</v>
      </c>
      <c r="J1922" s="17">
        <f>IFERROR(__xludf.DUMMYFUNCTION("AVERAGE(QUERY(SORT(GOOGLEFINANCE(B1922,""price"",TODAY()-365,TODAY()),1,0),""select Col2 limit 30""))"),28.399333333333338)</f>
        <v>28.39933333</v>
      </c>
      <c r="K1922" s="18">
        <f>IFERROR(__xludf.DUMMYFUNCTION("AVERAGE(QUERY(SORT(GOOGLEFINANCE(B1922,""price"",TODAY()-365,TODAY()),1,0),""select Col2 limit 60""))"),28.7895)</f>
        <v>28.7895</v>
      </c>
      <c r="L1922" s="17">
        <f>IFERROR(__xludf.DUMMYFUNCTION("AVERAGE(QUERY(SORT(GOOGLEFINANCE(B1922,""price"",TODAY()-365,TODAY()),1,0),""select Col2 limit 90""))"),28.401222222222223)</f>
        <v>28.40122222</v>
      </c>
      <c r="M1922" s="17">
        <f>IFERROR(__xludf.DUMMYFUNCTION("AVERAGE(QUERY(SORT(GOOGLEFINANCE(B1922,""price"",TODAY()-365,TODAY()),1,0),""select Col2 limit 120""))"),28.499333333333333)</f>
        <v>28.49933333</v>
      </c>
      <c r="N1922" s="19">
        <f>IFERROR(__xludf.DUMMYFUNCTION("AVERAGE(QUERY(SORT(GOOGLEFINANCE(B1922,""price"",TODAY()-365,TODAY()),1,0),""select Col2 limit 200""))"),28.942000000000004)</f>
        <v>28.942</v>
      </c>
      <c r="O1922" s="20" t="str">
        <f t="shared" si="2"/>
        <v>Avoid</v>
      </c>
      <c r="P1922" s="21" t="str">
        <f t="shared" si="3"/>
        <v/>
      </c>
      <c r="Q1922" s="21" t="str">
        <f t="shared" si="4"/>
        <v/>
      </c>
      <c r="R1922" s="22">
        <f>IFERROR(__xludf.DUMMYFUNCTION("GOOGLEFINANCE(B1922, ""pe"")
"),98.23)</f>
        <v>98.23</v>
      </c>
    </row>
    <row r="1923">
      <c r="A1923" s="9" t="s">
        <v>1931</v>
      </c>
      <c r="B1923" s="11" t="str">
        <f t="shared" si="1"/>
        <v>NSE:LIBAS</v>
      </c>
      <c r="C1923" s="12">
        <f>IFERROR(__xludf.DUMMYFUNCTION("GOOGLEFINANCE(B1923,""marketcap"")/10000000"),35.0646237)</f>
        <v>35.0646237</v>
      </c>
      <c r="D1923" s="13">
        <f>IFERROR(__xludf.DUMMYFUNCTION("GOOGLEFINANCE(B1923,""price"")"),13.31)</f>
        <v>13.31</v>
      </c>
      <c r="E1923" s="14">
        <f>IFERROR(__xludf.DUMMYFUNCTION("GOOGLEFINANCE(B1923,""Volume"")"),4584.0)</f>
        <v>4584</v>
      </c>
      <c r="F1923" s="14">
        <f t="array" ref="F1923">F1922</f>
        <v>14</v>
      </c>
      <c r="G1923" s="15" t="str">
        <f>IFERROR(__xludf.DUMMYFUNCTION("IF(E1923&gt;AVERAGE(INDEX(GOOGLEFINANCE(B1923,""volume"",WORKDAY(TODAY(),-$F$1),TODAY()),,2)),""Breakout"","""")"),"")</f>
        <v/>
      </c>
      <c r="H1923" s="16">
        <f>IFERROR(__xludf.DUMMYFUNCTION("GOOGLEFINANCE(B1923,""price"")"),13.31)</f>
        <v>13.31</v>
      </c>
      <c r="I1923" s="17">
        <f>IFERROR(__xludf.DUMMYFUNCTION("AVERAGE(QUERY(SORT(GOOGLEFINANCE(B1923,""price"",TODAY()-365,TODAY()),1,0),""select Col2 limit 10""))"),13.573000000000002)</f>
        <v>13.573</v>
      </c>
      <c r="J1923" s="17">
        <f>IFERROR(__xludf.DUMMYFUNCTION("AVERAGE(QUERY(SORT(GOOGLEFINANCE(B1923,""price"",TODAY()-365,TODAY()),1,0),""select Col2 limit 30""))"),13.713333333333336)</f>
        <v>13.71333333</v>
      </c>
      <c r="K1923" s="18">
        <f>IFERROR(__xludf.DUMMYFUNCTION("AVERAGE(QUERY(SORT(GOOGLEFINANCE(B1923,""price"",TODAY()-365,TODAY()),1,0),""select Col2 limit 60""))"),13.43366666666667)</f>
        <v>13.43366667</v>
      </c>
      <c r="L1923" s="17">
        <f>IFERROR(__xludf.DUMMYFUNCTION("AVERAGE(QUERY(SORT(GOOGLEFINANCE(B1923,""price"",TODAY()-365,TODAY()),1,0),""select Col2 limit 90""))"),13.040333333333336)</f>
        <v>13.04033333</v>
      </c>
      <c r="M1923" s="17">
        <f>IFERROR(__xludf.DUMMYFUNCTION("AVERAGE(QUERY(SORT(GOOGLEFINANCE(B1923,""price"",TODAY()-365,TODAY()),1,0),""select Col2 limit 120""))"),13.113666666666665)</f>
        <v>13.11366667</v>
      </c>
      <c r="N1923" s="19">
        <f>IFERROR(__xludf.DUMMYFUNCTION("AVERAGE(QUERY(SORT(GOOGLEFINANCE(B1923,""price"",TODAY()-365,TODAY()),1,0),""select Col2 limit 200""))"),14.529549999999995)</f>
        <v>14.52955</v>
      </c>
      <c r="O1923" s="20" t="str">
        <f t="shared" si="2"/>
        <v>Avoid</v>
      </c>
      <c r="P1923" s="21" t="str">
        <f t="shared" si="3"/>
        <v>60 DMA</v>
      </c>
      <c r="Q1923" s="21" t="str">
        <f t="shared" si="4"/>
        <v/>
      </c>
      <c r="R1923" s="22">
        <f>IFERROR(__xludf.DUMMYFUNCTION("GOOGLEFINANCE(B1923, ""pe"")
"),10.82)</f>
        <v>10.82</v>
      </c>
    </row>
    <row r="1924">
      <c r="A1924" s="9" t="s">
        <v>1932</v>
      </c>
      <c r="B1924" s="11" t="str">
        <f t="shared" si="1"/>
        <v>NSE:KHANDSE</v>
      </c>
      <c r="C1924" s="12">
        <f>IFERROR(__xludf.DUMMYFUNCTION("GOOGLEFINANCE(B1924,""marketcap"")/10000000"),39.2175184)</f>
        <v>39.2175184</v>
      </c>
      <c r="D1924" s="13">
        <f>IFERROR(__xludf.DUMMYFUNCTION("GOOGLEFINANCE(B1924,""price"")"),26.86)</f>
        <v>26.86</v>
      </c>
      <c r="E1924" s="14">
        <f>IFERROR(__xludf.DUMMYFUNCTION("GOOGLEFINANCE(B1924,""Volume"")"),126929.0)</f>
        <v>126929</v>
      </c>
      <c r="F1924" s="14">
        <f t="array" ref="F1924">F1923</f>
        <v>14</v>
      </c>
      <c r="G1924" s="15" t="str">
        <f>IFERROR(__xludf.DUMMYFUNCTION("IF(E1924&gt;AVERAGE(INDEX(GOOGLEFINANCE(B1924,""volume"",WORKDAY(TODAY(),-$F$1),TODAY()),,2)),""Breakout"","""")"),"")</f>
        <v/>
      </c>
      <c r="H1924" s="16">
        <f>IFERROR(__xludf.DUMMYFUNCTION("GOOGLEFINANCE(B1924,""price"")"),26.86)</f>
        <v>26.86</v>
      </c>
      <c r="I1924" s="17">
        <f>IFERROR(__xludf.DUMMYFUNCTION("AVERAGE(QUERY(SORT(GOOGLEFINANCE(B1924,""price"",TODAY()-365,TODAY()),1,0),""select Col2 limit 10""))"),25.461999999999996)</f>
        <v>25.462</v>
      </c>
      <c r="J1924" s="17">
        <f>IFERROR(__xludf.DUMMYFUNCTION("AVERAGE(QUERY(SORT(GOOGLEFINANCE(B1924,""price"",TODAY()-365,TODAY()),1,0),""select Col2 limit 30""))"),24.311999999999998)</f>
        <v>24.312</v>
      </c>
      <c r="K1924" s="18">
        <f>IFERROR(__xludf.DUMMYFUNCTION("AVERAGE(QUERY(SORT(GOOGLEFINANCE(B1924,""price"",TODAY()-365,TODAY()),1,0),""select Col2 limit 60""))"),23.662500000000005)</f>
        <v>23.6625</v>
      </c>
      <c r="L1924" s="17">
        <f>IFERROR(__xludf.DUMMYFUNCTION("AVERAGE(QUERY(SORT(GOOGLEFINANCE(B1924,""price"",TODAY()-365,TODAY()),1,0),""select Col2 limit 90""))"),23.429111111111116)</f>
        <v>23.42911111</v>
      </c>
      <c r="M1924" s="17">
        <f>IFERROR(__xludf.DUMMYFUNCTION("AVERAGE(QUERY(SORT(GOOGLEFINANCE(B1924,""price"",TODAY()-365,TODAY()),1,0),""select Col2 limit 120""))"),23.83566666666667)</f>
        <v>23.83566667</v>
      </c>
      <c r="N1924" s="19">
        <f>IFERROR(__xludf.DUMMYFUNCTION("AVERAGE(QUERY(SORT(GOOGLEFINANCE(B1924,""price"",TODAY()-365,TODAY()),1,0),""select Col2 limit 200""))"),25.644199999999987)</f>
        <v>25.6442</v>
      </c>
      <c r="O1924" s="20" t="str">
        <f t="shared" si="2"/>
        <v>Avoid</v>
      </c>
      <c r="P1924" s="21" t="str">
        <f t="shared" si="3"/>
        <v/>
      </c>
      <c r="Q1924" s="21" t="str">
        <f t="shared" si="4"/>
        <v/>
      </c>
      <c r="R1924" s="22" t="str">
        <f>IFERROR(__xludf.DUMMYFUNCTION("GOOGLEFINANCE(B1924, ""pe"")
"),"#N/A")</f>
        <v>#N/A</v>
      </c>
    </row>
    <row r="1925">
      <c r="A1925" s="9" t="s">
        <v>1933</v>
      </c>
      <c r="B1925" s="11" t="str">
        <f t="shared" si="1"/>
        <v>NSE:SRPL</v>
      </c>
      <c r="C1925" s="12">
        <f>IFERROR(__xludf.DUMMYFUNCTION("GOOGLEFINANCE(B1925,""marketcap"")/10000000"),26.1324006)</f>
        <v>26.1324006</v>
      </c>
      <c r="D1925" s="13">
        <f>IFERROR(__xludf.DUMMYFUNCTION("GOOGLEFINANCE(B1925,""price"")"),0.61)</f>
        <v>0.61</v>
      </c>
      <c r="E1925" s="14">
        <f>IFERROR(__xludf.DUMMYFUNCTION("GOOGLEFINANCE(B1925,""Volume"")"),217280.0)</f>
        <v>217280</v>
      </c>
      <c r="F1925" s="14">
        <f t="array" ref="F1925">F1924</f>
        <v>14</v>
      </c>
      <c r="G1925" s="15" t="str">
        <f>IFERROR(__xludf.DUMMYFUNCTION("IF(E1925&gt;AVERAGE(INDEX(GOOGLEFINANCE(B1925,""volume"",WORKDAY(TODAY(),-$F$1),TODAY()),,2)),""Breakout"","""")"),"")</f>
        <v/>
      </c>
      <c r="H1925" s="16">
        <f>IFERROR(__xludf.DUMMYFUNCTION("GOOGLEFINANCE(B1925,""price"")"),0.61)</f>
        <v>0.61</v>
      </c>
      <c r="I1925" s="17" t="str">
        <f>IFERROR(__xludf.DUMMYFUNCTION("AVERAGE(QUERY(SORT(GOOGLEFINANCE(B1925,""price"",TODAY()-365,TODAY()),1,0),""select Col2 limit 10""))"),"#N/A")</f>
        <v>#N/A</v>
      </c>
      <c r="J1925" s="17" t="str">
        <f>IFERROR(__xludf.DUMMYFUNCTION("AVERAGE(QUERY(SORT(GOOGLEFINANCE(B1925,""price"",TODAY()-365,TODAY()),1,0),""select Col2 limit 30""))"),"#N/A")</f>
        <v>#N/A</v>
      </c>
      <c r="K1925" s="18" t="str">
        <f>IFERROR(__xludf.DUMMYFUNCTION("AVERAGE(QUERY(SORT(GOOGLEFINANCE(B1925,""price"",TODAY()-365,TODAY()),1,0),""select Col2 limit 60""))"),"#N/A")</f>
        <v>#N/A</v>
      </c>
      <c r="L1925" s="17" t="str">
        <f>IFERROR(__xludf.DUMMYFUNCTION("AVERAGE(QUERY(SORT(GOOGLEFINANCE(B1925,""price"",TODAY()-365,TODAY()),1,0),""select Col2 limit 90""))"),"#N/A")</f>
        <v>#N/A</v>
      </c>
      <c r="M1925" s="17" t="str">
        <f>IFERROR(__xludf.DUMMYFUNCTION("AVERAGE(QUERY(SORT(GOOGLEFINANCE(B1925,""price"",TODAY()-365,TODAY()),1,0),""select Col2 limit 120""))"),"#N/A")</f>
        <v>#N/A</v>
      </c>
      <c r="N1925" s="19" t="str">
        <f>IFERROR(__xludf.DUMMYFUNCTION("AVERAGE(QUERY(SORT(GOOGLEFINANCE(B1925,""price"",TODAY()-365,TODAY()),1,0),""select Col2 limit 200""))"),"#N/A")</f>
        <v>#N/A</v>
      </c>
      <c r="O1925" s="20" t="str">
        <f t="shared" si="2"/>
        <v>#N/A</v>
      </c>
      <c r="P1925" s="21" t="str">
        <f t="shared" si="3"/>
        <v>#N/A</v>
      </c>
      <c r="Q1925" s="21" t="str">
        <f t="shared" si="4"/>
        <v>#N/A</v>
      </c>
      <c r="R1925" s="22" t="str">
        <f>IFERROR(__xludf.DUMMYFUNCTION("GOOGLEFINANCE(B1925, ""pe"")
"),"#N/A")</f>
        <v>#N/A</v>
      </c>
    </row>
    <row r="1926">
      <c r="A1926" s="9" t="s">
        <v>1934</v>
      </c>
      <c r="B1926" s="11" t="str">
        <f t="shared" si="1"/>
        <v>NSE:MADHAV</v>
      </c>
      <c r="C1926" s="12">
        <f>IFERROR(__xludf.DUMMYFUNCTION("GOOGLEFINANCE(B1926,""marketcap"")/10000000"),40.458335)</f>
        <v>40.458335</v>
      </c>
      <c r="D1926" s="13">
        <f>IFERROR(__xludf.DUMMYFUNCTION("GOOGLEFINANCE(B1926,""price"")"),45.69)</f>
        <v>45.69</v>
      </c>
      <c r="E1926" s="14">
        <f>IFERROR(__xludf.DUMMYFUNCTION("GOOGLEFINANCE(B1926,""Volume"")"),6285.0)</f>
        <v>6285</v>
      </c>
      <c r="F1926" s="14">
        <f t="array" ref="F1926">F1925</f>
        <v>14</v>
      </c>
      <c r="G1926" s="15" t="str">
        <f>IFERROR(__xludf.DUMMYFUNCTION("IF(E1926&gt;AVERAGE(INDEX(GOOGLEFINANCE(B1926,""volume"",WORKDAY(TODAY(),-$F$1),TODAY()),,2)),""Breakout"","""")"),"")</f>
        <v/>
      </c>
      <c r="H1926" s="16">
        <f>IFERROR(__xludf.DUMMYFUNCTION("GOOGLEFINANCE(B1926,""price"")"),45.69)</f>
        <v>45.69</v>
      </c>
      <c r="I1926" s="17">
        <f>IFERROR(__xludf.DUMMYFUNCTION("AVERAGE(QUERY(SORT(GOOGLEFINANCE(B1926,""price"",TODAY()-365,TODAY()),1,0),""select Col2 limit 10""))"),45.148)</f>
        <v>45.148</v>
      </c>
      <c r="J1926" s="17">
        <f>IFERROR(__xludf.DUMMYFUNCTION("AVERAGE(QUERY(SORT(GOOGLEFINANCE(B1926,""price"",TODAY()-365,TODAY()),1,0),""select Col2 limit 30""))"),46.83633333333333)</f>
        <v>46.83633333</v>
      </c>
      <c r="K1926" s="18">
        <f>IFERROR(__xludf.DUMMYFUNCTION("AVERAGE(QUERY(SORT(GOOGLEFINANCE(B1926,""price"",TODAY()-365,TODAY()),1,0),""select Col2 limit 60""))"),45.64283333333333)</f>
        <v>45.64283333</v>
      </c>
      <c r="L1926" s="17">
        <f>IFERROR(__xludf.DUMMYFUNCTION("AVERAGE(QUERY(SORT(GOOGLEFINANCE(B1926,""price"",TODAY()-365,TODAY()),1,0),""select Col2 limit 90""))"),44.47344444444444)</f>
        <v>44.47344444</v>
      </c>
      <c r="M1926" s="17">
        <f>IFERROR(__xludf.DUMMYFUNCTION("AVERAGE(QUERY(SORT(GOOGLEFINANCE(B1926,""price"",TODAY()-365,TODAY()),1,0),""select Col2 limit 120""))"),44.80516666666666)</f>
        <v>44.80516667</v>
      </c>
      <c r="N1926" s="19">
        <f>IFERROR(__xludf.DUMMYFUNCTION("AVERAGE(QUERY(SORT(GOOGLEFINANCE(B1926,""price"",TODAY()-365,TODAY()),1,0),""select Col2 limit 200""))"),48.59244999999998)</f>
        <v>48.59245</v>
      </c>
      <c r="O1926" s="20" t="str">
        <f t="shared" si="2"/>
        <v>Avoid</v>
      </c>
      <c r="P1926" s="21" t="str">
        <f t="shared" si="3"/>
        <v/>
      </c>
      <c r="Q1926" s="21" t="str">
        <f t="shared" si="4"/>
        <v/>
      </c>
      <c r="R1926" s="22" t="str">
        <f>IFERROR(__xludf.DUMMYFUNCTION("GOOGLEFINANCE(B1926, ""pe"")
"),"#N/A")</f>
        <v>#N/A</v>
      </c>
    </row>
    <row r="1927">
      <c r="A1927" s="9" t="s">
        <v>1935</v>
      </c>
      <c r="B1927" s="11" t="str">
        <f t="shared" si="1"/>
        <v>NSE:SUPREMEENG</v>
      </c>
      <c r="C1927" s="12">
        <f>IFERROR(__xludf.DUMMYFUNCTION("GOOGLEFINANCE(B1927,""marketcap"")/10000000"),35.4928989)</f>
        <v>35.4928989</v>
      </c>
      <c r="D1927" s="13">
        <f>IFERROR(__xludf.DUMMYFUNCTION("GOOGLEFINANCE(B1927,""price"")"),1.42)</f>
        <v>1.42</v>
      </c>
      <c r="E1927" s="14">
        <f>IFERROR(__xludf.DUMMYFUNCTION("GOOGLEFINANCE(B1927,""Volume"")"),40881.0)</f>
        <v>40881</v>
      </c>
      <c r="F1927" s="14">
        <f t="array" ref="F1927">F1926</f>
        <v>14</v>
      </c>
      <c r="G1927" s="15" t="str">
        <f>IFERROR(__xludf.DUMMYFUNCTION("IF(E1927&gt;AVERAGE(INDEX(GOOGLEFINANCE(B1927,""volume"",WORKDAY(TODAY(),-$F$1),TODAY()),,2)),""Breakout"","""")"),"Breakout")</f>
        <v>Breakout</v>
      </c>
      <c r="H1927" s="16">
        <f>IFERROR(__xludf.DUMMYFUNCTION("GOOGLEFINANCE(B1927,""price"")"),1.42)</f>
        <v>1.42</v>
      </c>
      <c r="I1927" s="17">
        <f>IFERROR(__xludf.DUMMYFUNCTION("AVERAGE(QUERY(SORT(GOOGLEFINANCE(B1927,""price"",TODAY()-365,TODAY()),1,0),""select Col2 limit 10""))"),1.8639999999999997)</f>
        <v>1.864</v>
      </c>
      <c r="J1927" s="17">
        <f>IFERROR(__xludf.DUMMYFUNCTION("AVERAGE(QUERY(SORT(GOOGLEFINANCE(B1927,""price"",TODAY()-365,TODAY()),1,0),""select Col2 limit 30""))"),2.006333333333333)</f>
        <v>2.006333333</v>
      </c>
      <c r="K1927" s="18">
        <f>IFERROR(__xludf.DUMMYFUNCTION("AVERAGE(QUERY(SORT(GOOGLEFINANCE(B1927,""price"",TODAY()-365,TODAY()),1,0),""select Col2 limit 60""))"),2.014333333333333)</f>
        <v>2.014333333</v>
      </c>
      <c r="L1927" s="17">
        <f>IFERROR(__xludf.DUMMYFUNCTION("AVERAGE(QUERY(SORT(GOOGLEFINANCE(B1927,""price"",TODAY()-365,TODAY()),1,0),""select Col2 limit 90""))"),2.0792222222222216)</f>
        <v>2.079222222</v>
      </c>
      <c r="M1927" s="17">
        <f>IFERROR(__xludf.DUMMYFUNCTION("AVERAGE(QUERY(SORT(GOOGLEFINANCE(B1927,""price"",TODAY()-365,TODAY()),1,0),""select Col2 limit 120""))"),2.222833333333333)</f>
        <v>2.222833333</v>
      </c>
      <c r="N1927" s="19">
        <f>IFERROR(__xludf.DUMMYFUNCTION("AVERAGE(QUERY(SORT(GOOGLEFINANCE(B1927,""price"",TODAY()-365,TODAY()),1,0),""select Col2 limit 200""))"),2.590749999999998)</f>
        <v>2.59075</v>
      </c>
      <c r="O1927" s="20" t="str">
        <f t="shared" si="2"/>
        <v>Avoid</v>
      </c>
      <c r="P1927" s="21" t="str">
        <f t="shared" si="3"/>
        <v/>
      </c>
      <c r="Q1927" s="21" t="str">
        <f t="shared" si="4"/>
        <v/>
      </c>
      <c r="R1927" s="22" t="str">
        <f>IFERROR(__xludf.DUMMYFUNCTION("GOOGLEFINANCE(B1927, ""pe"")
"),"#N/A")</f>
        <v>#N/A</v>
      </c>
    </row>
    <row r="1928">
      <c r="A1928" s="9" t="s">
        <v>1936</v>
      </c>
      <c r="B1928" s="11" t="str">
        <f t="shared" si="1"/>
        <v>NSE:WILLAMAGOR</v>
      </c>
      <c r="C1928" s="12">
        <f>IFERROR(__xludf.DUMMYFUNCTION("GOOGLEFINANCE(B1928,""marketcap"")/10000000"),38.0295245)</f>
        <v>38.0295245</v>
      </c>
      <c r="D1928" s="13">
        <f>IFERROR(__xludf.DUMMYFUNCTION("GOOGLEFINANCE(B1928,""price"")"),34.71)</f>
        <v>34.71</v>
      </c>
      <c r="E1928" s="14">
        <f>IFERROR(__xludf.DUMMYFUNCTION("GOOGLEFINANCE(B1928,""Volume"")"),1067.0)</f>
        <v>1067</v>
      </c>
      <c r="F1928" s="14">
        <f t="array" ref="F1928">F1927</f>
        <v>14</v>
      </c>
      <c r="G1928" s="15" t="str">
        <f>IFERROR(__xludf.DUMMYFUNCTION("IF(E1928&gt;AVERAGE(INDEX(GOOGLEFINANCE(B1928,""volume"",WORKDAY(TODAY(),-$F$1),TODAY()),,2)),""Breakout"","""")"),"")</f>
        <v/>
      </c>
      <c r="H1928" s="16">
        <f>IFERROR(__xludf.DUMMYFUNCTION("GOOGLEFINANCE(B1928,""price"")"),34.71)</f>
        <v>34.71</v>
      </c>
      <c r="I1928" s="17">
        <f>IFERROR(__xludf.DUMMYFUNCTION("AVERAGE(QUERY(SORT(GOOGLEFINANCE(B1928,""price"",TODAY()-365,TODAY()),1,0),""select Col2 limit 10""))"),34.898999999999994)</f>
        <v>34.899</v>
      </c>
      <c r="J1928" s="17">
        <f>IFERROR(__xludf.DUMMYFUNCTION("AVERAGE(QUERY(SORT(GOOGLEFINANCE(B1928,""price"",TODAY()-365,TODAY()),1,0),""select Col2 limit 30""))"),34.733666666666664)</f>
        <v>34.73366667</v>
      </c>
      <c r="K1928" s="18">
        <f>IFERROR(__xludf.DUMMYFUNCTION("AVERAGE(QUERY(SORT(GOOGLEFINANCE(B1928,""price"",TODAY()-365,TODAY()),1,0),""select Col2 limit 60""))"),32.99116666666667)</f>
        <v>32.99116667</v>
      </c>
      <c r="L1928" s="17">
        <f>IFERROR(__xludf.DUMMYFUNCTION("AVERAGE(QUERY(SORT(GOOGLEFINANCE(B1928,""price"",TODAY()-365,TODAY()),1,0),""select Col2 limit 90""))"),31.841666666666658)</f>
        <v>31.84166667</v>
      </c>
      <c r="M1928" s="17">
        <f>IFERROR(__xludf.DUMMYFUNCTION("AVERAGE(QUERY(SORT(GOOGLEFINANCE(B1928,""price"",TODAY()-365,TODAY()),1,0),""select Col2 limit 120""))"),31.57633333333332)</f>
        <v>31.57633333</v>
      </c>
      <c r="N1928" s="19">
        <f>IFERROR(__xludf.DUMMYFUNCTION("AVERAGE(QUERY(SORT(GOOGLEFINANCE(B1928,""price"",TODAY()-365,TODAY()),1,0),""select Col2 limit 200""))"),33.88469999999999)</f>
        <v>33.8847</v>
      </c>
      <c r="O1928" s="20" t="str">
        <f t="shared" si="2"/>
        <v>Avoid</v>
      </c>
      <c r="P1928" s="21" t="str">
        <f t="shared" si="3"/>
        <v>10 DMA</v>
      </c>
      <c r="Q1928" s="21" t="str">
        <f t="shared" si="4"/>
        <v/>
      </c>
      <c r="R1928" s="22" t="str">
        <f>IFERROR(__xludf.DUMMYFUNCTION("GOOGLEFINANCE(B1928, ""pe"")
"),"#N/A")</f>
        <v>#N/A</v>
      </c>
    </row>
    <row r="1929">
      <c r="A1929" s="9" t="s">
        <v>1937</v>
      </c>
      <c r="B1929" s="11" t="str">
        <f t="shared" si="1"/>
        <v>NSE:CYBERMEDIA</v>
      </c>
      <c r="C1929" s="12">
        <f>IFERROR(__xludf.DUMMYFUNCTION("GOOGLEFINANCE(B1929,""marketcap"")/10000000"),29.5640831)</f>
        <v>29.5640831</v>
      </c>
      <c r="D1929" s="13">
        <f>IFERROR(__xludf.DUMMYFUNCTION("GOOGLEFINANCE(B1929,""price"")"),18.77)</f>
        <v>18.77</v>
      </c>
      <c r="E1929" s="14">
        <f>IFERROR(__xludf.DUMMYFUNCTION("GOOGLEFINANCE(B1929,""Volume"")"),27427.0)</f>
        <v>27427</v>
      </c>
      <c r="F1929" s="14">
        <f t="array" ref="F1929">F1928</f>
        <v>14</v>
      </c>
      <c r="G1929" s="15" t="str">
        <f>IFERROR(__xludf.DUMMYFUNCTION("IF(E1929&gt;AVERAGE(INDEX(GOOGLEFINANCE(B1929,""volume"",WORKDAY(TODAY(),-$F$1),TODAY()),,2)),""Breakout"","""")"),"Breakout")</f>
        <v>Breakout</v>
      </c>
      <c r="H1929" s="16">
        <f>IFERROR(__xludf.DUMMYFUNCTION("GOOGLEFINANCE(B1929,""price"")"),18.77)</f>
        <v>18.77</v>
      </c>
      <c r="I1929" s="17">
        <f>IFERROR(__xludf.DUMMYFUNCTION("AVERAGE(QUERY(SORT(GOOGLEFINANCE(B1929,""price"",TODAY()-365,TODAY()),1,0),""select Col2 limit 10""))"),18.149)</f>
        <v>18.149</v>
      </c>
      <c r="J1929" s="17">
        <f>IFERROR(__xludf.DUMMYFUNCTION("AVERAGE(QUERY(SORT(GOOGLEFINANCE(B1929,""price"",TODAY()-365,TODAY()),1,0),""select Col2 limit 30""))"),17.844333333333335)</f>
        <v>17.84433333</v>
      </c>
      <c r="K1929" s="18">
        <f>IFERROR(__xludf.DUMMYFUNCTION("AVERAGE(QUERY(SORT(GOOGLEFINANCE(B1929,""price"",TODAY()-365,TODAY()),1,0),""select Col2 limit 60""))"),16.302000000000003)</f>
        <v>16.302</v>
      </c>
      <c r="L1929" s="17">
        <f>IFERROR(__xludf.DUMMYFUNCTION("AVERAGE(QUERY(SORT(GOOGLEFINANCE(B1929,""price"",TODAY()-365,TODAY()),1,0),""select Col2 limit 90""))"),15.587444444444449)</f>
        <v>15.58744444</v>
      </c>
      <c r="M1929" s="17">
        <f>IFERROR(__xludf.DUMMYFUNCTION("AVERAGE(QUERY(SORT(GOOGLEFINANCE(B1929,""price"",TODAY()-365,TODAY()),1,0),""select Col2 limit 120""))"),16.55658333333334)</f>
        <v>16.55658333</v>
      </c>
      <c r="N1929" s="19">
        <f>IFERROR(__xludf.DUMMYFUNCTION("AVERAGE(QUERY(SORT(GOOGLEFINANCE(B1929,""price"",TODAY()-365,TODAY()),1,0),""select Col2 limit 200""))"),20.559200000000015)</f>
        <v>20.5592</v>
      </c>
      <c r="O1929" s="20" t="str">
        <f t="shared" si="2"/>
        <v>Buy Above 200 DMA</v>
      </c>
      <c r="P1929" s="21" t="str">
        <f t="shared" si="3"/>
        <v/>
      </c>
      <c r="Q1929" s="21" t="str">
        <f t="shared" si="4"/>
        <v/>
      </c>
      <c r="R1929" s="22" t="str">
        <f>IFERROR(__xludf.DUMMYFUNCTION("GOOGLEFINANCE(B1929, ""pe"")
"),"#N/A")</f>
        <v>#N/A</v>
      </c>
    </row>
    <row r="1930">
      <c r="A1930" s="9" t="s">
        <v>1938</v>
      </c>
      <c r="B1930" s="11" t="str">
        <f t="shared" si="1"/>
        <v>NSE:MOHITIND</v>
      </c>
      <c r="C1930" s="12">
        <f>IFERROR(__xludf.DUMMYFUNCTION("GOOGLEFINANCE(B1930,""marketcap"")/10000000"),44.1574615)</f>
        <v>44.1574615</v>
      </c>
      <c r="D1930" s="13">
        <f>IFERROR(__xludf.DUMMYFUNCTION("GOOGLEFINANCE(B1930,""price"")"),31.19)</f>
        <v>31.19</v>
      </c>
      <c r="E1930" s="14">
        <f>IFERROR(__xludf.DUMMYFUNCTION("GOOGLEFINANCE(B1930,""Volume"")"),1570.0)</f>
        <v>1570</v>
      </c>
      <c r="F1930" s="14">
        <f t="array" ref="F1930">F1929</f>
        <v>14</v>
      </c>
      <c r="G1930" s="15" t="str">
        <f>IFERROR(__xludf.DUMMYFUNCTION("IF(E1930&gt;AVERAGE(INDEX(GOOGLEFINANCE(B1930,""volume"",WORKDAY(TODAY(),-$F$1),TODAY()),,2)),""Breakout"","""")"),"")</f>
        <v/>
      </c>
      <c r="H1930" s="16">
        <f>IFERROR(__xludf.DUMMYFUNCTION("GOOGLEFINANCE(B1930,""price"")"),31.19)</f>
        <v>31.19</v>
      </c>
      <c r="I1930" s="17">
        <f>IFERROR(__xludf.DUMMYFUNCTION("AVERAGE(QUERY(SORT(GOOGLEFINANCE(B1930,""price"",TODAY()-365,TODAY()),1,0),""select Col2 limit 10""))"),31.732999999999997)</f>
        <v>31.733</v>
      </c>
      <c r="J1930" s="17">
        <f>IFERROR(__xludf.DUMMYFUNCTION("AVERAGE(QUERY(SORT(GOOGLEFINANCE(B1930,""price"",TODAY()-365,TODAY()),1,0),""select Col2 limit 30""))"),30.612333333333332)</f>
        <v>30.61233333</v>
      </c>
      <c r="K1930" s="18">
        <f>IFERROR(__xludf.DUMMYFUNCTION("AVERAGE(QUERY(SORT(GOOGLEFINANCE(B1930,""price"",TODAY()-365,TODAY()),1,0),""select Col2 limit 60""))"),30.862333333333336)</f>
        <v>30.86233333</v>
      </c>
      <c r="L1930" s="17">
        <f>IFERROR(__xludf.DUMMYFUNCTION("AVERAGE(QUERY(SORT(GOOGLEFINANCE(B1930,""price"",TODAY()-365,TODAY()),1,0),""select Col2 limit 90""))"),30.073666666666668)</f>
        <v>30.07366667</v>
      </c>
      <c r="M1930" s="17">
        <f>IFERROR(__xludf.DUMMYFUNCTION("AVERAGE(QUERY(SORT(GOOGLEFINANCE(B1930,""price"",TODAY()-365,TODAY()),1,0),""select Col2 limit 120""))"),29.783666666666665)</f>
        <v>29.78366667</v>
      </c>
      <c r="N1930" s="19">
        <f>IFERROR(__xludf.DUMMYFUNCTION("AVERAGE(QUERY(SORT(GOOGLEFINANCE(B1930,""price"",TODAY()-365,TODAY()),1,0),""select Col2 limit 200""))"),31.25225)</f>
        <v>31.25225</v>
      </c>
      <c r="O1930" s="20" t="str">
        <f t="shared" si="2"/>
        <v>Avoid</v>
      </c>
      <c r="P1930" s="21" t="str">
        <f t="shared" si="3"/>
        <v>200 DMA</v>
      </c>
      <c r="Q1930" s="21" t="str">
        <f t="shared" si="4"/>
        <v/>
      </c>
      <c r="R1930" s="22" t="str">
        <f>IFERROR(__xludf.DUMMYFUNCTION("GOOGLEFINANCE(B1930, ""pe"")
"),"#N/A")</f>
        <v>#N/A</v>
      </c>
    </row>
    <row r="1931">
      <c r="A1931" s="9" t="s">
        <v>1939</v>
      </c>
      <c r="B1931" s="11" t="str">
        <f t="shared" si="1"/>
        <v>NSE:VIJIFIN</v>
      </c>
      <c r="C1931" s="12">
        <f>IFERROR(__xludf.DUMMYFUNCTION("GOOGLEFINANCE(B1931,""marketcap"")/10000000"),53.2950001)</f>
        <v>53.2950001</v>
      </c>
      <c r="D1931" s="13">
        <f>IFERROR(__xludf.DUMMYFUNCTION("GOOGLEFINANCE(B1931,""price"")"),3.74)</f>
        <v>3.74</v>
      </c>
      <c r="E1931" s="14">
        <f>IFERROR(__xludf.DUMMYFUNCTION("GOOGLEFINANCE(B1931,""Volume"")"),119302.0)</f>
        <v>119302</v>
      </c>
      <c r="F1931" s="14">
        <f t="array" ref="F1931">F1930</f>
        <v>14</v>
      </c>
      <c r="G1931" s="15" t="str">
        <f>IFERROR(__xludf.DUMMYFUNCTION("IF(E1931&gt;AVERAGE(INDEX(GOOGLEFINANCE(B1931,""volume"",WORKDAY(TODAY(),-$F$1),TODAY()),,2)),""Breakout"","""")"),"")</f>
        <v/>
      </c>
      <c r="H1931" s="16">
        <f>IFERROR(__xludf.DUMMYFUNCTION("GOOGLEFINANCE(B1931,""price"")"),3.74)</f>
        <v>3.74</v>
      </c>
      <c r="I1931" s="17">
        <f>IFERROR(__xludf.DUMMYFUNCTION("AVERAGE(QUERY(SORT(GOOGLEFINANCE(B1931,""price"",TODAY()-365,TODAY()),1,0),""select Col2 limit 10""))"),3.575)</f>
        <v>3.575</v>
      </c>
      <c r="J1931" s="17">
        <f>IFERROR(__xludf.DUMMYFUNCTION("AVERAGE(QUERY(SORT(GOOGLEFINANCE(B1931,""price"",TODAY()-365,TODAY()),1,0),""select Col2 limit 30""))"),2.733)</f>
        <v>2.733</v>
      </c>
      <c r="K1931" s="18">
        <f>IFERROR(__xludf.DUMMYFUNCTION("AVERAGE(QUERY(SORT(GOOGLEFINANCE(B1931,""price"",TODAY()-365,TODAY()),1,0),""select Col2 limit 60""))"),2.514)</f>
        <v>2.514</v>
      </c>
      <c r="L1931" s="17">
        <f>IFERROR(__xludf.DUMMYFUNCTION("AVERAGE(QUERY(SORT(GOOGLEFINANCE(B1931,""price"",TODAY()-365,TODAY()),1,0),""select Col2 limit 90""))"),2.4674444444444443)</f>
        <v>2.467444444</v>
      </c>
      <c r="M1931" s="17">
        <f>IFERROR(__xludf.DUMMYFUNCTION("AVERAGE(QUERY(SORT(GOOGLEFINANCE(B1931,""price"",TODAY()-365,TODAY()),1,0),""select Col2 limit 120""))"),2.4934166666666657)</f>
        <v>2.493416667</v>
      </c>
      <c r="N1931" s="19">
        <f>IFERROR(__xludf.DUMMYFUNCTION("AVERAGE(QUERY(SORT(GOOGLEFINANCE(B1931,""price"",TODAY()-365,TODAY()),1,0),""select Col2 limit 200""))"),2.763900000000001)</f>
        <v>2.7639</v>
      </c>
      <c r="O1931" s="20" t="str">
        <f t="shared" si="2"/>
        <v>Avoid</v>
      </c>
      <c r="P1931" s="21" t="str">
        <f t="shared" si="3"/>
        <v/>
      </c>
      <c r="Q1931" s="21" t="str">
        <f t="shared" si="4"/>
        <v/>
      </c>
      <c r="R1931" s="22">
        <f>IFERROR(__xludf.DUMMYFUNCTION("GOOGLEFINANCE(B1931, ""pe"")
"),374.0)</f>
        <v>374</v>
      </c>
    </row>
    <row r="1932">
      <c r="A1932" s="9" t="s">
        <v>1940</v>
      </c>
      <c r="B1932" s="11" t="str">
        <f t="shared" si="1"/>
        <v>NSE:TVVISION</v>
      </c>
      <c r="C1932" s="12">
        <f>IFERROR(__xludf.DUMMYFUNCTION("GOOGLEFINANCE(B1932,""marketcap"")/10000000"),25.8041511)</f>
        <v>25.8041511</v>
      </c>
      <c r="D1932" s="13">
        <f>IFERROR(__xludf.DUMMYFUNCTION("GOOGLEFINANCE(B1932,""price"")"),7.07)</f>
        <v>7.07</v>
      </c>
      <c r="E1932" s="14">
        <f>IFERROR(__xludf.DUMMYFUNCTION("GOOGLEFINANCE(B1932,""Volume"")"),21678.0)</f>
        <v>21678</v>
      </c>
      <c r="F1932" s="14">
        <f t="array" ref="F1932">F1931</f>
        <v>14</v>
      </c>
      <c r="G1932" s="15" t="str">
        <f>IFERROR(__xludf.DUMMYFUNCTION("IF(E1932&gt;AVERAGE(INDEX(GOOGLEFINANCE(B1932,""volume"",WORKDAY(TODAY(),-$F$1),TODAY()),,2)),""Breakout"","""")"),"")</f>
        <v/>
      </c>
      <c r="H1932" s="16">
        <f>IFERROR(__xludf.DUMMYFUNCTION("GOOGLEFINANCE(B1932,""price"")"),7.07)</f>
        <v>7.07</v>
      </c>
      <c r="I1932" s="17">
        <f>IFERROR(__xludf.DUMMYFUNCTION("AVERAGE(QUERY(SORT(GOOGLEFINANCE(B1932,""price"",TODAY()-365,TODAY()),1,0),""select Col2 limit 10""))"),7.896000000000001)</f>
        <v>7.896</v>
      </c>
      <c r="J1932" s="17">
        <f>IFERROR(__xludf.DUMMYFUNCTION("AVERAGE(QUERY(SORT(GOOGLEFINANCE(B1932,""price"",TODAY()-365,TODAY()),1,0),""select Col2 limit 30""))"),7.612666666666667)</f>
        <v>7.612666667</v>
      </c>
      <c r="K1932" s="18">
        <f>IFERROR(__xludf.DUMMYFUNCTION("AVERAGE(QUERY(SORT(GOOGLEFINANCE(B1932,""price"",TODAY()-365,TODAY()),1,0),""select Col2 limit 60""))"),7.529833333333331)</f>
        <v>7.529833333</v>
      </c>
      <c r="L1932" s="17">
        <f>IFERROR(__xludf.DUMMYFUNCTION("AVERAGE(QUERY(SORT(GOOGLEFINANCE(B1932,""price"",TODAY()-365,TODAY()),1,0),""select Col2 limit 90""))"),6.832111111111105)</f>
        <v>6.832111111</v>
      </c>
      <c r="M1932" s="17">
        <f>IFERROR(__xludf.DUMMYFUNCTION("AVERAGE(QUERY(SORT(GOOGLEFINANCE(B1932,""price"",TODAY()-365,TODAY()),1,0),""select Col2 limit 120""))"),6.295083333333328)</f>
        <v>6.295083333</v>
      </c>
      <c r="N1932" s="19">
        <f>IFERROR(__xludf.DUMMYFUNCTION("AVERAGE(QUERY(SORT(GOOGLEFINANCE(B1932,""price"",TODAY()-365,TODAY()),1,0),""select Col2 limit 200""))"),11.649400000000007)</f>
        <v>11.6494</v>
      </c>
      <c r="O1932" s="20" t="str">
        <f t="shared" si="2"/>
        <v>Avoid</v>
      </c>
      <c r="P1932" s="21" t="str">
        <f t="shared" si="3"/>
        <v/>
      </c>
      <c r="Q1932" s="21" t="str">
        <f t="shared" si="4"/>
        <v/>
      </c>
      <c r="R1932" s="22" t="str">
        <f>IFERROR(__xludf.DUMMYFUNCTION("GOOGLEFINANCE(B1932, ""pe"")
"),"#N/A")</f>
        <v>#N/A</v>
      </c>
    </row>
    <row r="1933">
      <c r="A1933" s="9" t="s">
        <v>1941</v>
      </c>
      <c r="B1933" s="11" t="str">
        <f t="shared" si="1"/>
        <v>NSE:SUULD</v>
      </c>
      <c r="C1933" s="12">
        <f>IFERROR(__xludf.DUMMYFUNCTION("GOOGLEFINANCE(B1933,""marketcap"")/10000000"),15.017634)</f>
        <v>15.017634</v>
      </c>
      <c r="D1933" s="13">
        <f>IFERROR(__xludf.DUMMYFUNCTION("GOOGLEFINANCE(B1933,""price"")"),2.23)</f>
        <v>2.23</v>
      </c>
      <c r="E1933" s="14">
        <f>IFERROR(__xludf.DUMMYFUNCTION("GOOGLEFINANCE(B1933,""Volume"")"),72590.0)</f>
        <v>72590</v>
      </c>
      <c r="F1933" s="14">
        <f t="array" ref="F1933">F1932</f>
        <v>14</v>
      </c>
      <c r="G1933" s="15" t="str">
        <f>IFERROR(__xludf.DUMMYFUNCTION("IF(E1933&gt;AVERAGE(INDEX(GOOGLEFINANCE(B1933,""volume"",WORKDAY(TODAY(),-$F$1),TODAY()),,2)),""Breakout"","""")"),"")</f>
        <v/>
      </c>
      <c r="H1933" s="16">
        <f>IFERROR(__xludf.DUMMYFUNCTION("GOOGLEFINANCE(B1933,""price"")"),2.23)</f>
        <v>2.23</v>
      </c>
      <c r="I1933" s="17">
        <f>IFERROR(__xludf.DUMMYFUNCTION("AVERAGE(QUERY(SORT(GOOGLEFINANCE(B1933,""price"",TODAY()-365,TODAY()),1,0),""select Col2 limit 10""))"),2.809)</f>
        <v>2.809</v>
      </c>
      <c r="J1933" s="17">
        <f>IFERROR(__xludf.DUMMYFUNCTION("AVERAGE(QUERY(SORT(GOOGLEFINANCE(B1933,""price"",TODAY()-365,TODAY()),1,0),""select Col2 limit 30""))"),3.0176666666666656)</f>
        <v>3.017666667</v>
      </c>
      <c r="K1933" s="18">
        <f>IFERROR(__xludf.DUMMYFUNCTION("AVERAGE(QUERY(SORT(GOOGLEFINANCE(B1933,""price"",TODAY()-365,TODAY()),1,0),""select Col2 limit 60""))"),2.786666666666666)</f>
        <v>2.786666667</v>
      </c>
      <c r="L1933" s="17">
        <f>IFERROR(__xludf.DUMMYFUNCTION("AVERAGE(QUERY(SORT(GOOGLEFINANCE(B1933,""price"",TODAY()-365,TODAY()),1,0),""select Col2 limit 90""))"),2.832)</f>
        <v>2.832</v>
      </c>
      <c r="M1933" s="17">
        <f>IFERROR(__xludf.DUMMYFUNCTION("AVERAGE(QUERY(SORT(GOOGLEFINANCE(B1933,""price"",TODAY()-365,TODAY()),1,0),""select Col2 limit 120""))"),3.087416666666665)</f>
        <v>3.087416667</v>
      </c>
      <c r="N1933" s="19">
        <f>IFERROR(__xludf.DUMMYFUNCTION("AVERAGE(QUERY(SORT(GOOGLEFINANCE(B1933,""price"",TODAY()-365,TODAY()),1,0),""select Col2 limit 200""))"),3.714599999999997)</f>
        <v>3.7146</v>
      </c>
      <c r="O1933" s="20" t="str">
        <f t="shared" si="2"/>
        <v>Avoid</v>
      </c>
      <c r="P1933" s="21" t="str">
        <f t="shared" si="3"/>
        <v/>
      </c>
      <c r="Q1933" s="21" t="str">
        <f t="shared" si="4"/>
        <v/>
      </c>
      <c r="R1933" s="22" t="str">
        <f>IFERROR(__xludf.DUMMYFUNCTION("GOOGLEFINANCE(B1933, ""pe"")
"),"#N/A")</f>
        <v>#N/A</v>
      </c>
    </row>
    <row r="1934">
      <c r="A1934" s="9" t="s">
        <v>1942</v>
      </c>
      <c r="B1934" s="11" t="str">
        <f t="shared" si="1"/>
        <v>NSE:KRIDHANINF</v>
      </c>
      <c r="C1934" s="12">
        <f>IFERROR(__xludf.DUMMYFUNCTION("GOOGLEFINANCE(B1934,""marketcap"")/10000000"),41.2334261)</f>
        <v>41.2334261</v>
      </c>
      <c r="D1934" s="13">
        <f>IFERROR(__xludf.DUMMYFUNCTION("GOOGLEFINANCE(B1934,""price"")"),4.42)</f>
        <v>4.42</v>
      </c>
      <c r="E1934" s="14">
        <f>IFERROR(__xludf.DUMMYFUNCTION("GOOGLEFINANCE(B1934,""Volume"")"),5380.0)</f>
        <v>5380</v>
      </c>
      <c r="F1934" s="14">
        <f t="array" ref="F1934">F1933</f>
        <v>14</v>
      </c>
      <c r="G1934" s="15" t="str">
        <f>IFERROR(__xludf.DUMMYFUNCTION("IF(E1934&gt;AVERAGE(INDEX(GOOGLEFINANCE(B1934,""volume"",WORKDAY(TODAY(),-$F$1),TODAY()),,2)),""Breakout"","""")"),"")</f>
        <v/>
      </c>
      <c r="H1934" s="16">
        <f>IFERROR(__xludf.DUMMYFUNCTION("GOOGLEFINANCE(B1934,""price"")"),4.42)</f>
        <v>4.42</v>
      </c>
      <c r="I1934" s="17">
        <f>IFERROR(__xludf.DUMMYFUNCTION("AVERAGE(QUERY(SORT(GOOGLEFINANCE(B1934,""price"",TODAY()-365,TODAY()),1,0),""select Col2 limit 10""))"),4.646)</f>
        <v>4.646</v>
      </c>
      <c r="J1934" s="17">
        <f>IFERROR(__xludf.DUMMYFUNCTION("AVERAGE(QUERY(SORT(GOOGLEFINANCE(B1934,""price"",TODAY()-365,TODAY()),1,0),""select Col2 limit 30""))"),4.6339999999999995)</f>
        <v>4.634</v>
      </c>
      <c r="K1934" s="18">
        <f>IFERROR(__xludf.DUMMYFUNCTION("AVERAGE(QUERY(SORT(GOOGLEFINANCE(B1934,""price"",TODAY()-365,TODAY()),1,0),""select Col2 limit 60""))"),4.374)</f>
        <v>4.374</v>
      </c>
      <c r="L1934" s="17">
        <f>IFERROR(__xludf.DUMMYFUNCTION("AVERAGE(QUERY(SORT(GOOGLEFINANCE(B1934,""price"",TODAY()-365,TODAY()),1,0),""select Col2 limit 90""))"),4.179333333333333)</f>
        <v>4.179333333</v>
      </c>
      <c r="M1934" s="17">
        <f>IFERROR(__xludf.DUMMYFUNCTION("AVERAGE(QUERY(SORT(GOOGLEFINANCE(B1934,""price"",TODAY()-365,TODAY()),1,0),""select Col2 limit 120""))"),4.156833333333334)</f>
        <v>4.156833333</v>
      </c>
      <c r="N1934" s="19">
        <f>IFERROR(__xludf.DUMMYFUNCTION("AVERAGE(QUERY(SORT(GOOGLEFINANCE(B1934,""price"",TODAY()-365,TODAY()),1,0),""select Col2 limit 200""))"),4.5276000000000005)</f>
        <v>4.5276</v>
      </c>
      <c r="O1934" s="20" t="str">
        <f t="shared" si="2"/>
        <v>Avoid</v>
      </c>
      <c r="P1934" s="21" t="str">
        <f t="shared" si="3"/>
        <v/>
      </c>
      <c r="Q1934" s="21" t="str">
        <f t="shared" si="4"/>
        <v/>
      </c>
      <c r="R1934" s="22">
        <f>IFERROR(__xludf.DUMMYFUNCTION("GOOGLEFINANCE(B1934, ""pe"")
"),0.58)</f>
        <v>0.58</v>
      </c>
    </row>
    <row r="1935">
      <c r="A1935" s="9" t="s">
        <v>1943</v>
      </c>
      <c r="B1935" s="11" t="str">
        <f t="shared" si="1"/>
        <v>NSE:FMNL</v>
      </c>
      <c r="C1935" s="12">
        <f>IFERROR(__xludf.DUMMYFUNCTION("GOOGLEFINANCE(B1935,""marketcap"")/10000000"),81.6273357)</f>
        <v>81.6273357</v>
      </c>
      <c r="D1935" s="13">
        <f>IFERROR(__xludf.DUMMYFUNCTION("GOOGLEFINANCE(B1935,""price"")"),13.4)</f>
        <v>13.4</v>
      </c>
      <c r="E1935" s="14">
        <f>IFERROR(__xludf.DUMMYFUNCTION("GOOGLEFINANCE(B1935,""Volume"")"),9873.0)</f>
        <v>9873</v>
      </c>
      <c r="F1935" s="14">
        <f t="array" ref="F1935">F1934</f>
        <v>14</v>
      </c>
      <c r="G1935" s="15" t="str">
        <f>IFERROR(__xludf.DUMMYFUNCTION("IF(E1935&gt;AVERAGE(INDEX(GOOGLEFINANCE(B1935,""volume"",WORKDAY(TODAY(),-$F$1),TODAY()),,2)),""Breakout"","""")"),"")</f>
        <v/>
      </c>
      <c r="H1935" s="16">
        <f>IFERROR(__xludf.DUMMYFUNCTION("GOOGLEFINANCE(B1935,""price"")"),13.4)</f>
        <v>13.4</v>
      </c>
      <c r="I1935" s="17">
        <f>IFERROR(__xludf.DUMMYFUNCTION("AVERAGE(QUERY(SORT(GOOGLEFINANCE(B1935,""price"",TODAY()-365,TODAY()),1,0),""select Col2 limit 10""))"),15.391000000000002)</f>
        <v>15.391</v>
      </c>
      <c r="J1935" s="17">
        <f>IFERROR(__xludf.DUMMYFUNCTION("AVERAGE(QUERY(SORT(GOOGLEFINANCE(B1935,""price"",TODAY()-365,TODAY()),1,0),""select Col2 limit 30""))"),16.08233333333333)</f>
        <v>16.08233333</v>
      </c>
      <c r="K1935" s="18">
        <f>IFERROR(__xludf.DUMMYFUNCTION("AVERAGE(QUERY(SORT(GOOGLEFINANCE(B1935,""price"",TODAY()-365,TODAY()),1,0),""select Col2 limit 60""))"),15.512666666666666)</f>
        <v>15.51266667</v>
      </c>
      <c r="L1935" s="17">
        <f>IFERROR(__xludf.DUMMYFUNCTION("AVERAGE(QUERY(SORT(GOOGLEFINANCE(B1935,""price"",TODAY()-365,TODAY()),1,0),""select Col2 limit 90""))"),15.546)</f>
        <v>15.546</v>
      </c>
      <c r="M1935" s="17">
        <f>IFERROR(__xludf.DUMMYFUNCTION("AVERAGE(QUERY(SORT(GOOGLEFINANCE(B1935,""price"",TODAY()-365,TODAY()),1,0),""select Col2 limit 120""))"),16.523083333333332)</f>
        <v>16.52308333</v>
      </c>
      <c r="N1935" s="19">
        <f>IFERROR(__xludf.DUMMYFUNCTION("AVERAGE(QUERY(SORT(GOOGLEFINANCE(B1935,""price"",TODAY()-365,TODAY()),1,0),""select Col2 limit 200""))"),17.503200000000003)</f>
        <v>17.5032</v>
      </c>
      <c r="O1935" s="20" t="str">
        <f t="shared" si="2"/>
        <v>Avoid</v>
      </c>
      <c r="P1935" s="21" t="str">
        <f t="shared" si="3"/>
        <v/>
      </c>
      <c r="Q1935" s="21" t="str">
        <f t="shared" si="4"/>
        <v/>
      </c>
      <c r="R1935" s="22">
        <f>IFERROR(__xludf.DUMMYFUNCTION("GOOGLEFINANCE(B1935, ""pe"")
"),1.21)</f>
        <v>1.21</v>
      </c>
    </row>
    <row r="1936">
      <c r="A1936" s="9" t="s">
        <v>1944</v>
      </c>
      <c r="B1936" s="11" t="str">
        <f t="shared" si="1"/>
        <v>NSE:KHAITANLTD</v>
      </c>
      <c r="C1936" s="12">
        <f>IFERROR(__xludf.DUMMYFUNCTION("GOOGLEFINANCE(B1936,""marketcap"")/10000000"),60.3107505)</f>
        <v>60.3107505</v>
      </c>
      <c r="D1936" s="13">
        <f>IFERROR(__xludf.DUMMYFUNCTION("GOOGLEFINANCE(B1936,""price"")"),126.97)</f>
        <v>126.97</v>
      </c>
      <c r="E1936" s="14">
        <f>IFERROR(__xludf.DUMMYFUNCTION("GOOGLEFINANCE(B1936,""Volume"")"),2050.0)</f>
        <v>2050</v>
      </c>
      <c r="F1936" s="14">
        <f t="array" ref="F1936">F1935</f>
        <v>14</v>
      </c>
      <c r="G1936" s="15" t="str">
        <f>IFERROR(__xludf.DUMMYFUNCTION("IF(E1936&gt;AVERAGE(INDEX(GOOGLEFINANCE(B1936,""volume"",WORKDAY(TODAY(),-$F$1),TODAY()),,2)),""Breakout"","""")"),"")</f>
        <v/>
      </c>
      <c r="H1936" s="16">
        <f>IFERROR(__xludf.DUMMYFUNCTION("GOOGLEFINANCE(B1936,""price"")"),126.97)</f>
        <v>126.97</v>
      </c>
      <c r="I1936" s="17">
        <f>IFERROR(__xludf.DUMMYFUNCTION("AVERAGE(QUERY(SORT(GOOGLEFINANCE(B1936,""price"",TODAY()-365,TODAY()),1,0),""select Col2 limit 10""))"),123.769)</f>
        <v>123.769</v>
      </c>
      <c r="J1936" s="17">
        <f>IFERROR(__xludf.DUMMYFUNCTION("AVERAGE(QUERY(SORT(GOOGLEFINANCE(B1936,""price"",TODAY()-365,TODAY()),1,0),""select Col2 limit 30""))"),122.57766666666666)</f>
        <v>122.5776667</v>
      </c>
      <c r="K1936" s="18">
        <f>IFERROR(__xludf.DUMMYFUNCTION("AVERAGE(QUERY(SORT(GOOGLEFINANCE(B1936,""price"",TODAY()-365,TODAY()),1,0),""select Col2 limit 60""))"),120.78533333333333)</f>
        <v>120.7853333</v>
      </c>
      <c r="L1936" s="17">
        <f>IFERROR(__xludf.DUMMYFUNCTION("AVERAGE(QUERY(SORT(GOOGLEFINANCE(B1936,""price"",TODAY()-365,TODAY()),1,0),""select Col2 limit 90""))"),109.60677777777775)</f>
        <v>109.6067778</v>
      </c>
      <c r="M1936" s="17">
        <f>IFERROR(__xludf.DUMMYFUNCTION("AVERAGE(QUERY(SORT(GOOGLEFINANCE(B1936,""price"",TODAY()-365,TODAY()),1,0),""select Col2 limit 120""))"),104.28291666666662)</f>
        <v>104.2829167</v>
      </c>
      <c r="N1936" s="19">
        <f>IFERROR(__xludf.DUMMYFUNCTION("AVERAGE(QUERY(SORT(GOOGLEFINANCE(B1936,""price"",TODAY()-365,TODAY()),1,0),""select Col2 limit 200""))"),98.87730000000002)</f>
        <v>98.8773</v>
      </c>
      <c r="O1936" s="20" t="str">
        <f t="shared" si="2"/>
        <v>Avoid</v>
      </c>
      <c r="P1936" s="21" t="str">
        <f t="shared" si="3"/>
        <v/>
      </c>
      <c r="Q1936" s="21" t="str">
        <f t="shared" si="4"/>
        <v/>
      </c>
      <c r="R1936" s="22">
        <f>IFERROR(__xludf.DUMMYFUNCTION("GOOGLEFINANCE(B1936, ""pe"")
"),9.34)</f>
        <v>9.34</v>
      </c>
    </row>
    <row r="1937">
      <c r="A1937" s="9" t="s">
        <v>1945</v>
      </c>
      <c r="B1937" s="11" t="str">
        <f t="shared" si="1"/>
        <v>NSE:TECHIN</v>
      </c>
      <c r="C1937" s="12" t="str">
        <f>IFERROR(__xludf.DUMMYFUNCTION("GOOGLEFINANCE(B1937,""marketcap"")/10000000"),"#N/A")</f>
        <v>#N/A</v>
      </c>
      <c r="D1937" s="13" t="str">
        <f>IFERROR(__xludf.DUMMYFUNCTION("GOOGLEFINANCE(B1937,""price"")"),"#N/A")</f>
        <v>#N/A</v>
      </c>
      <c r="E1937" s="14" t="str">
        <f>IFERROR(__xludf.DUMMYFUNCTION("GOOGLEFINANCE(B1937,""Volume"")"),"#N/A")</f>
        <v>#N/A</v>
      </c>
      <c r="F1937" s="14">
        <f t="array" ref="F1937">F1936</f>
        <v>14</v>
      </c>
      <c r="G1937" s="15" t="str">
        <f>IFERROR(__xludf.DUMMYFUNCTION("IF(E1937&gt;AVERAGE(INDEX(GOOGLEFINANCE(B1937,""volume"",WORKDAY(TODAY(),-$F$1),TODAY()),,2)),""Breakout"","""")"),"#N/A")</f>
        <v>#N/A</v>
      </c>
      <c r="H1937" s="16" t="str">
        <f>IFERROR(__xludf.DUMMYFUNCTION("GOOGLEFINANCE(B1937,""price"")"),"#N/A")</f>
        <v>#N/A</v>
      </c>
      <c r="I1937" s="17" t="str">
        <f>IFERROR(__xludf.DUMMYFUNCTION("AVERAGE(QUERY(SORT(GOOGLEFINANCE(B1937,""price"",TODAY()-365,TODAY()),1,0),""select Col2 limit 10""))"),"#N/A")</f>
        <v>#N/A</v>
      </c>
      <c r="J1937" s="17" t="str">
        <f>IFERROR(__xludf.DUMMYFUNCTION("AVERAGE(QUERY(SORT(GOOGLEFINANCE(B1937,""price"",TODAY()-365,TODAY()),1,0),""select Col2 limit 30""))"),"#N/A")</f>
        <v>#N/A</v>
      </c>
      <c r="K1937" s="18" t="str">
        <f>IFERROR(__xludf.DUMMYFUNCTION("AVERAGE(QUERY(SORT(GOOGLEFINANCE(B1937,""price"",TODAY()-365,TODAY()),1,0),""select Col2 limit 60""))"),"#N/A")</f>
        <v>#N/A</v>
      </c>
      <c r="L1937" s="17" t="str">
        <f>IFERROR(__xludf.DUMMYFUNCTION("AVERAGE(QUERY(SORT(GOOGLEFINANCE(B1937,""price"",TODAY()-365,TODAY()),1,0),""select Col2 limit 90""))"),"#N/A")</f>
        <v>#N/A</v>
      </c>
      <c r="M1937" s="17" t="str">
        <f>IFERROR(__xludf.DUMMYFUNCTION("AVERAGE(QUERY(SORT(GOOGLEFINANCE(B1937,""price"",TODAY()-365,TODAY()),1,0),""select Col2 limit 120""))"),"#N/A")</f>
        <v>#N/A</v>
      </c>
      <c r="N1937" s="19" t="str">
        <f>IFERROR(__xludf.DUMMYFUNCTION("AVERAGE(QUERY(SORT(GOOGLEFINANCE(B1937,""price"",TODAY()-365,TODAY()),1,0),""select Col2 limit 200""))"),"#N/A")</f>
        <v>#N/A</v>
      </c>
      <c r="O1937" s="20" t="str">
        <f t="shared" si="2"/>
        <v>#N/A</v>
      </c>
      <c r="P1937" s="21" t="str">
        <f t="shared" si="3"/>
        <v>#N/A</v>
      </c>
      <c r="Q1937" s="21" t="str">
        <f t="shared" si="4"/>
        <v>#N/A</v>
      </c>
      <c r="R1937" s="22" t="str">
        <f>IFERROR(__xludf.DUMMYFUNCTION("GOOGLEFINANCE(B1937, ""pe"")
"),"#N/A")</f>
        <v>#N/A</v>
      </c>
    </row>
    <row r="1938">
      <c r="A1938" s="9" t="s">
        <v>1946</v>
      </c>
      <c r="B1938" s="11" t="str">
        <f t="shared" si="1"/>
        <v>NSE:SECURCRED</v>
      </c>
      <c r="C1938" s="12" t="str">
        <f>IFERROR(__xludf.DUMMYFUNCTION("GOOGLEFINANCE(B1938,""marketcap"")/10000000"),"#N/A")</f>
        <v>#N/A</v>
      </c>
      <c r="D1938" s="13" t="str">
        <f>IFERROR(__xludf.DUMMYFUNCTION("GOOGLEFINANCE(B1938,""price"")"),"#N/A")</f>
        <v>#N/A</v>
      </c>
      <c r="E1938" s="14" t="str">
        <f>IFERROR(__xludf.DUMMYFUNCTION("GOOGLEFINANCE(B1938,""Volume"")"),"#N/A")</f>
        <v>#N/A</v>
      </c>
      <c r="F1938" s="14">
        <f t="array" ref="F1938">F1937</f>
        <v>14</v>
      </c>
      <c r="G1938" s="15" t="str">
        <f>IFERROR(__xludf.DUMMYFUNCTION("IF(E1938&gt;AVERAGE(INDEX(GOOGLEFINANCE(B1938,""volume"",WORKDAY(TODAY(),-$F$1),TODAY()),,2)),""Breakout"","""")"),"#N/A")</f>
        <v>#N/A</v>
      </c>
      <c r="H1938" s="16" t="str">
        <f>IFERROR(__xludf.DUMMYFUNCTION("GOOGLEFINANCE(B1938,""price"")"),"#N/A")</f>
        <v>#N/A</v>
      </c>
      <c r="I1938" s="17" t="str">
        <f>IFERROR(__xludf.DUMMYFUNCTION("AVERAGE(QUERY(SORT(GOOGLEFINANCE(B1938,""price"",TODAY()-365,TODAY()),1,0),""select Col2 limit 10""))"),"#N/A")</f>
        <v>#N/A</v>
      </c>
      <c r="J1938" s="17" t="str">
        <f>IFERROR(__xludf.DUMMYFUNCTION("AVERAGE(QUERY(SORT(GOOGLEFINANCE(B1938,""price"",TODAY()-365,TODAY()),1,0),""select Col2 limit 30""))"),"#N/A")</f>
        <v>#N/A</v>
      </c>
      <c r="K1938" s="18" t="str">
        <f>IFERROR(__xludf.DUMMYFUNCTION("AVERAGE(QUERY(SORT(GOOGLEFINANCE(B1938,""price"",TODAY()-365,TODAY()),1,0),""select Col2 limit 60""))"),"#N/A")</f>
        <v>#N/A</v>
      </c>
      <c r="L1938" s="17" t="str">
        <f>IFERROR(__xludf.DUMMYFUNCTION("AVERAGE(QUERY(SORT(GOOGLEFINANCE(B1938,""price"",TODAY()-365,TODAY()),1,0),""select Col2 limit 90""))"),"#N/A")</f>
        <v>#N/A</v>
      </c>
      <c r="M1938" s="17" t="str">
        <f>IFERROR(__xludf.DUMMYFUNCTION("AVERAGE(QUERY(SORT(GOOGLEFINANCE(B1938,""price"",TODAY()-365,TODAY()),1,0),""select Col2 limit 120""))"),"#N/A")</f>
        <v>#N/A</v>
      </c>
      <c r="N1938" s="19" t="str">
        <f>IFERROR(__xludf.DUMMYFUNCTION("AVERAGE(QUERY(SORT(GOOGLEFINANCE(B1938,""price"",TODAY()-365,TODAY()),1,0),""select Col2 limit 200""))"),"#N/A")</f>
        <v>#N/A</v>
      </c>
      <c r="O1938" s="20" t="str">
        <f t="shared" si="2"/>
        <v>#N/A</v>
      </c>
      <c r="P1938" s="21" t="str">
        <f t="shared" si="3"/>
        <v>#N/A</v>
      </c>
      <c r="Q1938" s="21" t="str">
        <f t="shared" si="4"/>
        <v>#N/A</v>
      </c>
      <c r="R1938" s="22" t="str">
        <f>IFERROR(__xludf.DUMMYFUNCTION("GOOGLEFINANCE(B1938, ""pe"")
"),"#N/A")</f>
        <v>#N/A</v>
      </c>
    </row>
    <row r="1939">
      <c r="A1939" s="9" t="s">
        <v>1947</v>
      </c>
      <c r="B1939" s="11" t="str">
        <f t="shared" si="1"/>
        <v>NSE:NAGREEKCAP</v>
      </c>
      <c r="C1939" s="12">
        <f>IFERROR(__xludf.DUMMYFUNCTION("GOOGLEFINANCE(B1939,""marketcap"")/10000000"),32.9511385)</f>
        <v>32.9511385</v>
      </c>
      <c r="D1939" s="13">
        <f>IFERROR(__xludf.DUMMYFUNCTION("GOOGLEFINANCE(B1939,""price"")"),26.12)</f>
        <v>26.12</v>
      </c>
      <c r="E1939" s="14">
        <f>IFERROR(__xludf.DUMMYFUNCTION("GOOGLEFINANCE(B1939,""Volume"")"),2535.0)</f>
        <v>2535</v>
      </c>
      <c r="F1939" s="14">
        <f t="array" ref="F1939">F1938</f>
        <v>14</v>
      </c>
      <c r="G1939" s="15" t="str">
        <f>IFERROR(__xludf.DUMMYFUNCTION("IF(E1939&gt;AVERAGE(INDEX(GOOGLEFINANCE(B1939,""volume"",WORKDAY(TODAY(),-$F$1),TODAY()),,2)),""Breakout"","""")"),"")</f>
        <v/>
      </c>
      <c r="H1939" s="16">
        <f>IFERROR(__xludf.DUMMYFUNCTION("GOOGLEFINANCE(B1939,""price"")"),26.12)</f>
        <v>26.12</v>
      </c>
      <c r="I1939" s="17">
        <f>IFERROR(__xludf.DUMMYFUNCTION("AVERAGE(QUERY(SORT(GOOGLEFINANCE(B1939,""price"",TODAY()-365,TODAY()),1,0),""select Col2 limit 10""))"),26.526000000000003)</f>
        <v>26.526</v>
      </c>
      <c r="J1939" s="17">
        <f>IFERROR(__xludf.DUMMYFUNCTION("AVERAGE(QUERY(SORT(GOOGLEFINANCE(B1939,""price"",TODAY()-365,TODAY()),1,0),""select Col2 limit 30""))"),26.522666666666662)</f>
        <v>26.52266667</v>
      </c>
      <c r="K1939" s="18">
        <f>IFERROR(__xludf.DUMMYFUNCTION("AVERAGE(QUERY(SORT(GOOGLEFINANCE(B1939,""price"",TODAY()-365,TODAY()),1,0),""select Col2 limit 60""))"),27.22350000000001)</f>
        <v>27.2235</v>
      </c>
      <c r="L1939" s="17">
        <f>IFERROR(__xludf.DUMMYFUNCTION("AVERAGE(QUERY(SORT(GOOGLEFINANCE(B1939,""price"",TODAY()-365,TODAY()),1,0),""select Col2 limit 90""))"),27.04333333333334)</f>
        <v>27.04333333</v>
      </c>
      <c r="M1939" s="17">
        <f>IFERROR(__xludf.DUMMYFUNCTION("AVERAGE(QUERY(SORT(GOOGLEFINANCE(B1939,""price"",TODAY()-365,TODAY()),1,0),""select Col2 limit 120""))"),28.244833333333336)</f>
        <v>28.24483333</v>
      </c>
      <c r="N1939" s="19">
        <f>IFERROR(__xludf.DUMMYFUNCTION("AVERAGE(QUERY(SORT(GOOGLEFINANCE(B1939,""price"",TODAY()-365,TODAY()),1,0),""select Col2 limit 200""))"),30.37570000000002)</f>
        <v>30.3757</v>
      </c>
      <c r="O1939" s="20" t="str">
        <f t="shared" si="2"/>
        <v>Avoid</v>
      </c>
      <c r="P1939" s="21" t="str">
        <f t="shared" si="3"/>
        <v/>
      </c>
      <c r="Q1939" s="21" t="str">
        <f t="shared" si="4"/>
        <v/>
      </c>
      <c r="R1939" s="22">
        <f>IFERROR(__xludf.DUMMYFUNCTION("GOOGLEFINANCE(B1939, ""pe"")
"),1.78)</f>
        <v>1.78</v>
      </c>
    </row>
    <row r="1940">
      <c r="A1940" s="9" t="s">
        <v>1948</v>
      </c>
      <c r="B1940" s="11" t="str">
        <f t="shared" si="1"/>
        <v>NSE:VIVIDHA</v>
      </c>
      <c r="C1940" s="12">
        <f>IFERROR(__xludf.DUMMYFUNCTION("GOOGLEFINANCE(B1940,""marketcap"")/10000000"),24.0014325)</f>
        <v>24.0014325</v>
      </c>
      <c r="D1940" s="13">
        <f>IFERROR(__xludf.DUMMYFUNCTION("GOOGLEFINANCE(B1940,""price"")"),0.82)</f>
        <v>0.82</v>
      </c>
      <c r="E1940" s="14">
        <f>IFERROR(__xludf.DUMMYFUNCTION("GOOGLEFINANCE(B1940,""Volume"")"),70154.0)</f>
        <v>70154</v>
      </c>
      <c r="F1940" s="14">
        <f t="array" ref="F1940">F1939</f>
        <v>14</v>
      </c>
      <c r="G1940" s="15" t="str">
        <f>IFERROR(__xludf.DUMMYFUNCTION("IF(E1940&gt;AVERAGE(INDEX(GOOGLEFINANCE(B1940,""volume"",WORKDAY(TODAY(),-$F$1),TODAY()),,2)),""Breakout"","""")"),"")</f>
        <v/>
      </c>
      <c r="H1940" s="16">
        <f>IFERROR(__xludf.DUMMYFUNCTION("GOOGLEFINANCE(B1940,""price"")"),0.82)</f>
        <v>0.82</v>
      </c>
      <c r="I1940" s="17">
        <f>IFERROR(__xludf.DUMMYFUNCTION("AVERAGE(QUERY(SORT(GOOGLEFINANCE(B1940,""price"",TODAY()-365,TODAY()),1,0),""select Col2 limit 10""))"),0.826)</f>
        <v>0.826</v>
      </c>
      <c r="J1940" s="17">
        <f>IFERROR(__xludf.DUMMYFUNCTION("AVERAGE(QUERY(SORT(GOOGLEFINANCE(B1940,""price"",TODAY()-365,TODAY()),1,0),""select Col2 limit 30""))"),0.844)</f>
        <v>0.844</v>
      </c>
      <c r="K1940" s="18">
        <f>IFERROR(__xludf.DUMMYFUNCTION("AVERAGE(QUERY(SORT(GOOGLEFINANCE(B1940,""price"",TODAY()-365,TODAY()),1,0),""select Col2 limit 60""))"),0.8550000000000002)</f>
        <v>0.855</v>
      </c>
      <c r="L1940" s="17">
        <f>IFERROR(__xludf.DUMMYFUNCTION("AVERAGE(QUERY(SORT(GOOGLEFINANCE(B1940,""price"",TODAY()-365,TODAY()),1,0),""select Col2 limit 90""))"),0.866555555555556)</f>
        <v>0.8665555556</v>
      </c>
      <c r="M1940" s="17">
        <f>IFERROR(__xludf.DUMMYFUNCTION("AVERAGE(QUERY(SORT(GOOGLEFINANCE(B1940,""price"",TODAY()-365,TODAY()),1,0),""select Col2 limit 120""))"),0.8786666666666668)</f>
        <v>0.8786666667</v>
      </c>
      <c r="N1940" s="19">
        <f>IFERROR(__xludf.DUMMYFUNCTION("AVERAGE(QUERY(SORT(GOOGLEFINANCE(B1940,""price"",TODAY()-365,TODAY()),1,0),""select Col2 limit 200""))"),0.9397500000000006)</f>
        <v>0.93975</v>
      </c>
      <c r="O1940" s="20" t="str">
        <f t="shared" si="2"/>
        <v>Avoid</v>
      </c>
      <c r="P1940" s="21" t="str">
        <f t="shared" si="3"/>
        <v>10 DMA</v>
      </c>
      <c r="Q1940" s="21" t="str">
        <f t="shared" si="4"/>
        <v>10 DMA cross best</v>
      </c>
      <c r="R1940" s="22" t="str">
        <f>IFERROR(__xludf.DUMMYFUNCTION("GOOGLEFINANCE(B1940, ""pe"")
"),"#N/A")</f>
        <v>#N/A</v>
      </c>
    </row>
    <row r="1941">
      <c r="A1941" s="9" t="s">
        <v>1949</v>
      </c>
      <c r="B1941" s="11" t="str">
        <f t="shared" si="1"/>
        <v>NSE:ACEINTEG</v>
      </c>
      <c r="C1941" s="12">
        <f>IFERROR(__xludf.DUMMYFUNCTION("GOOGLEFINANCE(B1941,""marketcap"")/10000000"),25.9793992)</f>
        <v>25.9793992</v>
      </c>
      <c r="D1941" s="13">
        <f>IFERROR(__xludf.DUMMYFUNCTION("GOOGLEFINANCE(B1941,""price"")"),25.47)</f>
        <v>25.47</v>
      </c>
      <c r="E1941" s="14">
        <f>IFERROR(__xludf.DUMMYFUNCTION("GOOGLEFINANCE(B1941,""Volume"")"),1758.0)</f>
        <v>1758</v>
      </c>
      <c r="F1941" s="14">
        <f t="array" ref="F1941">F1940</f>
        <v>14</v>
      </c>
      <c r="G1941" s="15" t="str">
        <f>IFERROR(__xludf.DUMMYFUNCTION("IF(E1941&gt;AVERAGE(INDEX(GOOGLEFINANCE(B1941,""volume"",WORKDAY(TODAY(),-$F$1),TODAY()),,2)),""Breakout"","""")"),"")</f>
        <v/>
      </c>
      <c r="H1941" s="16">
        <f>IFERROR(__xludf.DUMMYFUNCTION("GOOGLEFINANCE(B1941,""price"")"),25.47)</f>
        <v>25.47</v>
      </c>
      <c r="I1941" s="17">
        <f>IFERROR(__xludf.DUMMYFUNCTION("AVERAGE(QUERY(SORT(GOOGLEFINANCE(B1941,""price"",TODAY()-365,TODAY()),1,0),""select Col2 limit 10""))"),25.941000000000003)</f>
        <v>25.941</v>
      </c>
      <c r="J1941" s="17">
        <f>IFERROR(__xludf.DUMMYFUNCTION("AVERAGE(QUERY(SORT(GOOGLEFINANCE(B1941,""price"",TODAY()-365,TODAY()),1,0),""select Col2 limit 30""))"),26.235000000000003)</f>
        <v>26.235</v>
      </c>
      <c r="K1941" s="18">
        <f>IFERROR(__xludf.DUMMYFUNCTION("AVERAGE(QUERY(SORT(GOOGLEFINANCE(B1941,""price"",TODAY()-365,TODAY()),1,0),""select Col2 limit 60""))"),26.143333333333338)</f>
        <v>26.14333333</v>
      </c>
      <c r="L1941" s="17">
        <f>IFERROR(__xludf.DUMMYFUNCTION("AVERAGE(QUERY(SORT(GOOGLEFINANCE(B1941,""price"",TODAY()-365,TODAY()),1,0),""select Col2 limit 90""))"),25.353888888888903)</f>
        <v>25.35388889</v>
      </c>
      <c r="M1941" s="17">
        <f>IFERROR(__xludf.DUMMYFUNCTION("AVERAGE(QUERY(SORT(GOOGLEFINANCE(B1941,""price"",TODAY()-365,TODAY()),1,0),""select Col2 limit 120""))"),25.017916666666675)</f>
        <v>25.01791667</v>
      </c>
      <c r="N1941" s="19">
        <f>IFERROR(__xludf.DUMMYFUNCTION("AVERAGE(QUERY(SORT(GOOGLEFINANCE(B1941,""price"",TODAY()-365,TODAY()),1,0),""select Col2 limit 200""))"),27.604000000000013)</f>
        <v>27.604</v>
      </c>
      <c r="O1941" s="20" t="str">
        <f t="shared" si="2"/>
        <v>Avoid</v>
      </c>
      <c r="P1941" s="21" t="str">
        <f t="shared" si="3"/>
        <v/>
      </c>
      <c r="Q1941" s="21" t="str">
        <f t="shared" si="4"/>
        <v/>
      </c>
      <c r="R1941" s="22" t="str">
        <f>IFERROR(__xludf.DUMMYFUNCTION("GOOGLEFINANCE(B1941, ""pe"")
"),"#N/A")</f>
        <v>#N/A</v>
      </c>
    </row>
    <row r="1942">
      <c r="A1942" s="9" t="s">
        <v>1950</v>
      </c>
      <c r="B1942" s="11" t="str">
        <f t="shared" si="1"/>
        <v>NSE:KAUSHALYA</v>
      </c>
      <c r="C1942" s="12">
        <f>IFERROR(__xludf.DUMMYFUNCTION("GOOGLEFINANCE(B1942,""marketcap"")/10000000"),30.1857633)</f>
        <v>30.1857633</v>
      </c>
      <c r="D1942" s="13">
        <f>IFERROR(__xludf.DUMMYFUNCTION("GOOGLEFINANCE(B1942,""price"")"),871.65)</f>
        <v>871.65</v>
      </c>
      <c r="E1942" s="14">
        <f>IFERROR(__xludf.DUMMYFUNCTION("GOOGLEFINANCE(B1942,""Volume"")"),165.0)</f>
        <v>165</v>
      </c>
      <c r="F1942" s="14">
        <f t="array" ref="F1942">F1941</f>
        <v>14</v>
      </c>
      <c r="G1942" s="15" t="str">
        <f>IFERROR(__xludf.DUMMYFUNCTION("IF(E1942&gt;AVERAGE(INDEX(GOOGLEFINANCE(B1942,""volume"",WORKDAY(TODAY(),-$F$1),TODAY()),,2)),""Breakout"","""")"),"")</f>
        <v/>
      </c>
      <c r="H1942" s="16">
        <f>IFERROR(__xludf.DUMMYFUNCTION("GOOGLEFINANCE(B1942,""price"")"),871.65)</f>
        <v>871.65</v>
      </c>
      <c r="I1942" s="17">
        <f>IFERROR(__xludf.DUMMYFUNCTION("AVERAGE(QUERY(SORT(GOOGLEFINANCE(B1942,""price"",TODAY()-365,TODAY()),1,0),""select Col2 limit 10""))"),876.7650000000001)</f>
        <v>876.765</v>
      </c>
      <c r="J1942" s="17">
        <f>IFERROR(__xludf.DUMMYFUNCTION("AVERAGE(QUERY(SORT(GOOGLEFINANCE(B1942,""price"",TODAY()-365,TODAY()),1,0),""select Col2 limit 30""))"),891.6466666666668)</f>
        <v>891.6466667</v>
      </c>
      <c r="K1942" s="18">
        <f>IFERROR(__xludf.DUMMYFUNCTION("AVERAGE(QUERY(SORT(GOOGLEFINANCE(B1942,""price"",TODAY()-365,TODAY()),1,0),""select Col2 limit 60""))"),902.2649999999998)</f>
        <v>902.265</v>
      </c>
      <c r="L1942" s="17">
        <f>IFERROR(__xludf.DUMMYFUNCTION("AVERAGE(QUERY(SORT(GOOGLEFINANCE(B1942,""price"",TODAY()-365,TODAY()),1,0),""select Col2 limit 90""))"),904.9683333333331)</f>
        <v>904.9683333</v>
      </c>
      <c r="M1942" s="17">
        <f>IFERROR(__xludf.DUMMYFUNCTION("AVERAGE(QUERY(SORT(GOOGLEFINANCE(B1942,""price"",TODAY()-365,TODAY()),1,0),""select Col2 limit 120""))"),903.8008333333331)</f>
        <v>903.8008333</v>
      </c>
      <c r="N1942" s="19">
        <f>IFERROR(__xludf.DUMMYFUNCTION("AVERAGE(QUERY(SORT(GOOGLEFINANCE(B1942,""price"",TODAY()-365,TODAY()),1,0),""select Col2 limit 200""))"),927.2972500000001)</f>
        <v>927.29725</v>
      </c>
      <c r="O1942" s="20" t="str">
        <f t="shared" si="2"/>
        <v>Avoid</v>
      </c>
      <c r="P1942" s="21" t="str">
        <f t="shared" si="3"/>
        <v>10 DMA</v>
      </c>
      <c r="Q1942" s="21" t="str">
        <f t="shared" si="4"/>
        <v>10 DMA cross best</v>
      </c>
      <c r="R1942" s="22">
        <f>IFERROR(__xludf.DUMMYFUNCTION("GOOGLEFINANCE(B1942, ""pe"")
"),5.66)</f>
        <v>5.66</v>
      </c>
    </row>
    <row r="1943">
      <c r="A1943" s="9" t="s">
        <v>1951</v>
      </c>
      <c r="B1943" s="11" t="str">
        <f t="shared" si="1"/>
        <v>NSE:HYBRIDFIN</v>
      </c>
      <c r="C1943" s="12">
        <f>IFERROR(__xludf.DUMMYFUNCTION("GOOGLEFINANCE(B1943,""marketcap"")/10000000"),47.1880685)</f>
        <v>47.1880685</v>
      </c>
      <c r="D1943" s="13">
        <f>IFERROR(__xludf.DUMMYFUNCTION("GOOGLEFINANCE(B1943,""price"")"),16.35)</f>
        <v>16.35</v>
      </c>
      <c r="E1943" s="14">
        <f>IFERROR(__xludf.DUMMYFUNCTION("GOOGLEFINANCE(B1943,""Volume"")"),4165.0)</f>
        <v>4165</v>
      </c>
      <c r="F1943" s="14">
        <f t="array" ref="F1943">F1942</f>
        <v>14</v>
      </c>
      <c r="G1943" s="15" t="str">
        <f>IFERROR(__xludf.DUMMYFUNCTION("IF(E1943&gt;AVERAGE(INDEX(GOOGLEFINANCE(B1943,""volume"",WORKDAY(TODAY(),-$F$1),TODAY()),,2)),""Breakout"","""")"),"")</f>
        <v/>
      </c>
      <c r="H1943" s="16">
        <f>IFERROR(__xludf.DUMMYFUNCTION("GOOGLEFINANCE(B1943,""price"")"),16.35)</f>
        <v>16.35</v>
      </c>
      <c r="I1943" s="17">
        <f>IFERROR(__xludf.DUMMYFUNCTION("AVERAGE(QUERY(SORT(GOOGLEFINANCE(B1943,""price"",TODAY()-365,TODAY()),1,0),""select Col2 limit 10""))"),15.781)</f>
        <v>15.781</v>
      </c>
      <c r="J1943" s="17">
        <f>IFERROR(__xludf.DUMMYFUNCTION("AVERAGE(QUERY(SORT(GOOGLEFINANCE(B1943,""price"",TODAY()-365,TODAY()),1,0),""select Col2 limit 30""))"),17.175333333333334)</f>
        <v>17.17533333</v>
      </c>
      <c r="K1943" s="18">
        <f>IFERROR(__xludf.DUMMYFUNCTION("AVERAGE(QUERY(SORT(GOOGLEFINANCE(B1943,""price"",TODAY()-365,TODAY()),1,0),""select Col2 limit 60""))"),15.455666666666666)</f>
        <v>15.45566667</v>
      </c>
      <c r="L1943" s="17">
        <f>IFERROR(__xludf.DUMMYFUNCTION("AVERAGE(QUERY(SORT(GOOGLEFINANCE(B1943,""price"",TODAY()-365,TODAY()),1,0),""select Col2 limit 90""))"),14.29133333333333)</f>
        <v>14.29133333</v>
      </c>
      <c r="M1943" s="17">
        <f>IFERROR(__xludf.DUMMYFUNCTION("AVERAGE(QUERY(SORT(GOOGLEFINANCE(B1943,""price"",TODAY()-365,TODAY()),1,0),""select Col2 limit 120""))"),13.866999999999996)</f>
        <v>13.867</v>
      </c>
      <c r="N1943" s="19">
        <f>IFERROR(__xludf.DUMMYFUNCTION("AVERAGE(QUERY(SORT(GOOGLEFINANCE(B1943,""price"",TODAY()-365,TODAY()),1,0),""select Col2 limit 200""))"),13.722400000000002)</f>
        <v>13.7224</v>
      </c>
      <c r="O1943" s="20" t="str">
        <f t="shared" si="2"/>
        <v>Avoid</v>
      </c>
      <c r="P1943" s="21" t="str">
        <f t="shared" si="3"/>
        <v/>
      </c>
      <c r="Q1943" s="21" t="str">
        <f t="shared" si="4"/>
        <v/>
      </c>
      <c r="R1943" s="22">
        <f>IFERROR(__xludf.DUMMYFUNCTION("GOOGLEFINANCE(B1943, ""pe"")
"),12.58)</f>
        <v>12.58</v>
      </c>
    </row>
    <row r="1944">
      <c r="A1944" s="9" t="s">
        <v>1952</v>
      </c>
      <c r="B1944" s="11" t="str">
        <f t="shared" si="1"/>
        <v>NSE:ORIENTALTL</v>
      </c>
      <c r="C1944" s="12">
        <f>IFERROR(__xludf.DUMMYFUNCTION("GOOGLEFINANCE(B1944,""marketcap"")/10000000"),75.6395346)</f>
        <v>75.6395346</v>
      </c>
      <c r="D1944" s="13">
        <f>IFERROR(__xludf.DUMMYFUNCTION("GOOGLEFINANCE(B1944,""price"")"),10.31)</f>
        <v>10.31</v>
      </c>
      <c r="E1944" s="14">
        <f>IFERROR(__xludf.DUMMYFUNCTION("GOOGLEFINANCE(B1944,""Volume"")"),121390.0)</f>
        <v>121390</v>
      </c>
      <c r="F1944" s="14">
        <f t="array" ref="F1944">F1943</f>
        <v>14</v>
      </c>
      <c r="G1944" s="15" t="str">
        <f>IFERROR(__xludf.DUMMYFUNCTION("IF(E1944&gt;AVERAGE(INDEX(GOOGLEFINANCE(B1944,""volume"",WORKDAY(TODAY(),-$F$1),TODAY()),,2)),""Breakout"","""")"),"")</f>
        <v/>
      </c>
      <c r="H1944" s="16">
        <f>IFERROR(__xludf.DUMMYFUNCTION("GOOGLEFINANCE(B1944,""price"")"),10.31)</f>
        <v>10.31</v>
      </c>
      <c r="I1944" s="17">
        <f>IFERROR(__xludf.DUMMYFUNCTION("AVERAGE(QUERY(SORT(GOOGLEFINANCE(B1944,""price"",TODAY()-365,TODAY()),1,0),""select Col2 limit 10""))"),11.429000000000002)</f>
        <v>11.429</v>
      </c>
      <c r="J1944" s="17">
        <f>IFERROR(__xludf.DUMMYFUNCTION("AVERAGE(QUERY(SORT(GOOGLEFINANCE(B1944,""price"",TODAY()-365,TODAY()),1,0),""select Col2 limit 30""))"),13.531999999999998)</f>
        <v>13.532</v>
      </c>
      <c r="K1944" s="18">
        <f>IFERROR(__xludf.DUMMYFUNCTION("AVERAGE(QUERY(SORT(GOOGLEFINANCE(B1944,""price"",TODAY()-365,TODAY()),1,0),""select Col2 limit 60""))"),13.226)</f>
        <v>13.226</v>
      </c>
      <c r="L1944" s="17">
        <f>IFERROR(__xludf.DUMMYFUNCTION("AVERAGE(QUERY(SORT(GOOGLEFINANCE(B1944,""price"",TODAY()-365,TODAY()),1,0),""select Col2 limit 90""))"),11.993666666666664)</f>
        <v>11.99366667</v>
      </c>
      <c r="M1944" s="17">
        <f>IFERROR(__xludf.DUMMYFUNCTION("AVERAGE(QUERY(SORT(GOOGLEFINANCE(B1944,""price"",TODAY()-365,TODAY()),1,0),""select Col2 limit 120""))"),11.448416666666665)</f>
        <v>11.44841667</v>
      </c>
      <c r="N1944" s="19">
        <f>IFERROR(__xludf.DUMMYFUNCTION("AVERAGE(QUERY(SORT(GOOGLEFINANCE(B1944,""price"",TODAY()-365,TODAY()),1,0),""select Col2 limit 200""))"),11.182100000000002)</f>
        <v>11.1821</v>
      </c>
      <c r="O1944" s="20" t="str">
        <f t="shared" si="2"/>
        <v>Avoid</v>
      </c>
      <c r="P1944" s="21" t="str">
        <f t="shared" si="3"/>
        <v/>
      </c>
      <c r="Q1944" s="21" t="str">
        <f t="shared" si="4"/>
        <v/>
      </c>
      <c r="R1944" s="22">
        <f>IFERROR(__xludf.DUMMYFUNCTION("GOOGLEFINANCE(B1944, ""pe"")
"),6.78)</f>
        <v>6.78</v>
      </c>
    </row>
    <row r="1945">
      <c r="A1945" s="9" t="s">
        <v>1953</v>
      </c>
      <c r="B1945" s="11" t="str">
        <f t="shared" si="1"/>
        <v>NSE:NKIND</v>
      </c>
      <c r="C1945" s="12">
        <f>IFERROR(__xludf.DUMMYFUNCTION("GOOGLEFINANCE(B1945,""marketcap"")/10000000"),37.4402954)</f>
        <v>37.4402954</v>
      </c>
      <c r="D1945" s="13">
        <f>IFERROR(__xludf.DUMMYFUNCTION("GOOGLEFINANCE(B1945,""price"")"),66.38)</f>
        <v>66.38</v>
      </c>
      <c r="E1945" s="14">
        <f>IFERROR(__xludf.DUMMYFUNCTION("GOOGLEFINANCE(B1945,""Volume"")"),113.0)</f>
        <v>113</v>
      </c>
      <c r="F1945" s="14">
        <f t="array" ref="F1945">F1944</f>
        <v>14</v>
      </c>
      <c r="G1945" s="15" t="str">
        <f>IFERROR(__xludf.DUMMYFUNCTION("IF(E1945&gt;AVERAGE(INDEX(GOOGLEFINANCE(B1945,""volume"",WORKDAY(TODAY(),-$F$1),TODAY()),,2)),""Breakout"","""")"),"")</f>
        <v/>
      </c>
      <c r="H1945" s="16">
        <f>IFERROR(__xludf.DUMMYFUNCTION("GOOGLEFINANCE(B1945,""price"")"),66.38)</f>
        <v>66.38</v>
      </c>
      <c r="I1945" s="17">
        <f>IFERROR(__xludf.DUMMYFUNCTION("AVERAGE(QUERY(SORT(GOOGLEFINANCE(B1945,""price"",TODAY()-365,TODAY()),1,0),""select Col2 limit 10""))"),65.70500000000001)</f>
        <v>65.705</v>
      </c>
      <c r="J1945" s="17">
        <f>IFERROR(__xludf.DUMMYFUNCTION("AVERAGE(QUERY(SORT(GOOGLEFINANCE(B1945,""price"",TODAY()-365,TODAY()),1,0),""select Col2 limit 30""))"),67.63066666666667)</f>
        <v>67.63066667</v>
      </c>
      <c r="K1945" s="18">
        <f>IFERROR(__xludf.DUMMYFUNCTION("AVERAGE(QUERY(SORT(GOOGLEFINANCE(B1945,""price"",TODAY()-365,TODAY()),1,0),""select Col2 limit 60""))"),66.74199999999999)</f>
        <v>66.742</v>
      </c>
      <c r="L1945" s="17">
        <f>IFERROR(__xludf.DUMMYFUNCTION("AVERAGE(QUERY(SORT(GOOGLEFINANCE(B1945,""price"",TODAY()-365,TODAY()),1,0),""select Col2 limit 90""))"),66.35633333333332)</f>
        <v>66.35633333</v>
      </c>
      <c r="M1945" s="17">
        <f>IFERROR(__xludf.DUMMYFUNCTION("AVERAGE(QUERY(SORT(GOOGLEFINANCE(B1945,""price"",TODAY()-365,TODAY()),1,0),""select Col2 limit 120""))"),66.29849999999998)</f>
        <v>66.2985</v>
      </c>
      <c r="N1945" s="19">
        <f>IFERROR(__xludf.DUMMYFUNCTION("AVERAGE(QUERY(SORT(GOOGLEFINANCE(B1945,""price"",TODAY()-365,TODAY()),1,0),""select Col2 limit 200""))"),63.39660000000001)</f>
        <v>63.3966</v>
      </c>
      <c r="O1945" s="20" t="str">
        <f t="shared" si="2"/>
        <v>Avoid</v>
      </c>
      <c r="P1945" s="21" t="str">
        <f t="shared" si="3"/>
        <v>60 DMA</v>
      </c>
      <c r="Q1945" s="21" t="str">
        <f t="shared" si="4"/>
        <v/>
      </c>
      <c r="R1945" s="22" t="str">
        <f>IFERROR(__xludf.DUMMYFUNCTION("GOOGLEFINANCE(B1945, ""pe"")
"),"#N/A")</f>
        <v>#N/A</v>
      </c>
    </row>
    <row r="1946">
      <c r="A1946" s="9" t="s">
        <v>1954</v>
      </c>
      <c r="B1946" s="11" t="str">
        <f t="shared" si="1"/>
        <v>NSE:IMPEXFERRO</v>
      </c>
      <c r="C1946" s="12">
        <f>IFERROR(__xludf.DUMMYFUNCTION("GOOGLEFINANCE(B1946,""marketcap"")/10000000"),17.586324)</f>
        <v>17.586324</v>
      </c>
      <c r="D1946" s="13">
        <f>IFERROR(__xludf.DUMMYFUNCTION("GOOGLEFINANCE(B1946,""price"")"),2.0)</f>
        <v>2</v>
      </c>
      <c r="E1946" s="14">
        <f>IFERROR(__xludf.DUMMYFUNCTION("GOOGLEFINANCE(B1946,""Volume"")"),22741.0)</f>
        <v>22741</v>
      </c>
      <c r="F1946" s="14">
        <f t="array" ref="F1946">F1945</f>
        <v>14</v>
      </c>
      <c r="G1946" s="15" t="str">
        <f>IFERROR(__xludf.DUMMYFUNCTION("IF(E1946&gt;AVERAGE(INDEX(GOOGLEFINANCE(B1946,""volume"",WORKDAY(TODAY(),-$F$1),TODAY()),,2)),""Breakout"","""")"),"Breakout")</f>
        <v>Breakout</v>
      </c>
      <c r="H1946" s="16">
        <f>IFERROR(__xludf.DUMMYFUNCTION("GOOGLEFINANCE(B1946,""price"")"),2.0)</f>
        <v>2</v>
      </c>
      <c r="I1946" s="17">
        <f>IFERROR(__xludf.DUMMYFUNCTION("AVERAGE(QUERY(SORT(GOOGLEFINANCE(B1946,""price"",TODAY()-365,TODAY()),1,0),""select Col2 limit 10""))"),2.063)</f>
        <v>2.063</v>
      </c>
      <c r="J1946" s="17">
        <f>IFERROR(__xludf.DUMMYFUNCTION("AVERAGE(QUERY(SORT(GOOGLEFINANCE(B1946,""price"",TODAY()-365,TODAY()),1,0),""select Col2 limit 30""))"),2.173)</f>
        <v>2.173</v>
      </c>
      <c r="K1946" s="18">
        <f>IFERROR(__xludf.DUMMYFUNCTION("AVERAGE(QUERY(SORT(GOOGLEFINANCE(B1946,""price"",TODAY()-365,TODAY()),1,0),""select Col2 limit 60""))"),2.1294999999999997)</f>
        <v>2.1295</v>
      </c>
      <c r="L1946" s="17">
        <f>IFERROR(__xludf.DUMMYFUNCTION("AVERAGE(QUERY(SORT(GOOGLEFINANCE(B1946,""price"",TODAY()-365,TODAY()),1,0),""select Col2 limit 90""))"),2.0973333333333333)</f>
        <v>2.097333333</v>
      </c>
      <c r="M1946" s="17">
        <f>IFERROR(__xludf.DUMMYFUNCTION("AVERAGE(QUERY(SORT(GOOGLEFINANCE(B1946,""price"",TODAY()-365,TODAY()),1,0),""select Col2 limit 120""))"),2.2348333333333334)</f>
        <v>2.234833333</v>
      </c>
      <c r="N1946" s="19">
        <f>IFERROR(__xludf.DUMMYFUNCTION("AVERAGE(QUERY(SORT(GOOGLEFINANCE(B1946,""price"",TODAY()-365,TODAY()),1,0),""select Col2 limit 200""))"),2.581200000000001)</f>
        <v>2.5812</v>
      </c>
      <c r="O1946" s="20" t="str">
        <f t="shared" si="2"/>
        <v>Avoid</v>
      </c>
      <c r="P1946" s="21" t="str">
        <f t="shared" si="3"/>
        <v/>
      </c>
      <c r="Q1946" s="21" t="str">
        <f t="shared" si="4"/>
        <v/>
      </c>
      <c r="R1946" s="22" t="str">
        <f>IFERROR(__xludf.DUMMYFUNCTION("GOOGLEFINANCE(B1946, ""pe"")
"),"#N/A")</f>
        <v>#N/A</v>
      </c>
    </row>
    <row r="1947">
      <c r="A1947" s="9" t="s">
        <v>1955</v>
      </c>
      <c r="B1947" s="11" t="str">
        <f t="shared" si="1"/>
        <v>NSE:NARMADA</v>
      </c>
      <c r="C1947" s="12">
        <f>IFERROR(__xludf.DUMMYFUNCTION("GOOGLEFINANCE(B1947,""marketcap"")/10000000"),81.1459358)</f>
        <v>81.1459358</v>
      </c>
      <c r="D1947" s="13">
        <f>IFERROR(__xludf.DUMMYFUNCTION("GOOGLEFINANCE(B1947,""price"")"),21.39)</f>
        <v>21.39</v>
      </c>
      <c r="E1947" s="14">
        <f>IFERROR(__xludf.DUMMYFUNCTION("GOOGLEFINANCE(B1947,""Volume"")"),74867.0)</f>
        <v>74867</v>
      </c>
      <c r="F1947" s="14">
        <f t="array" ref="F1947">F1946</f>
        <v>14</v>
      </c>
      <c r="G1947" s="15" t="str">
        <f>IFERROR(__xludf.DUMMYFUNCTION("IF(E1947&gt;AVERAGE(INDEX(GOOGLEFINANCE(B1947,""volume"",WORKDAY(TODAY(),-$F$1),TODAY()),,2)),""Breakout"","""")"),"")</f>
        <v/>
      </c>
      <c r="H1947" s="16">
        <f>IFERROR(__xludf.DUMMYFUNCTION("GOOGLEFINANCE(B1947,""price"")"),21.39)</f>
        <v>21.39</v>
      </c>
      <c r="I1947" s="17">
        <f>IFERROR(__xludf.DUMMYFUNCTION("AVERAGE(QUERY(SORT(GOOGLEFINANCE(B1947,""price"",TODAY()-365,TODAY()),1,0),""select Col2 limit 10""))"),20.756999999999998)</f>
        <v>20.757</v>
      </c>
      <c r="J1947" s="17">
        <f>IFERROR(__xludf.DUMMYFUNCTION("AVERAGE(QUERY(SORT(GOOGLEFINANCE(B1947,""price"",TODAY()-365,TODAY()),1,0),""select Col2 limit 30""))"),18.637999999999998)</f>
        <v>18.638</v>
      </c>
      <c r="K1947" s="18">
        <f>IFERROR(__xludf.DUMMYFUNCTION("AVERAGE(QUERY(SORT(GOOGLEFINANCE(B1947,""price"",TODAY()-365,TODAY()),1,0),""select Col2 limit 60""))"),17.83816666666667)</f>
        <v>17.83816667</v>
      </c>
      <c r="L1947" s="17">
        <f>IFERROR(__xludf.DUMMYFUNCTION("AVERAGE(QUERY(SORT(GOOGLEFINANCE(B1947,""price"",TODAY()-365,TODAY()),1,0),""select Col2 limit 90""))"),17.62144444444445)</f>
        <v>17.62144444</v>
      </c>
      <c r="M1947" s="17">
        <f>IFERROR(__xludf.DUMMYFUNCTION("AVERAGE(QUERY(SORT(GOOGLEFINANCE(B1947,""price"",TODAY()-365,TODAY()),1,0),""select Col2 limit 120""))"),17.81716666666667)</f>
        <v>17.81716667</v>
      </c>
      <c r="N1947" s="19">
        <f>IFERROR(__xludf.DUMMYFUNCTION("AVERAGE(QUERY(SORT(GOOGLEFINANCE(B1947,""price"",TODAY()-365,TODAY()),1,0),""select Col2 limit 200""))"),17.865800000000004)</f>
        <v>17.8658</v>
      </c>
      <c r="O1947" s="20" t="str">
        <f t="shared" si="2"/>
        <v>Avoid</v>
      </c>
      <c r="P1947" s="21" t="str">
        <f t="shared" si="3"/>
        <v/>
      </c>
      <c r="Q1947" s="21" t="str">
        <f t="shared" si="4"/>
        <v/>
      </c>
      <c r="R1947" s="22">
        <f>IFERROR(__xludf.DUMMYFUNCTION("GOOGLEFINANCE(B1947, ""pe"")
"),13.71)</f>
        <v>13.71</v>
      </c>
    </row>
    <row r="1948">
      <c r="A1948" s="9" t="s">
        <v>1956</v>
      </c>
      <c r="B1948" s="11" t="str">
        <f t="shared" si="1"/>
        <v>NSE:GUJRAFFIA</v>
      </c>
      <c r="C1948" s="12">
        <f>IFERROR(__xludf.DUMMYFUNCTION("GOOGLEFINANCE(B1948,""marketcap"")/10000000"),20.764088)</f>
        <v>20.764088</v>
      </c>
      <c r="D1948" s="13">
        <f>IFERROR(__xludf.DUMMYFUNCTION("GOOGLEFINANCE(B1948,""price"")"),38.42)</f>
        <v>38.42</v>
      </c>
      <c r="E1948" s="14">
        <f>IFERROR(__xludf.DUMMYFUNCTION("GOOGLEFINANCE(B1948,""Volume"")"),4734.0)</f>
        <v>4734</v>
      </c>
      <c r="F1948" s="14">
        <f t="array" ref="F1948">F1947</f>
        <v>14</v>
      </c>
      <c r="G1948" s="15" t="str">
        <f>IFERROR(__xludf.DUMMYFUNCTION("IF(E1948&gt;AVERAGE(INDEX(GOOGLEFINANCE(B1948,""volume"",WORKDAY(TODAY(),-$F$1),TODAY()),,2)),""Breakout"","""")"),"")</f>
        <v/>
      </c>
      <c r="H1948" s="16">
        <f>IFERROR(__xludf.DUMMYFUNCTION("GOOGLEFINANCE(B1948,""price"")"),38.42)</f>
        <v>38.42</v>
      </c>
      <c r="I1948" s="17">
        <f>IFERROR(__xludf.DUMMYFUNCTION("AVERAGE(QUERY(SORT(GOOGLEFINANCE(B1948,""price"",TODAY()-365,TODAY()),1,0),""select Col2 limit 10""))"),39.97599999999999)</f>
        <v>39.976</v>
      </c>
      <c r="J1948" s="17">
        <f>IFERROR(__xludf.DUMMYFUNCTION("AVERAGE(QUERY(SORT(GOOGLEFINANCE(B1948,""price"",TODAY()-365,TODAY()),1,0),""select Col2 limit 30""))"),41.25533333333333)</f>
        <v>41.25533333</v>
      </c>
      <c r="K1948" s="18">
        <f>IFERROR(__xludf.DUMMYFUNCTION("AVERAGE(QUERY(SORT(GOOGLEFINANCE(B1948,""price"",TODAY()-365,TODAY()),1,0),""select Col2 limit 60""))"),40.0965)</f>
        <v>40.0965</v>
      </c>
      <c r="L1948" s="17">
        <f>IFERROR(__xludf.DUMMYFUNCTION("AVERAGE(QUERY(SORT(GOOGLEFINANCE(B1948,""price"",TODAY()-365,TODAY()),1,0),""select Col2 limit 90""))"),39.70611111111112)</f>
        <v>39.70611111</v>
      </c>
      <c r="M1948" s="17">
        <f>IFERROR(__xludf.DUMMYFUNCTION("AVERAGE(QUERY(SORT(GOOGLEFINANCE(B1948,""price"",TODAY()-365,TODAY()),1,0),""select Col2 limit 120""))"),41.5805)</f>
        <v>41.5805</v>
      </c>
      <c r="N1948" s="19">
        <f>IFERROR(__xludf.DUMMYFUNCTION("AVERAGE(QUERY(SORT(GOOGLEFINANCE(B1948,""price"",TODAY()-365,TODAY()),1,0),""select Col2 limit 200""))"),49.749150000000014)</f>
        <v>49.74915</v>
      </c>
      <c r="O1948" s="20" t="str">
        <f t="shared" si="2"/>
        <v>Avoid</v>
      </c>
      <c r="P1948" s="21" t="str">
        <f t="shared" si="3"/>
        <v/>
      </c>
      <c r="Q1948" s="21" t="str">
        <f t="shared" si="4"/>
        <v/>
      </c>
      <c r="R1948" s="22">
        <f>IFERROR(__xludf.DUMMYFUNCTION("GOOGLEFINANCE(B1948, ""pe"")
"),39.8)</f>
        <v>39.8</v>
      </c>
    </row>
    <row r="1949">
      <c r="A1949" s="9" t="s">
        <v>1957</v>
      </c>
      <c r="B1949" s="11" t="str">
        <f t="shared" si="1"/>
        <v>NSE:CALSOFT</v>
      </c>
      <c r="C1949" s="12">
        <f>IFERROR(__xludf.DUMMYFUNCTION("GOOGLEFINANCE(B1949,""marketcap"")/10000000"),120.6037016)</f>
        <v>120.6037016</v>
      </c>
      <c r="D1949" s="13">
        <f>IFERROR(__xludf.DUMMYFUNCTION("GOOGLEFINANCE(B1949,""price"")"),15.65)</f>
        <v>15.65</v>
      </c>
      <c r="E1949" s="14">
        <f>IFERROR(__xludf.DUMMYFUNCTION("GOOGLEFINANCE(B1949,""Volume"")"),26356.0)</f>
        <v>26356</v>
      </c>
      <c r="F1949" s="14">
        <f t="array" ref="F1949">F1948</f>
        <v>14</v>
      </c>
      <c r="G1949" s="15" t="str">
        <f>IFERROR(__xludf.DUMMYFUNCTION("IF(E1949&gt;AVERAGE(INDEX(GOOGLEFINANCE(B1949,""volume"",WORKDAY(TODAY(),-$F$1),TODAY()),,2)),""Breakout"","""")"),"")</f>
        <v/>
      </c>
      <c r="H1949" s="16">
        <f>IFERROR(__xludf.DUMMYFUNCTION("GOOGLEFINANCE(B1949,""price"")"),15.65)</f>
        <v>15.65</v>
      </c>
      <c r="I1949" s="17">
        <f>IFERROR(__xludf.DUMMYFUNCTION("AVERAGE(QUERY(SORT(GOOGLEFINANCE(B1949,""price"",TODAY()-365,TODAY()),1,0),""select Col2 limit 10""))"),16.900000000000002)</f>
        <v>16.9</v>
      </c>
      <c r="J1949" s="17">
        <f>IFERROR(__xludf.DUMMYFUNCTION("AVERAGE(QUERY(SORT(GOOGLEFINANCE(B1949,""price"",TODAY()-365,TODAY()),1,0),""select Col2 limit 30""))"),16.899000000000004)</f>
        <v>16.899</v>
      </c>
      <c r="K1949" s="18">
        <f>IFERROR(__xludf.DUMMYFUNCTION("AVERAGE(QUERY(SORT(GOOGLEFINANCE(B1949,""price"",TODAY()-365,TODAY()),1,0),""select Col2 limit 60""))"),14.018833333333335)</f>
        <v>14.01883333</v>
      </c>
      <c r="L1949" s="17">
        <f>IFERROR(__xludf.DUMMYFUNCTION("AVERAGE(QUERY(SORT(GOOGLEFINANCE(B1949,""price"",TODAY()-365,TODAY()),1,0),""select Col2 limit 90""))"),13.16711111111111)</f>
        <v>13.16711111</v>
      </c>
      <c r="M1949" s="17">
        <f>IFERROR(__xludf.DUMMYFUNCTION("AVERAGE(QUERY(SORT(GOOGLEFINANCE(B1949,""price"",TODAY()-365,TODAY()),1,0),""select Col2 limit 120""))"),12.926666666666671)</f>
        <v>12.92666667</v>
      </c>
      <c r="N1949" s="19">
        <f>IFERROR(__xludf.DUMMYFUNCTION("AVERAGE(QUERY(SORT(GOOGLEFINANCE(B1949,""price"",TODAY()-365,TODAY()),1,0),""select Col2 limit 200""))"),12.302149999999997)</f>
        <v>12.30215</v>
      </c>
      <c r="O1949" s="20" t="str">
        <f t="shared" si="2"/>
        <v>Avoid</v>
      </c>
      <c r="P1949" s="21" t="str">
        <f t="shared" si="3"/>
        <v/>
      </c>
      <c r="Q1949" s="21" t="str">
        <f t="shared" si="4"/>
        <v/>
      </c>
      <c r="R1949" s="22">
        <f>IFERROR(__xludf.DUMMYFUNCTION("GOOGLEFINANCE(B1949, ""pe"")
"),130.42)</f>
        <v>130.42</v>
      </c>
    </row>
    <row r="1950">
      <c r="A1950" s="9" t="s">
        <v>1958</v>
      </c>
      <c r="B1950" s="11" t="str">
        <f t="shared" si="1"/>
        <v>NSE:UMESLTD</v>
      </c>
      <c r="C1950" s="12">
        <f>IFERROR(__xludf.DUMMYFUNCTION("GOOGLEFINANCE(B1950,""marketcap"")/10000000"),14.996479)</f>
        <v>14.996479</v>
      </c>
      <c r="D1950" s="13">
        <f>IFERROR(__xludf.DUMMYFUNCTION("GOOGLEFINANCE(B1950,""price"")"),5.77)</f>
        <v>5.77</v>
      </c>
      <c r="E1950" s="14">
        <f>IFERROR(__xludf.DUMMYFUNCTION("GOOGLEFINANCE(B1950,""Volume"")"),15627.0)</f>
        <v>15627</v>
      </c>
      <c r="F1950" s="14">
        <f t="array" ref="F1950">F1949</f>
        <v>14</v>
      </c>
      <c r="G1950" s="15" t="str">
        <f>IFERROR(__xludf.DUMMYFUNCTION("IF(E1950&gt;AVERAGE(INDEX(GOOGLEFINANCE(B1950,""volume"",WORKDAY(TODAY(),-$F$1),TODAY()),,2)),""Breakout"","""")"),"")</f>
        <v/>
      </c>
      <c r="H1950" s="16">
        <f>IFERROR(__xludf.DUMMYFUNCTION("GOOGLEFINANCE(B1950,""price"")"),5.77)</f>
        <v>5.77</v>
      </c>
      <c r="I1950" s="17">
        <f>IFERROR(__xludf.DUMMYFUNCTION("AVERAGE(QUERY(SORT(GOOGLEFINANCE(B1950,""price"",TODAY()-365,TODAY()),1,0),""select Col2 limit 10""))"),6.079)</f>
        <v>6.079</v>
      </c>
      <c r="J1950" s="17">
        <f>IFERROR(__xludf.DUMMYFUNCTION("AVERAGE(QUERY(SORT(GOOGLEFINANCE(B1950,""price"",TODAY()-365,TODAY()),1,0),""select Col2 limit 30""))"),5.863999999999999)</f>
        <v>5.864</v>
      </c>
      <c r="K1950" s="18">
        <f>IFERROR(__xludf.DUMMYFUNCTION("AVERAGE(QUERY(SORT(GOOGLEFINANCE(B1950,""price"",TODAY()-365,TODAY()),1,0),""select Col2 limit 60""))"),5.781166666666664)</f>
        <v>5.781166667</v>
      </c>
      <c r="L1950" s="17">
        <f>IFERROR(__xludf.DUMMYFUNCTION("AVERAGE(QUERY(SORT(GOOGLEFINANCE(B1950,""price"",TODAY()-365,TODAY()),1,0),""select Col2 limit 90""))"),5.770222222222221)</f>
        <v>5.770222222</v>
      </c>
      <c r="M1950" s="17">
        <f>IFERROR(__xludf.DUMMYFUNCTION("AVERAGE(QUERY(SORT(GOOGLEFINANCE(B1950,""price"",TODAY()-365,TODAY()),1,0),""select Col2 limit 120""))"),5.849416666666666)</f>
        <v>5.849416667</v>
      </c>
      <c r="N1950" s="19">
        <f>IFERROR(__xludf.DUMMYFUNCTION("AVERAGE(QUERY(SORT(GOOGLEFINANCE(B1950,""price"",TODAY()-365,TODAY()),1,0),""select Col2 limit 200""))"),6.2646999999999995)</f>
        <v>6.2647</v>
      </c>
      <c r="O1950" s="20" t="str">
        <f t="shared" si="2"/>
        <v>Avoid</v>
      </c>
      <c r="P1950" s="21" t="str">
        <f t="shared" si="3"/>
        <v>60 DMA</v>
      </c>
      <c r="Q1950" s="21" t="str">
        <f t="shared" si="4"/>
        <v/>
      </c>
      <c r="R1950" s="22">
        <f>IFERROR(__xludf.DUMMYFUNCTION("GOOGLEFINANCE(B1950, ""pe"")
"),48.42)</f>
        <v>48.42</v>
      </c>
    </row>
    <row r="1951">
      <c r="A1951" s="9" t="s">
        <v>1959</v>
      </c>
      <c r="B1951" s="11" t="str">
        <f t="shared" si="1"/>
        <v>NSE:GLFL</v>
      </c>
      <c r="C1951" s="12">
        <f>IFERROR(__xludf.DUMMYFUNCTION("GOOGLEFINANCE(B1951,""marketcap"")/10000000"),17.2248573)</f>
        <v>17.2248573</v>
      </c>
      <c r="D1951" s="13">
        <f>IFERROR(__xludf.DUMMYFUNCTION("GOOGLEFINANCE(B1951,""price"")"),6.35)</f>
        <v>6.35</v>
      </c>
      <c r="E1951" s="14">
        <f>IFERROR(__xludf.DUMMYFUNCTION("GOOGLEFINANCE(B1951,""Volume"")"),2142.0)</f>
        <v>2142</v>
      </c>
      <c r="F1951" s="14">
        <f t="array" ref="F1951">F1950</f>
        <v>14</v>
      </c>
      <c r="G1951" s="15" t="str">
        <f>IFERROR(__xludf.DUMMYFUNCTION("IF(E1951&gt;AVERAGE(INDEX(GOOGLEFINANCE(B1951,""volume"",WORKDAY(TODAY(),-$F$1),TODAY()),,2)),""Breakout"","""")"),"")</f>
        <v/>
      </c>
      <c r="H1951" s="16">
        <f>IFERROR(__xludf.DUMMYFUNCTION("GOOGLEFINANCE(B1951,""price"")"),6.35)</f>
        <v>6.35</v>
      </c>
      <c r="I1951" s="17">
        <f>IFERROR(__xludf.DUMMYFUNCTION("AVERAGE(QUERY(SORT(GOOGLEFINANCE(B1951,""price"",TODAY()-365,TODAY()),1,0),""select Col2 limit 10""))"),6.5969999999999995)</f>
        <v>6.597</v>
      </c>
      <c r="J1951" s="17">
        <f>IFERROR(__xludf.DUMMYFUNCTION("AVERAGE(QUERY(SORT(GOOGLEFINANCE(B1951,""price"",TODAY()-365,TODAY()),1,0),""select Col2 limit 30""))"),6.230333333333333)</f>
        <v>6.230333333</v>
      </c>
      <c r="K1951" s="18">
        <f>IFERROR(__xludf.DUMMYFUNCTION("AVERAGE(QUERY(SORT(GOOGLEFINANCE(B1951,""price"",TODAY()-365,TODAY()),1,0),""select Col2 limit 60""))"),5.538166666666669)</f>
        <v>5.538166667</v>
      </c>
      <c r="L1951" s="17">
        <f>IFERROR(__xludf.DUMMYFUNCTION("AVERAGE(QUERY(SORT(GOOGLEFINANCE(B1951,""price"",TODAY()-365,TODAY()),1,0),""select Col2 limit 90""))"),5.451777777777779)</f>
        <v>5.451777778</v>
      </c>
      <c r="M1951" s="17">
        <f>IFERROR(__xludf.DUMMYFUNCTION("AVERAGE(QUERY(SORT(GOOGLEFINANCE(B1951,""price"",TODAY()-365,TODAY()),1,0),""select Col2 limit 120""))"),5.947666666666668)</f>
        <v>5.947666667</v>
      </c>
      <c r="N1951" s="19">
        <f>IFERROR(__xludf.DUMMYFUNCTION("AVERAGE(QUERY(SORT(GOOGLEFINANCE(B1951,""price"",TODAY()-365,TODAY()),1,0),""select Col2 limit 200""))"),6.633350000000004)</f>
        <v>6.63335</v>
      </c>
      <c r="O1951" s="20" t="str">
        <f t="shared" si="2"/>
        <v>Avoid</v>
      </c>
      <c r="P1951" s="21" t="str">
        <f t="shared" si="3"/>
        <v/>
      </c>
      <c r="Q1951" s="21" t="str">
        <f t="shared" si="4"/>
        <v/>
      </c>
      <c r="R1951" s="22">
        <f>IFERROR(__xludf.DUMMYFUNCTION("GOOGLEFINANCE(B1951, ""pe"")
"),293.98)</f>
        <v>293.98</v>
      </c>
    </row>
    <row r="1952">
      <c r="A1952" s="9" t="s">
        <v>1960</v>
      </c>
      <c r="B1952" s="11" t="str">
        <f t="shared" si="1"/>
        <v>NSE:HEADSUP</v>
      </c>
      <c r="C1952" s="12">
        <f>IFERROR(__xludf.DUMMYFUNCTION("GOOGLEFINANCE(B1952,""marketcap"")/10000000"),20.5589108)</f>
        <v>20.5589108</v>
      </c>
      <c r="D1952" s="13">
        <f>IFERROR(__xludf.DUMMYFUNCTION("GOOGLEFINANCE(B1952,""price"")"),9.31)</f>
        <v>9.31</v>
      </c>
      <c r="E1952" s="14">
        <f>IFERROR(__xludf.DUMMYFUNCTION("GOOGLEFINANCE(B1952,""Volume"")"),12417.0)</f>
        <v>12417</v>
      </c>
      <c r="F1952" s="14">
        <f t="array" ref="F1952">F1951</f>
        <v>14</v>
      </c>
      <c r="G1952" s="15" t="str">
        <f>IFERROR(__xludf.DUMMYFUNCTION("IF(E1952&gt;AVERAGE(INDEX(GOOGLEFINANCE(B1952,""volume"",WORKDAY(TODAY(),-$F$1),TODAY()),,2)),""Breakout"","""")"),"")</f>
        <v/>
      </c>
      <c r="H1952" s="16">
        <f>IFERROR(__xludf.DUMMYFUNCTION("GOOGLEFINANCE(B1952,""price"")"),9.31)</f>
        <v>9.31</v>
      </c>
      <c r="I1952" s="17">
        <f>IFERROR(__xludf.DUMMYFUNCTION("AVERAGE(QUERY(SORT(GOOGLEFINANCE(B1952,""price"",TODAY()-365,TODAY()),1,0),""select Col2 limit 10""))"),9.734)</f>
        <v>9.734</v>
      </c>
      <c r="J1952" s="17">
        <f>IFERROR(__xludf.DUMMYFUNCTION("AVERAGE(QUERY(SORT(GOOGLEFINANCE(B1952,""price"",TODAY()-365,TODAY()),1,0),""select Col2 limit 30""))"),9.794666666666666)</f>
        <v>9.794666667</v>
      </c>
      <c r="K1952" s="18">
        <f>IFERROR(__xludf.DUMMYFUNCTION("AVERAGE(QUERY(SORT(GOOGLEFINANCE(B1952,""price"",TODAY()-365,TODAY()),1,0),""select Col2 limit 60""))"),10.112499999999995)</f>
        <v>10.1125</v>
      </c>
      <c r="L1952" s="17">
        <f>IFERROR(__xludf.DUMMYFUNCTION("AVERAGE(QUERY(SORT(GOOGLEFINANCE(B1952,""price"",TODAY()-365,TODAY()),1,0),""select Col2 limit 90""))"),10.417444444444438)</f>
        <v>10.41744444</v>
      </c>
      <c r="M1952" s="17">
        <f>IFERROR(__xludf.DUMMYFUNCTION("AVERAGE(QUERY(SORT(GOOGLEFINANCE(B1952,""price"",TODAY()-365,TODAY()),1,0),""select Col2 limit 120""))"),10.560999999999991)</f>
        <v>10.561</v>
      </c>
      <c r="N1952" s="19">
        <f>IFERROR(__xludf.DUMMYFUNCTION("AVERAGE(QUERY(SORT(GOOGLEFINANCE(B1952,""price"",TODAY()-365,TODAY()),1,0),""select Col2 limit 200""))"),11.238399999999999)</f>
        <v>11.2384</v>
      </c>
      <c r="O1952" s="20" t="str">
        <f t="shared" si="2"/>
        <v>Avoid</v>
      </c>
      <c r="P1952" s="21" t="str">
        <f t="shared" si="3"/>
        <v/>
      </c>
      <c r="Q1952" s="21" t="str">
        <f t="shared" si="4"/>
        <v/>
      </c>
      <c r="R1952" s="22" t="str">
        <f>IFERROR(__xludf.DUMMYFUNCTION("GOOGLEFINANCE(B1952, ""pe"")
"),"#N/A")</f>
        <v>#N/A</v>
      </c>
    </row>
    <row r="1953">
      <c r="A1953" s="9" t="s">
        <v>1961</v>
      </c>
      <c r="B1953" s="11" t="str">
        <f t="shared" si="1"/>
        <v>NSE:MTEDUCARE</v>
      </c>
      <c r="C1953" s="12">
        <f>IFERROR(__xludf.DUMMYFUNCTION("GOOGLEFINANCE(B1953,""marketcap"")/10000000"),17.3347302)</f>
        <v>17.3347302</v>
      </c>
      <c r="D1953" s="13">
        <f>IFERROR(__xludf.DUMMYFUNCTION("GOOGLEFINANCE(B1953,""price"")"),2.4)</f>
        <v>2.4</v>
      </c>
      <c r="E1953" s="14">
        <f>IFERROR(__xludf.DUMMYFUNCTION("GOOGLEFINANCE(B1953,""Volume"")"),1627.0)</f>
        <v>1627</v>
      </c>
      <c r="F1953" s="14">
        <f t="array" ref="F1953">F1952</f>
        <v>14</v>
      </c>
      <c r="G1953" s="15" t="str">
        <f>IFERROR(__xludf.DUMMYFUNCTION("IF(E1953&gt;AVERAGE(INDEX(GOOGLEFINANCE(B1953,""volume"",WORKDAY(TODAY(),-$F$1),TODAY()),,2)),""Breakout"","""")"),"")</f>
        <v/>
      </c>
      <c r="H1953" s="16">
        <f>IFERROR(__xludf.DUMMYFUNCTION("GOOGLEFINANCE(B1953,""price"")"),2.4)</f>
        <v>2.4</v>
      </c>
      <c r="I1953" s="17">
        <f>IFERROR(__xludf.DUMMYFUNCTION("AVERAGE(QUERY(SORT(GOOGLEFINANCE(B1953,""price"",TODAY()-365,TODAY()),1,0),""select Col2 limit 10""))"),2.3260000000000005)</f>
        <v>2.326</v>
      </c>
      <c r="J1953" s="17">
        <f>IFERROR(__xludf.DUMMYFUNCTION("AVERAGE(QUERY(SORT(GOOGLEFINANCE(B1953,""price"",TODAY()-365,TODAY()),1,0),""select Col2 limit 30""))"),2.244333333333333)</f>
        <v>2.244333333</v>
      </c>
      <c r="K1953" s="18">
        <f>IFERROR(__xludf.DUMMYFUNCTION("AVERAGE(QUERY(SORT(GOOGLEFINANCE(B1953,""price"",TODAY()-365,TODAY()),1,0),""select Col2 limit 60""))"),2.2483333333333335)</f>
        <v>2.248333333</v>
      </c>
      <c r="L1953" s="17">
        <f>IFERROR(__xludf.DUMMYFUNCTION("AVERAGE(QUERY(SORT(GOOGLEFINANCE(B1953,""price"",TODAY()-365,TODAY()),1,0),""select Col2 limit 90""))"),2.239777777777778)</f>
        <v>2.239777778</v>
      </c>
      <c r="M1953" s="17">
        <f>IFERROR(__xludf.DUMMYFUNCTION("AVERAGE(QUERY(SORT(GOOGLEFINANCE(B1953,""price"",TODAY()-365,TODAY()),1,0),""select Col2 limit 120""))"),2.3059999999999996)</f>
        <v>2.306</v>
      </c>
      <c r="N1953" s="19">
        <f>IFERROR(__xludf.DUMMYFUNCTION("AVERAGE(QUERY(SORT(GOOGLEFINANCE(B1953,""price"",TODAY()-365,TODAY()),1,0),""select Col2 limit 200""))"),2.5935443037974686)</f>
        <v>2.593544304</v>
      </c>
      <c r="O1953" s="20" t="str">
        <f t="shared" si="2"/>
        <v>Buy Above 200 DMA</v>
      </c>
      <c r="P1953" s="21" t="str">
        <f t="shared" si="3"/>
        <v/>
      </c>
      <c r="Q1953" s="21" t="str">
        <f t="shared" si="4"/>
        <v/>
      </c>
      <c r="R1953" s="22" t="str">
        <f>IFERROR(__xludf.DUMMYFUNCTION("GOOGLEFINANCE(B1953, ""pe"")
"),"#N/A")</f>
        <v>#N/A</v>
      </c>
    </row>
    <row r="1954">
      <c r="A1954" s="9" t="s">
        <v>1962</v>
      </c>
      <c r="B1954" s="11" t="str">
        <f t="shared" si="1"/>
        <v>NSE:TARAPUR</v>
      </c>
      <c r="C1954" s="12">
        <f>IFERROR(__xludf.DUMMYFUNCTION("GOOGLEFINANCE(B1954,""marketcap"")/10000000"),48.4073329)</f>
        <v>48.4073329</v>
      </c>
      <c r="D1954" s="13">
        <f>IFERROR(__xludf.DUMMYFUNCTION("GOOGLEFINANCE(B1954,""price"")"),25.89)</f>
        <v>25.89</v>
      </c>
      <c r="E1954" s="14">
        <f>IFERROR(__xludf.DUMMYFUNCTION("GOOGLEFINANCE(B1954,""Volume"")"),17404.0)</f>
        <v>17404</v>
      </c>
      <c r="F1954" s="14">
        <f t="array" ref="F1954">F1953</f>
        <v>14</v>
      </c>
      <c r="G1954" s="15" t="str">
        <f>IFERROR(__xludf.DUMMYFUNCTION("IF(E1954&gt;AVERAGE(INDEX(GOOGLEFINANCE(B1954,""volume"",WORKDAY(TODAY(),-$F$1),TODAY()),,2)),""Breakout"","""")"),"Breakout")</f>
        <v>Breakout</v>
      </c>
      <c r="H1954" s="16">
        <f>IFERROR(__xludf.DUMMYFUNCTION("GOOGLEFINANCE(B1954,""price"")"),25.89)</f>
        <v>25.89</v>
      </c>
      <c r="I1954" s="17">
        <f>IFERROR(__xludf.DUMMYFUNCTION("AVERAGE(QUERY(SORT(GOOGLEFINANCE(B1954,""price"",TODAY()-365,TODAY()),1,0),""select Col2 limit 10""))"),26.793999999999993)</f>
        <v>26.794</v>
      </c>
      <c r="J1954" s="17">
        <f>IFERROR(__xludf.DUMMYFUNCTION("AVERAGE(QUERY(SORT(GOOGLEFINANCE(B1954,""price"",TODAY()-365,TODAY()),1,0),""select Col2 limit 30""))"),27.771)</f>
        <v>27.771</v>
      </c>
      <c r="K1954" s="18">
        <f>IFERROR(__xludf.DUMMYFUNCTION("AVERAGE(QUERY(SORT(GOOGLEFINANCE(B1954,""price"",TODAY()-365,TODAY()),1,0),""select Col2 limit 60""))"),27.312166666666666)</f>
        <v>27.31216667</v>
      </c>
      <c r="L1954" s="17">
        <f>IFERROR(__xludf.DUMMYFUNCTION("AVERAGE(QUERY(SORT(GOOGLEFINANCE(B1954,""price"",TODAY()-365,TODAY()),1,0),""select Col2 limit 90""))"),28.475666666666662)</f>
        <v>28.47566667</v>
      </c>
      <c r="M1954" s="17">
        <f>IFERROR(__xludf.DUMMYFUNCTION("AVERAGE(QUERY(SORT(GOOGLEFINANCE(B1954,""price"",TODAY()-365,TODAY()),1,0),""select Col2 limit 120""))"),29.368083333333328)</f>
        <v>29.36808333</v>
      </c>
      <c r="N1954" s="19">
        <f>IFERROR(__xludf.DUMMYFUNCTION("AVERAGE(QUERY(SORT(GOOGLEFINANCE(B1954,""price"",TODAY()-365,TODAY()),1,0),""select Col2 limit 200""))"),31.91185)</f>
        <v>31.91185</v>
      </c>
      <c r="O1954" s="20" t="str">
        <f t="shared" si="2"/>
        <v>Avoid</v>
      </c>
      <c r="P1954" s="21" t="str">
        <f t="shared" si="3"/>
        <v/>
      </c>
      <c r="Q1954" s="21" t="str">
        <f t="shared" si="4"/>
        <v/>
      </c>
      <c r="R1954" s="22">
        <f>IFERROR(__xludf.DUMMYFUNCTION("GOOGLEFINANCE(B1954, ""pe"")
"),3.13)</f>
        <v>3.13</v>
      </c>
    </row>
    <row r="1955">
      <c r="A1955" s="9" t="s">
        <v>1963</v>
      </c>
      <c r="B1955" s="11" t="str">
        <f t="shared" si="1"/>
        <v>NSE:ONELIFECAP</v>
      </c>
      <c r="C1955" s="12">
        <f>IFERROR(__xludf.DUMMYFUNCTION("GOOGLEFINANCE(B1955,""marketcap"")/10000000"),18.036)</f>
        <v>18.036</v>
      </c>
      <c r="D1955" s="13">
        <f>IFERROR(__xludf.DUMMYFUNCTION("GOOGLEFINANCE(B1955,""price"")"),13.5)</f>
        <v>13.5</v>
      </c>
      <c r="E1955" s="14">
        <f>IFERROR(__xludf.DUMMYFUNCTION("GOOGLEFINANCE(B1955,""Volume"")"),2195.0)</f>
        <v>2195</v>
      </c>
      <c r="F1955" s="14">
        <f t="array" ref="F1955">F1954</f>
        <v>14</v>
      </c>
      <c r="G1955" s="15" t="str">
        <f>IFERROR(__xludf.DUMMYFUNCTION("IF(E1955&gt;AVERAGE(INDEX(GOOGLEFINANCE(B1955,""volume"",WORKDAY(TODAY(),-$F$1),TODAY()),,2)),""Breakout"","""")"),"")</f>
        <v/>
      </c>
      <c r="H1955" s="16">
        <f>IFERROR(__xludf.DUMMYFUNCTION("GOOGLEFINANCE(B1955,""price"")"),13.5)</f>
        <v>13.5</v>
      </c>
      <c r="I1955" s="17">
        <f>IFERROR(__xludf.DUMMYFUNCTION("AVERAGE(QUERY(SORT(GOOGLEFINANCE(B1955,""price"",TODAY()-365,TODAY()),1,0),""select Col2 limit 10""))"),13.613999999999999)</f>
        <v>13.614</v>
      </c>
      <c r="J1955" s="17">
        <f>IFERROR(__xludf.DUMMYFUNCTION("AVERAGE(QUERY(SORT(GOOGLEFINANCE(B1955,""price"",TODAY()-365,TODAY()),1,0),""select Col2 limit 30""))"),13.95766666666667)</f>
        <v>13.95766667</v>
      </c>
      <c r="K1955" s="18">
        <f>IFERROR(__xludf.DUMMYFUNCTION("AVERAGE(QUERY(SORT(GOOGLEFINANCE(B1955,""price"",TODAY()-365,TODAY()),1,0),""select Col2 limit 60""))"),12.697666666666663)</f>
        <v>12.69766667</v>
      </c>
      <c r="L1955" s="17">
        <f>IFERROR(__xludf.DUMMYFUNCTION("AVERAGE(QUERY(SORT(GOOGLEFINANCE(B1955,""price"",TODAY()-365,TODAY()),1,0),""select Col2 limit 90""))"),11.999888888888886)</f>
        <v>11.99988889</v>
      </c>
      <c r="M1955" s="17">
        <f>IFERROR(__xludf.DUMMYFUNCTION("AVERAGE(QUERY(SORT(GOOGLEFINANCE(B1955,""price"",TODAY()-365,TODAY()),1,0),""select Col2 limit 120""))"),12.188416666666665)</f>
        <v>12.18841667</v>
      </c>
      <c r="N1955" s="19">
        <f>IFERROR(__xludf.DUMMYFUNCTION("AVERAGE(QUERY(SORT(GOOGLEFINANCE(B1955,""price"",TODAY()-365,TODAY()),1,0),""select Col2 limit 200""))"),14.005399999999998)</f>
        <v>14.0054</v>
      </c>
      <c r="O1955" s="20" t="str">
        <f t="shared" si="2"/>
        <v>Avoid</v>
      </c>
      <c r="P1955" s="21" t="str">
        <f t="shared" si="3"/>
        <v>10 DMA</v>
      </c>
      <c r="Q1955" s="21" t="str">
        <f t="shared" si="4"/>
        <v/>
      </c>
      <c r="R1955" s="22" t="str">
        <f>IFERROR(__xludf.DUMMYFUNCTION("GOOGLEFINANCE(B1955, ""pe"")
"),"#N/A")</f>
        <v>#N/A</v>
      </c>
    </row>
    <row r="1956">
      <c r="A1956" s="9" t="s">
        <v>1964</v>
      </c>
      <c r="B1956" s="11" t="str">
        <f t="shared" si="1"/>
        <v>NSE:TCIFINANCE</v>
      </c>
      <c r="C1956" s="12">
        <f>IFERROR(__xludf.DUMMYFUNCTION("GOOGLEFINANCE(B1956,""marketcap"")/10000000"),17.4808413)</f>
        <v>17.4808413</v>
      </c>
      <c r="D1956" s="13">
        <f>IFERROR(__xludf.DUMMYFUNCTION("GOOGLEFINANCE(B1956,""price"")"),13.58)</f>
        <v>13.58</v>
      </c>
      <c r="E1956" s="14">
        <f>IFERROR(__xludf.DUMMYFUNCTION("GOOGLEFINANCE(B1956,""Volume"")"),3098.0)</f>
        <v>3098</v>
      </c>
      <c r="F1956" s="14">
        <f t="array" ref="F1956">F1955</f>
        <v>14</v>
      </c>
      <c r="G1956" s="15" t="str">
        <f>IFERROR(__xludf.DUMMYFUNCTION("IF(E1956&gt;AVERAGE(INDEX(GOOGLEFINANCE(B1956,""volume"",WORKDAY(TODAY(),-$F$1),TODAY()),,2)),""Breakout"","""")"),"")</f>
        <v/>
      </c>
      <c r="H1956" s="16">
        <f>IFERROR(__xludf.DUMMYFUNCTION("GOOGLEFINANCE(B1956,""price"")"),13.58)</f>
        <v>13.58</v>
      </c>
      <c r="I1956" s="17">
        <f>IFERROR(__xludf.DUMMYFUNCTION("AVERAGE(QUERY(SORT(GOOGLEFINANCE(B1956,""price"",TODAY()-365,TODAY()),1,0),""select Col2 limit 10""))"),14.77)</f>
        <v>14.77</v>
      </c>
      <c r="J1956" s="17">
        <f>IFERROR(__xludf.DUMMYFUNCTION("AVERAGE(QUERY(SORT(GOOGLEFINANCE(B1956,""price"",TODAY()-365,TODAY()),1,0),""select Col2 limit 30""))"),15.473333333333333)</f>
        <v>15.47333333</v>
      </c>
      <c r="K1956" s="18">
        <f>IFERROR(__xludf.DUMMYFUNCTION("AVERAGE(QUERY(SORT(GOOGLEFINANCE(B1956,""price"",TODAY()-365,TODAY()),1,0),""select Col2 limit 60""))"),13.936)</f>
        <v>13.936</v>
      </c>
      <c r="L1956" s="17">
        <f>IFERROR(__xludf.DUMMYFUNCTION("AVERAGE(QUERY(SORT(GOOGLEFINANCE(B1956,""price"",TODAY()-365,TODAY()),1,0),""select Col2 limit 90""))"),13.391111111111105)</f>
        <v>13.39111111</v>
      </c>
      <c r="M1956" s="17">
        <f>IFERROR(__xludf.DUMMYFUNCTION("AVERAGE(QUERY(SORT(GOOGLEFINANCE(B1956,""price"",TODAY()-365,TODAY()),1,0),""select Col2 limit 120""))"),13.439083333333324)</f>
        <v>13.43908333</v>
      </c>
      <c r="N1956" s="19">
        <f>IFERROR(__xludf.DUMMYFUNCTION("AVERAGE(QUERY(SORT(GOOGLEFINANCE(B1956,""price"",TODAY()-365,TODAY()),1,0),""select Col2 limit 200""))"),13.86635)</f>
        <v>13.86635</v>
      </c>
      <c r="O1956" s="20" t="str">
        <f t="shared" si="2"/>
        <v>Avoid</v>
      </c>
      <c r="P1956" s="21" t="str">
        <f t="shared" si="3"/>
        <v/>
      </c>
      <c r="Q1956" s="21" t="str">
        <f t="shared" si="4"/>
        <v/>
      </c>
      <c r="R1956" s="22">
        <f>IFERROR(__xludf.DUMMYFUNCTION("GOOGLEFINANCE(B1956, ""pe"")
"),4.88)</f>
        <v>4.88</v>
      </c>
    </row>
    <row r="1957">
      <c r="A1957" s="9" t="s">
        <v>1965</v>
      </c>
      <c r="B1957" s="11" t="str">
        <f t="shared" si="1"/>
        <v>NSE:SILLYMONKS</v>
      </c>
      <c r="C1957" s="12">
        <f>IFERROR(__xludf.DUMMYFUNCTION("GOOGLEFINANCE(B1957,""marketcap"")/10000000"),18.423648)</f>
        <v>18.423648</v>
      </c>
      <c r="D1957" s="13">
        <f>IFERROR(__xludf.DUMMYFUNCTION("GOOGLEFINANCE(B1957,""price"")"),18.0)</f>
        <v>18</v>
      </c>
      <c r="E1957" s="14">
        <f>IFERROR(__xludf.DUMMYFUNCTION("GOOGLEFINANCE(B1957,""Volume"")"),18541.0)</f>
        <v>18541</v>
      </c>
      <c r="F1957" s="14">
        <f t="array" ref="F1957">F1956</f>
        <v>14</v>
      </c>
      <c r="G1957" s="15" t="str">
        <f>IFERROR(__xludf.DUMMYFUNCTION("IF(E1957&gt;AVERAGE(INDEX(GOOGLEFINANCE(B1957,""volume"",WORKDAY(TODAY(),-$F$1),TODAY()),,2)),""Breakout"","""")"),"")</f>
        <v/>
      </c>
      <c r="H1957" s="16">
        <f>IFERROR(__xludf.DUMMYFUNCTION("GOOGLEFINANCE(B1957,""price"")"),18.0)</f>
        <v>18</v>
      </c>
      <c r="I1957" s="17">
        <f>IFERROR(__xludf.DUMMYFUNCTION("AVERAGE(QUERY(SORT(GOOGLEFINANCE(B1957,""price"",TODAY()-365,TODAY()),1,0),""select Col2 limit 10""))"),18.382)</f>
        <v>18.382</v>
      </c>
      <c r="J1957" s="17">
        <f>IFERROR(__xludf.DUMMYFUNCTION("AVERAGE(QUERY(SORT(GOOGLEFINANCE(B1957,""price"",TODAY()-365,TODAY()),1,0),""select Col2 limit 30""))"),17.058000000000003)</f>
        <v>17.058</v>
      </c>
      <c r="K1957" s="18">
        <f>IFERROR(__xludf.DUMMYFUNCTION("AVERAGE(QUERY(SORT(GOOGLEFINANCE(B1957,""price"",TODAY()-365,TODAY()),1,0),""select Col2 limit 60""))"),16.75466666666667)</f>
        <v>16.75466667</v>
      </c>
      <c r="L1957" s="17">
        <f>IFERROR(__xludf.DUMMYFUNCTION("AVERAGE(QUERY(SORT(GOOGLEFINANCE(B1957,""price"",TODAY()-365,TODAY()),1,0),""select Col2 limit 90""))"),16.58688888888889)</f>
        <v>16.58688889</v>
      </c>
      <c r="M1957" s="17">
        <f>IFERROR(__xludf.DUMMYFUNCTION("AVERAGE(QUERY(SORT(GOOGLEFINANCE(B1957,""price"",TODAY()-365,TODAY()),1,0),""select Col2 limit 120""))"),17.295416666666668)</f>
        <v>17.29541667</v>
      </c>
      <c r="N1957" s="19">
        <f>IFERROR(__xludf.DUMMYFUNCTION("AVERAGE(QUERY(SORT(GOOGLEFINANCE(B1957,""price"",TODAY()-365,TODAY()),1,0),""select Col2 limit 200""))"),19.535800000000005)</f>
        <v>19.5358</v>
      </c>
      <c r="O1957" s="20" t="str">
        <f t="shared" si="2"/>
        <v>Avoid</v>
      </c>
      <c r="P1957" s="21" t="str">
        <f t="shared" si="3"/>
        <v/>
      </c>
      <c r="Q1957" s="21" t="str">
        <f t="shared" si="4"/>
        <v/>
      </c>
      <c r="R1957" s="22">
        <f>IFERROR(__xludf.DUMMYFUNCTION("GOOGLEFINANCE(B1957, ""pe"")
"),90.0)</f>
        <v>90</v>
      </c>
    </row>
    <row r="1958">
      <c r="A1958" s="9" t="s">
        <v>1966</v>
      </c>
      <c r="B1958" s="11" t="str">
        <f t="shared" si="1"/>
        <v>NSE:SHANTI</v>
      </c>
      <c r="C1958" s="12">
        <f>IFERROR(__xludf.DUMMYFUNCTION("GOOGLEFINANCE(B1958,""marketcap"")/10000000"),14.3156343)</f>
        <v>14.3156343</v>
      </c>
      <c r="D1958" s="13">
        <f>IFERROR(__xludf.DUMMYFUNCTION("GOOGLEFINANCE(B1958,""price"")"),12.89)</f>
        <v>12.89</v>
      </c>
      <c r="E1958" s="14">
        <f>IFERROR(__xludf.DUMMYFUNCTION("GOOGLEFINANCE(B1958,""Volume"")"),6783.0)</f>
        <v>6783</v>
      </c>
      <c r="F1958" s="14">
        <f t="array" ref="F1958">F1957</f>
        <v>14</v>
      </c>
      <c r="G1958" s="15" t="str">
        <f>IFERROR(__xludf.DUMMYFUNCTION("IF(E1958&gt;AVERAGE(INDEX(GOOGLEFINANCE(B1958,""volume"",WORKDAY(TODAY(),-$F$1),TODAY()),,2)),""Breakout"","""")"),"#N/A")</f>
        <v>#N/A</v>
      </c>
      <c r="H1958" s="16">
        <f>IFERROR(__xludf.DUMMYFUNCTION("GOOGLEFINANCE(B1958,""price"")"),12.89)</f>
        <v>12.89</v>
      </c>
      <c r="I1958" s="17">
        <f>IFERROR(__xludf.DUMMYFUNCTION("AVERAGE(QUERY(SORT(GOOGLEFINANCE(B1958,""price"",TODAY()-365,TODAY()),1,0),""select Col2 limit 10""))"),13.235)</f>
        <v>13.235</v>
      </c>
      <c r="J1958" s="17">
        <f>IFERROR(__xludf.DUMMYFUNCTION("AVERAGE(QUERY(SORT(GOOGLEFINANCE(B1958,""price"",TODAY()-365,TODAY()),1,0),""select Col2 limit 30""))"),15.798666666666666)</f>
        <v>15.79866667</v>
      </c>
      <c r="K1958" s="18">
        <f>IFERROR(__xludf.DUMMYFUNCTION("AVERAGE(QUERY(SORT(GOOGLEFINANCE(B1958,""price"",TODAY()-365,TODAY()),1,0),""select Col2 limit 60""))"),16.912833333333335)</f>
        <v>16.91283333</v>
      </c>
      <c r="L1958" s="17">
        <f>IFERROR(__xludf.DUMMYFUNCTION("AVERAGE(QUERY(SORT(GOOGLEFINANCE(B1958,""price"",TODAY()-365,TODAY()),1,0),""select Col2 limit 90""))"),16.13822222222223)</f>
        <v>16.13822222</v>
      </c>
      <c r="M1958" s="17">
        <f>IFERROR(__xludf.DUMMYFUNCTION("AVERAGE(QUERY(SORT(GOOGLEFINANCE(B1958,""price"",TODAY()-365,TODAY()),1,0),""select Col2 limit 120""))"),15.216083333333335)</f>
        <v>15.21608333</v>
      </c>
      <c r="N1958" s="19">
        <f>IFERROR(__xludf.DUMMYFUNCTION("AVERAGE(QUERY(SORT(GOOGLEFINANCE(B1958,""price"",TODAY()-365,TODAY()),1,0),""select Col2 limit 200""))"),15.73339999999999)</f>
        <v>15.7334</v>
      </c>
      <c r="O1958" s="20" t="str">
        <f t="shared" si="2"/>
        <v>Avoid</v>
      </c>
      <c r="P1958" s="21" t="str">
        <f t="shared" si="3"/>
        <v/>
      </c>
      <c r="Q1958" s="21" t="str">
        <f t="shared" si="4"/>
        <v/>
      </c>
      <c r="R1958" s="22" t="str">
        <f>IFERROR(__xludf.DUMMYFUNCTION("GOOGLEFINANCE(B1958, ""pe"")
"),"#N/A")</f>
        <v>#N/A</v>
      </c>
    </row>
    <row r="1959">
      <c r="A1959" s="9" t="s">
        <v>1967</v>
      </c>
      <c r="B1959" s="11" t="str">
        <f t="shared" si="1"/>
        <v>NSE:LYPSAGEMS</v>
      </c>
      <c r="C1959" s="12">
        <f>IFERROR(__xludf.DUMMYFUNCTION("GOOGLEFINANCE(B1959,""marketcap"")/10000000"),21.6707397)</f>
        <v>21.6707397</v>
      </c>
      <c r="D1959" s="13">
        <f>IFERROR(__xludf.DUMMYFUNCTION("GOOGLEFINANCE(B1959,""price"")"),7.49)</f>
        <v>7.49</v>
      </c>
      <c r="E1959" s="14">
        <f>IFERROR(__xludf.DUMMYFUNCTION("GOOGLEFINANCE(B1959,""Volume"")"),3781.0)</f>
        <v>3781</v>
      </c>
      <c r="F1959" s="14">
        <f t="array" ref="F1959">F1958</f>
        <v>14</v>
      </c>
      <c r="G1959" s="15" t="str">
        <f>IFERROR(__xludf.DUMMYFUNCTION("IF(E1959&gt;AVERAGE(INDEX(GOOGLEFINANCE(B1959,""volume"",WORKDAY(TODAY(),-$F$1),TODAY()),,2)),""Breakout"","""")"),"")</f>
        <v/>
      </c>
      <c r="H1959" s="16">
        <f>IFERROR(__xludf.DUMMYFUNCTION("GOOGLEFINANCE(B1959,""price"")"),7.49)</f>
        <v>7.49</v>
      </c>
      <c r="I1959" s="17">
        <f>IFERROR(__xludf.DUMMYFUNCTION("AVERAGE(QUERY(SORT(GOOGLEFINANCE(B1959,""price"",TODAY()-365,TODAY()),1,0),""select Col2 limit 10""))"),7.617)</f>
        <v>7.617</v>
      </c>
      <c r="J1959" s="17">
        <f>IFERROR(__xludf.DUMMYFUNCTION("AVERAGE(QUERY(SORT(GOOGLEFINANCE(B1959,""price"",TODAY()-365,TODAY()),1,0),""select Col2 limit 30""))"),7.85066666666667)</f>
        <v>7.850666667</v>
      </c>
      <c r="K1959" s="18">
        <f>IFERROR(__xludf.DUMMYFUNCTION("AVERAGE(QUERY(SORT(GOOGLEFINANCE(B1959,""price"",TODAY()-365,TODAY()),1,0),""select Col2 limit 60""))"),7.682999999999999)</f>
        <v>7.683</v>
      </c>
      <c r="L1959" s="17">
        <f>IFERROR(__xludf.DUMMYFUNCTION("AVERAGE(QUERY(SORT(GOOGLEFINANCE(B1959,""price"",TODAY()-365,TODAY()),1,0),""select Col2 limit 90""))"),7.346999999999999)</f>
        <v>7.347</v>
      </c>
      <c r="M1959" s="17">
        <f>IFERROR(__xludf.DUMMYFUNCTION("AVERAGE(QUERY(SORT(GOOGLEFINANCE(B1959,""price"",TODAY()-365,TODAY()),1,0),""select Col2 limit 120""))"),7.1397499999999985)</f>
        <v>7.13975</v>
      </c>
      <c r="N1959" s="19">
        <f>IFERROR(__xludf.DUMMYFUNCTION("AVERAGE(QUERY(SORT(GOOGLEFINANCE(B1959,""price"",TODAY()-365,TODAY()),1,0),""select Col2 limit 200""))"),7.250100000000001)</f>
        <v>7.2501</v>
      </c>
      <c r="O1959" s="20" t="str">
        <f t="shared" si="2"/>
        <v>Avoid</v>
      </c>
      <c r="P1959" s="21" t="str">
        <f t="shared" si="3"/>
        <v/>
      </c>
      <c r="Q1959" s="21" t="str">
        <f t="shared" si="4"/>
        <v/>
      </c>
      <c r="R1959" s="22" t="str">
        <f>IFERROR(__xludf.DUMMYFUNCTION("GOOGLEFINANCE(B1959, ""pe"")
"),"#N/A")</f>
        <v>#N/A</v>
      </c>
    </row>
    <row r="1960">
      <c r="A1960" s="9" t="s">
        <v>1968</v>
      </c>
      <c r="B1960" s="11" t="str">
        <f t="shared" si="1"/>
        <v>NSE:FSC</v>
      </c>
      <c r="C1960" s="12">
        <f>IFERROR(__xludf.DUMMYFUNCTION("GOOGLEFINANCE(B1960,""marketcap"")/10000000"),10.8831279)</f>
        <v>10.8831279</v>
      </c>
      <c r="D1960" s="13">
        <f>IFERROR(__xludf.DUMMYFUNCTION("GOOGLEFINANCE(B1960,""price"")"),2.48)</f>
        <v>2.48</v>
      </c>
      <c r="E1960" s="14">
        <f>IFERROR(__xludf.DUMMYFUNCTION("GOOGLEFINANCE(B1960,""Volume"")"),3153.0)</f>
        <v>3153</v>
      </c>
      <c r="F1960" s="14">
        <f t="array" ref="F1960">F1959</f>
        <v>14</v>
      </c>
      <c r="G1960" s="15" t="str">
        <f>IFERROR(__xludf.DUMMYFUNCTION("IF(E1960&gt;AVERAGE(INDEX(GOOGLEFINANCE(B1960,""volume"",WORKDAY(TODAY(),-$F$1),TODAY()),,2)),""Breakout"","""")"),"")</f>
        <v/>
      </c>
      <c r="H1960" s="16">
        <f>IFERROR(__xludf.DUMMYFUNCTION("GOOGLEFINANCE(B1960,""price"")"),2.48)</f>
        <v>2.48</v>
      </c>
      <c r="I1960" s="17">
        <f>IFERROR(__xludf.DUMMYFUNCTION("AVERAGE(QUERY(SORT(GOOGLEFINANCE(B1960,""price"",TODAY()-365,TODAY()),1,0),""select Col2 limit 10""))"),2.54)</f>
        <v>2.54</v>
      </c>
      <c r="J1960" s="17">
        <f>IFERROR(__xludf.DUMMYFUNCTION("AVERAGE(QUERY(SORT(GOOGLEFINANCE(B1960,""price"",TODAY()-365,TODAY()),1,0),""select Col2 limit 30""))"),2.3049999999999997)</f>
        <v>2.305</v>
      </c>
      <c r="K1960" s="18">
        <f>IFERROR(__xludf.DUMMYFUNCTION("AVERAGE(QUERY(SORT(GOOGLEFINANCE(B1960,""price"",TODAY()-365,TODAY()),1,0),""select Col2 limit 60""))"),2.1889999999999996)</f>
        <v>2.189</v>
      </c>
      <c r="L1960" s="17">
        <f>IFERROR(__xludf.DUMMYFUNCTION("AVERAGE(QUERY(SORT(GOOGLEFINANCE(B1960,""price"",TODAY()-365,TODAY()),1,0),""select Col2 limit 90""))"),2.059444444444444)</f>
        <v>2.059444444</v>
      </c>
      <c r="M1960" s="17">
        <f>IFERROR(__xludf.DUMMYFUNCTION("AVERAGE(QUERY(SORT(GOOGLEFINANCE(B1960,""price"",TODAY()-365,TODAY()),1,0),""select Col2 limit 120""))"),2.0669166666666663)</f>
        <v>2.066916667</v>
      </c>
      <c r="N1960" s="19">
        <f>IFERROR(__xludf.DUMMYFUNCTION("AVERAGE(QUERY(SORT(GOOGLEFINANCE(B1960,""price"",TODAY()-365,TODAY()),1,0),""select Col2 limit 200""))"),2.184465408805031)</f>
        <v>2.184465409</v>
      </c>
      <c r="O1960" s="20" t="str">
        <f t="shared" si="2"/>
        <v>Avoid</v>
      </c>
      <c r="P1960" s="21" t="str">
        <f t="shared" si="3"/>
        <v/>
      </c>
      <c r="Q1960" s="21" t="str">
        <f t="shared" si="4"/>
        <v/>
      </c>
      <c r="R1960" s="22" t="str">
        <f>IFERROR(__xludf.DUMMYFUNCTION("GOOGLEFINANCE(B1960, ""pe"")
"),"#N/A")</f>
        <v>#N/A</v>
      </c>
    </row>
    <row r="1961">
      <c r="A1961" s="9" t="s">
        <v>1969</v>
      </c>
      <c r="B1961" s="11" t="str">
        <f t="shared" si="1"/>
        <v>NSE:OMKARCHEM</v>
      </c>
      <c r="C1961" s="12">
        <f>IFERROR(__xludf.DUMMYFUNCTION("GOOGLEFINANCE(B1961,""marketcap"")/10000000"),10.5565142)</f>
        <v>10.5565142</v>
      </c>
      <c r="D1961" s="13">
        <f>IFERROR(__xludf.DUMMYFUNCTION("GOOGLEFINANCE(B1961,""price"")"),5.13)</f>
        <v>5.13</v>
      </c>
      <c r="E1961" s="14">
        <f>IFERROR(__xludf.DUMMYFUNCTION("GOOGLEFINANCE(B1961,""Volume"")"),4396.0)</f>
        <v>4396</v>
      </c>
      <c r="F1961" s="14">
        <f t="array" ref="F1961">F1960</f>
        <v>14</v>
      </c>
      <c r="G1961" s="15" t="str">
        <f>IFERROR(__xludf.DUMMYFUNCTION("IF(E1961&gt;AVERAGE(INDEX(GOOGLEFINANCE(B1961,""volume"",WORKDAY(TODAY(),-$F$1),TODAY()),,2)),""Breakout"","""")"),"")</f>
        <v/>
      </c>
      <c r="H1961" s="16">
        <f>IFERROR(__xludf.DUMMYFUNCTION("GOOGLEFINANCE(B1961,""price"")"),5.13)</f>
        <v>5.13</v>
      </c>
      <c r="I1961" s="17">
        <f>IFERROR(__xludf.DUMMYFUNCTION("AVERAGE(QUERY(SORT(GOOGLEFINANCE(B1961,""price"",TODAY()-365,TODAY()),1,0),""select Col2 limit 10""))"),6.710000000000001)</f>
        <v>6.71</v>
      </c>
      <c r="J1961" s="17">
        <f>IFERROR(__xludf.DUMMYFUNCTION("AVERAGE(QUERY(SORT(GOOGLEFINANCE(B1961,""price"",TODAY()-365,TODAY()),1,0),""select Col2 limit 30""))"),6.133)</f>
        <v>6.133</v>
      </c>
      <c r="K1961" s="18">
        <f>IFERROR(__xludf.DUMMYFUNCTION("AVERAGE(QUERY(SORT(GOOGLEFINANCE(B1961,""price"",TODAY()-365,TODAY()),1,0),""select Col2 limit 60""))"),6.123166666666667)</f>
        <v>6.123166667</v>
      </c>
      <c r="L1961" s="17">
        <f>IFERROR(__xludf.DUMMYFUNCTION("AVERAGE(QUERY(SORT(GOOGLEFINANCE(B1961,""price"",TODAY()-365,TODAY()),1,0),""select Col2 limit 90""))"),6.85522222222222)</f>
        <v>6.855222222</v>
      </c>
      <c r="M1961" s="17">
        <f>IFERROR(__xludf.DUMMYFUNCTION("AVERAGE(QUERY(SORT(GOOGLEFINANCE(B1961,""price"",TODAY()-365,TODAY()),1,0),""select Col2 limit 120""))"),7.379666666666663)</f>
        <v>7.379666667</v>
      </c>
      <c r="N1961" s="19">
        <f>IFERROR(__xludf.DUMMYFUNCTION("AVERAGE(QUERY(SORT(GOOGLEFINANCE(B1961,""price"",TODAY()-365,TODAY()),1,0),""select Col2 limit 200""))"),7.617826086956517)</f>
        <v>7.617826087</v>
      </c>
      <c r="O1961" s="20" t="str">
        <f t="shared" si="2"/>
        <v>Avoid</v>
      </c>
      <c r="P1961" s="21" t="str">
        <f t="shared" si="3"/>
        <v/>
      </c>
      <c r="Q1961" s="21" t="str">
        <f t="shared" si="4"/>
        <v/>
      </c>
      <c r="R1961" s="22" t="str">
        <f>IFERROR(__xludf.DUMMYFUNCTION("GOOGLEFINANCE(B1961, ""pe"")
"),"#N/A")</f>
        <v>#N/A</v>
      </c>
    </row>
    <row r="1962">
      <c r="A1962" s="9" t="s">
        <v>1970</v>
      </c>
      <c r="B1962" s="11" t="str">
        <f t="shared" si="1"/>
        <v>NSE:SHYAMTEL</v>
      </c>
      <c r="C1962" s="12">
        <f>IFERROR(__xludf.DUMMYFUNCTION("GOOGLEFINANCE(B1962,""marketcap"")/10000000"),15.6652995)</f>
        <v>15.6652995</v>
      </c>
      <c r="D1962" s="13">
        <f>IFERROR(__xludf.DUMMYFUNCTION("GOOGLEFINANCE(B1962,""price"")"),14.9)</f>
        <v>14.9</v>
      </c>
      <c r="E1962" s="14">
        <f>IFERROR(__xludf.DUMMYFUNCTION("GOOGLEFINANCE(B1962,""Volume"")"),1580.0)</f>
        <v>1580</v>
      </c>
      <c r="F1962" s="14">
        <f t="array" ref="F1962">F1961</f>
        <v>14</v>
      </c>
      <c r="G1962" s="15" t="str">
        <f>IFERROR(__xludf.DUMMYFUNCTION("IF(E1962&gt;AVERAGE(INDEX(GOOGLEFINANCE(B1962,""volume"",WORKDAY(TODAY(),-$F$1),TODAY()),,2)),""Breakout"","""")"),"")</f>
        <v/>
      </c>
      <c r="H1962" s="16">
        <f>IFERROR(__xludf.DUMMYFUNCTION("GOOGLEFINANCE(B1962,""price"")"),14.9)</f>
        <v>14.9</v>
      </c>
      <c r="I1962" s="17">
        <f>IFERROR(__xludf.DUMMYFUNCTION("AVERAGE(QUERY(SORT(GOOGLEFINANCE(B1962,""price"",TODAY()-365,TODAY()),1,0),""select Col2 limit 10""))"),15.366)</f>
        <v>15.366</v>
      </c>
      <c r="J1962" s="17">
        <f>IFERROR(__xludf.DUMMYFUNCTION("AVERAGE(QUERY(SORT(GOOGLEFINANCE(B1962,""price"",TODAY()-365,TODAY()),1,0),""select Col2 limit 30""))"),15.9)</f>
        <v>15.9</v>
      </c>
      <c r="K1962" s="18">
        <f>IFERROR(__xludf.DUMMYFUNCTION("AVERAGE(QUERY(SORT(GOOGLEFINANCE(B1962,""price"",TODAY()-365,TODAY()),1,0),""select Col2 limit 60""))"),14.457500000000001)</f>
        <v>14.4575</v>
      </c>
      <c r="L1962" s="17">
        <f>IFERROR(__xludf.DUMMYFUNCTION("AVERAGE(QUERY(SORT(GOOGLEFINANCE(B1962,""price"",TODAY()-365,TODAY()),1,0),""select Col2 limit 90""))"),14.032333333333337)</f>
        <v>14.03233333</v>
      </c>
      <c r="M1962" s="17">
        <f>IFERROR(__xludf.DUMMYFUNCTION("AVERAGE(QUERY(SORT(GOOGLEFINANCE(B1962,""price"",TODAY()-365,TODAY()),1,0),""select Col2 limit 120""))"),13.992916666666673)</f>
        <v>13.99291667</v>
      </c>
      <c r="N1962" s="19">
        <f>IFERROR(__xludf.DUMMYFUNCTION("AVERAGE(QUERY(SORT(GOOGLEFINANCE(B1962,""price"",TODAY()-365,TODAY()),1,0),""select Col2 limit 200""))"),17.154650000000007)</f>
        <v>17.15465</v>
      </c>
      <c r="O1962" s="20" t="str">
        <f t="shared" si="2"/>
        <v>Avoid</v>
      </c>
      <c r="P1962" s="21" t="str">
        <f t="shared" si="3"/>
        <v/>
      </c>
      <c r="Q1962" s="21" t="str">
        <f t="shared" si="4"/>
        <v/>
      </c>
      <c r="R1962" s="22" t="str">
        <f>IFERROR(__xludf.DUMMYFUNCTION("GOOGLEFINANCE(B1962, ""pe"")
"),"#N/A")</f>
        <v>#N/A</v>
      </c>
    </row>
    <row r="1963">
      <c r="A1963" s="9" t="s">
        <v>1971</v>
      </c>
      <c r="B1963" s="11" t="str">
        <f t="shared" si="1"/>
        <v>NSE:ORTINLAB</v>
      </c>
      <c r="C1963" s="12" t="str">
        <f>IFERROR(__xludf.DUMMYFUNCTION("GOOGLEFINANCE(B1963,""marketcap"")/10000000"),"#N/A")</f>
        <v>#N/A</v>
      </c>
      <c r="D1963" s="13" t="str">
        <f>IFERROR(__xludf.DUMMYFUNCTION("GOOGLEFINANCE(B1963,""price"")"),"#N/A")</f>
        <v>#N/A</v>
      </c>
      <c r="E1963" s="14" t="str">
        <f>IFERROR(__xludf.DUMMYFUNCTION("GOOGLEFINANCE(B1963,""Volume"")"),"#N/A")</f>
        <v>#N/A</v>
      </c>
      <c r="F1963" s="14">
        <f t="array" ref="F1963">F1962</f>
        <v>14</v>
      </c>
      <c r="G1963" s="15" t="str">
        <f>IFERROR(__xludf.DUMMYFUNCTION("IF(E1963&gt;AVERAGE(INDEX(GOOGLEFINANCE(B1963,""volume"",WORKDAY(TODAY(),-$F$1),TODAY()),,2)),""Breakout"","""")"),"#N/A")</f>
        <v>#N/A</v>
      </c>
      <c r="H1963" s="16" t="str">
        <f>IFERROR(__xludf.DUMMYFUNCTION("GOOGLEFINANCE(B1963,""price"")"),"#N/A")</f>
        <v>#N/A</v>
      </c>
      <c r="I1963" s="17" t="str">
        <f>IFERROR(__xludf.DUMMYFUNCTION("AVERAGE(QUERY(SORT(GOOGLEFINANCE(B1963,""price"",TODAY()-365,TODAY()),1,0),""select Col2 limit 10""))"),"#N/A")</f>
        <v>#N/A</v>
      </c>
      <c r="J1963" s="17" t="str">
        <f>IFERROR(__xludf.DUMMYFUNCTION("AVERAGE(QUERY(SORT(GOOGLEFINANCE(B1963,""price"",TODAY()-365,TODAY()),1,0),""select Col2 limit 30""))"),"#N/A")</f>
        <v>#N/A</v>
      </c>
      <c r="K1963" s="18" t="str">
        <f>IFERROR(__xludf.DUMMYFUNCTION("AVERAGE(QUERY(SORT(GOOGLEFINANCE(B1963,""price"",TODAY()-365,TODAY()),1,0),""select Col2 limit 60""))"),"#N/A")</f>
        <v>#N/A</v>
      </c>
      <c r="L1963" s="17" t="str">
        <f>IFERROR(__xludf.DUMMYFUNCTION("AVERAGE(QUERY(SORT(GOOGLEFINANCE(B1963,""price"",TODAY()-365,TODAY()),1,0),""select Col2 limit 90""))"),"#N/A")</f>
        <v>#N/A</v>
      </c>
      <c r="M1963" s="17" t="str">
        <f>IFERROR(__xludf.DUMMYFUNCTION("AVERAGE(QUERY(SORT(GOOGLEFINANCE(B1963,""price"",TODAY()-365,TODAY()),1,0),""select Col2 limit 120""))"),"#N/A")</f>
        <v>#N/A</v>
      </c>
      <c r="N1963" s="19" t="str">
        <f>IFERROR(__xludf.DUMMYFUNCTION("AVERAGE(QUERY(SORT(GOOGLEFINANCE(B1963,""price"",TODAY()-365,TODAY()),1,0),""select Col2 limit 200""))"),"#N/A")</f>
        <v>#N/A</v>
      </c>
      <c r="O1963" s="20" t="str">
        <f t="shared" si="2"/>
        <v>#N/A</v>
      </c>
      <c r="P1963" s="21" t="str">
        <f t="shared" si="3"/>
        <v>#N/A</v>
      </c>
      <c r="Q1963" s="21" t="str">
        <f t="shared" si="4"/>
        <v>#N/A</v>
      </c>
      <c r="R1963" s="22" t="str">
        <f>IFERROR(__xludf.DUMMYFUNCTION("GOOGLEFINANCE(B1963, ""pe"")
"),"#N/A")</f>
        <v>#N/A</v>
      </c>
    </row>
    <row r="1964">
      <c r="A1964" s="9" t="s">
        <v>1972</v>
      </c>
      <c r="B1964" s="11" t="str">
        <f t="shared" si="1"/>
        <v>NSE:RADAAN</v>
      </c>
      <c r="C1964" s="12">
        <f>IFERROR(__xludf.DUMMYFUNCTION("GOOGLEFINANCE(B1964,""marketcap"")/10000000"),21.3938085)</f>
        <v>21.3938085</v>
      </c>
      <c r="D1964" s="13">
        <f>IFERROR(__xludf.DUMMYFUNCTION("GOOGLEFINANCE(B1964,""price"")"),3.95)</f>
        <v>3.95</v>
      </c>
      <c r="E1964" s="14">
        <f>IFERROR(__xludf.DUMMYFUNCTION("GOOGLEFINANCE(B1964,""Volume"")"),49506.0)</f>
        <v>49506</v>
      </c>
      <c r="F1964" s="14">
        <f t="array" ref="F1964">F1963</f>
        <v>14</v>
      </c>
      <c r="G1964" s="15" t="str">
        <f>IFERROR(__xludf.DUMMYFUNCTION("IF(E1964&gt;AVERAGE(INDEX(GOOGLEFINANCE(B1964,""volume"",WORKDAY(TODAY(),-$F$1),TODAY()),,2)),""Breakout"","""")"),"Breakout")</f>
        <v>Breakout</v>
      </c>
      <c r="H1964" s="16">
        <f>IFERROR(__xludf.DUMMYFUNCTION("GOOGLEFINANCE(B1964,""price"")"),3.95)</f>
        <v>3.95</v>
      </c>
      <c r="I1964" s="17">
        <f>IFERROR(__xludf.DUMMYFUNCTION("AVERAGE(QUERY(SORT(GOOGLEFINANCE(B1964,""price"",TODAY()-365,TODAY()),1,0),""select Col2 limit 10""))"),4.114)</f>
        <v>4.114</v>
      </c>
      <c r="J1964" s="17">
        <f>IFERROR(__xludf.DUMMYFUNCTION("AVERAGE(QUERY(SORT(GOOGLEFINANCE(B1964,""price"",TODAY()-365,TODAY()),1,0),""select Col2 limit 30""))"),4.261666666666667)</f>
        <v>4.261666667</v>
      </c>
      <c r="K1964" s="18">
        <f>IFERROR(__xludf.DUMMYFUNCTION("AVERAGE(QUERY(SORT(GOOGLEFINANCE(B1964,""price"",TODAY()-365,TODAY()),1,0),""select Col2 limit 60""))"),4.116000000000001)</f>
        <v>4.116</v>
      </c>
      <c r="L1964" s="17">
        <f>IFERROR(__xludf.DUMMYFUNCTION("AVERAGE(QUERY(SORT(GOOGLEFINANCE(B1964,""price"",TODAY()-365,TODAY()),1,0),""select Col2 limit 90""))"),4.005444444444444)</f>
        <v>4.005444444</v>
      </c>
      <c r="M1964" s="17">
        <f>IFERROR(__xludf.DUMMYFUNCTION("AVERAGE(QUERY(SORT(GOOGLEFINANCE(B1964,""price"",TODAY()-365,TODAY()),1,0),""select Col2 limit 120""))"),4.019499999999999)</f>
        <v>4.0195</v>
      </c>
      <c r="N1964" s="19">
        <f>IFERROR(__xludf.DUMMYFUNCTION("AVERAGE(QUERY(SORT(GOOGLEFINANCE(B1964,""price"",TODAY()-365,TODAY()),1,0),""select Col2 limit 200""))"),4.408999999999999)</f>
        <v>4.409</v>
      </c>
      <c r="O1964" s="20" t="str">
        <f t="shared" si="2"/>
        <v>Avoid</v>
      </c>
      <c r="P1964" s="21" t="str">
        <f t="shared" si="3"/>
        <v/>
      </c>
      <c r="Q1964" s="21" t="str">
        <f t="shared" si="4"/>
        <v/>
      </c>
      <c r="R1964" s="22">
        <f>IFERROR(__xludf.DUMMYFUNCTION("GOOGLEFINANCE(B1964, ""pe"")
"),65.83)</f>
        <v>65.83</v>
      </c>
    </row>
    <row r="1965">
      <c r="A1965" s="9" t="s">
        <v>1973</v>
      </c>
      <c r="B1965" s="11" t="str">
        <f t="shared" si="1"/>
        <v>NSE:ARENTERP</v>
      </c>
      <c r="C1965" s="12">
        <f>IFERROR(__xludf.DUMMYFUNCTION("GOOGLEFINANCE(B1965,""marketcap"")/10000000"),14.5250764)</f>
        <v>14.5250764</v>
      </c>
      <c r="D1965" s="13">
        <f>IFERROR(__xludf.DUMMYFUNCTION("GOOGLEFINANCE(B1965,""price"")"),46.73)</f>
        <v>46.73</v>
      </c>
      <c r="E1965" s="14">
        <f>IFERROR(__xludf.DUMMYFUNCTION("GOOGLEFINANCE(B1965,""Volume"")"),290.0)</f>
        <v>290</v>
      </c>
      <c r="F1965" s="14">
        <f t="array" ref="F1965">F1964</f>
        <v>14</v>
      </c>
      <c r="G1965" s="15" t="str">
        <f>IFERROR(__xludf.DUMMYFUNCTION("IF(E1965&gt;AVERAGE(INDEX(GOOGLEFINANCE(B1965,""volume"",WORKDAY(TODAY(),-$F$1),TODAY()),,2)),""Breakout"","""")"),"")</f>
        <v/>
      </c>
      <c r="H1965" s="16">
        <f>IFERROR(__xludf.DUMMYFUNCTION("GOOGLEFINANCE(B1965,""price"")"),46.73)</f>
        <v>46.73</v>
      </c>
      <c r="I1965" s="17">
        <f>IFERROR(__xludf.DUMMYFUNCTION("AVERAGE(QUERY(SORT(GOOGLEFINANCE(B1965,""price"",TODAY()-365,TODAY()),1,0),""select Col2 limit 10""))"),49.06000000000001)</f>
        <v>49.06</v>
      </c>
      <c r="J1965" s="17">
        <f>IFERROR(__xludf.DUMMYFUNCTION("AVERAGE(QUERY(SORT(GOOGLEFINANCE(B1965,""price"",TODAY()-365,TODAY()),1,0),""select Col2 limit 30""))"),50.419666666666664)</f>
        <v>50.41966667</v>
      </c>
      <c r="K1965" s="18">
        <f>IFERROR(__xludf.DUMMYFUNCTION("AVERAGE(QUERY(SORT(GOOGLEFINANCE(B1965,""price"",TODAY()-365,TODAY()),1,0),""select Col2 limit 60""))"),48.373500000000014)</f>
        <v>48.3735</v>
      </c>
      <c r="L1965" s="17">
        <f>IFERROR(__xludf.DUMMYFUNCTION("AVERAGE(QUERY(SORT(GOOGLEFINANCE(B1965,""price"",TODAY()-365,TODAY()),1,0),""select Col2 limit 90""))"),47.09211111111113)</f>
        <v>47.09211111</v>
      </c>
      <c r="M1965" s="17">
        <f>IFERROR(__xludf.DUMMYFUNCTION("AVERAGE(QUERY(SORT(GOOGLEFINANCE(B1965,""price"",TODAY()-365,TODAY()),1,0),""select Col2 limit 120""))"),46.22883333333334)</f>
        <v>46.22883333</v>
      </c>
      <c r="N1965" s="19">
        <f>IFERROR(__xludf.DUMMYFUNCTION("AVERAGE(QUERY(SORT(GOOGLEFINANCE(B1965,""price"",TODAY()-365,TODAY()),1,0),""select Col2 limit 200""))"),48.51510000000002)</f>
        <v>48.5151</v>
      </c>
      <c r="O1965" s="20" t="str">
        <f t="shared" si="2"/>
        <v>Avoid</v>
      </c>
      <c r="P1965" s="21" t="str">
        <f t="shared" si="3"/>
        <v>90 DMA</v>
      </c>
      <c r="Q1965" s="21" t="str">
        <f t="shared" si="4"/>
        <v/>
      </c>
      <c r="R1965" s="22">
        <f>IFERROR(__xludf.DUMMYFUNCTION("GOOGLEFINANCE(B1965, ""pe"")
"),61.49)</f>
        <v>61.49</v>
      </c>
    </row>
    <row r="1966">
      <c r="A1966" s="9" t="s">
        <v>1974</v>
      </c>
      <c r="B1966" s="11" t="str">
        <f t="shared" si="1"/>
        <v>NSE:ALPSINDUS</v>
      </c>
      <c r="C1966" s="12">
        <f>IFERROR(__xludf.DUMMYFUNCTION("GOOGLEFINANCE(B1966,""marketcap"")/10000000"),8.0575043)</f>
        <v>8.0575043</v>
      </c>
      <c r="D1966" s="13">
        <f>IFERROR(__xludf.DUMMYFUNCTION("GOOGLEFINANCE(B1966,""price"")"),2.06)</f>
        <v>2.06</v>
      </c>
      <c r="E1966" s="14">
        <f>IFERROR(__xludf.DUMMYFUNCTION("GOOGLEFINANCE(B1966,""Volume"")"),4144.0)</f>
        <v>4144</v>
      </c>
      <c r="F1966" s="14">
        <f t="array" ref="F1966">F1965</f>
        <v>14</v>
      </c>
      <c r="G1966" s="15" t="str">
        <f>IFERROR(__xludf.DUMMYFUNCTION("IF(E1966&gt;AVERAGE(INDEX(GOOGLEFINANCE(B1966,""volume"",WORKDAY(TODAY(),-$F$1),TODAY()),,2)),""Breakout"","""")"),"")</f>
        <v/>
      </c>
      <c r="H1966" s="16">
        <f>IFERROR(__xludf.DUMMYFUNCTION("GOOGLEFINANCE(B1966,""price"")"),2.06)</f>
        <v>2.06</v>
      </c>
      <c r="I1966" s="17">
        <f>IFERROR(__xludf.DUMMYFUNCTION("AVERAGE(QUERY(SORT(GOOGLEFINANCE(B1966,""price"",TODAY()-365,TODAY()),1,0),""select Col2 limit 10""))"),2.6)</f>
        <v>2.6</v>
      </c>
      <c r="J1966" s="17">
        <f>IFERROR(__xludf.DUMMYFUNCTION("AVERAGE(QUERY(SORT(GOOGLEFINANCE(B1966,""price"",TODAY()-365,TODAY()),1,0),""select Col2 limit 30""))"),2.459)</f>
        <v>2.459</v>
      </c>
      <c r="K1966" s="18">
        <f>IFERROR(__xludf.DUMMYFUNCTION("AVERAGE(QUERY(SORT(GOOGLEFINANCE(B1966,""price"",TODAY()-365,TODAY()),1,0),""select Col2 limit 60""))"),2.4413333333333336)</f>
        <v>2.441333333</v>
      </c>
      <c r="L1966" s="17">
        <f>IFERROR(__xludf.DUMMYFUNCTION("AVERAGE(QUERY(SORT(GOOGLEFINANCE(B1966,""price"",TODAY()-365,TODAY()),1,0),""select Col2 limit 90""))"),2.4641111111111114)</f>
        <v>2.464111111</v>
      </c>
      <c r="M1966" s="17">
        <f>IFERROR(__xludf.DUMMYFUNCTION("AVERAGE(QUERY(SORT(GOOGLEFINANCE(B1966,""price"",TODAY()-365,TODAY()),1,0),""select Col2 limit 120""))"),2.524083333333333)</f>
        <v>2.524083333</v>
      </c>
      <c r="N1966" s="19">
        <f>IFERROR(__xludf.DUMMYFUNCTION("AVERAGE(QUERY(SORT(GOOGLEFINANCE(B1966,""price"",TODAY()-365,TODAY()),1,0),""select Col2 limit 200""))"),2.986701030927835)</f>
        <v>2.986701031</v>
      </c>
      <c r="O1966" s="20" t="str">
        <f t="shared" si="2"/>
        <v>Avoid</v>
      </c>
      <c r="P1966" s="21" t="str">
        <f t="shared" si="3"/>
        <v/>
      </c>
      <c r="Q1966" s="21" t="str">
        <f t="shared" si="4"/>
        <v/>
      </c>
      <c r="R1966" s="22" t="str">
        <f>IFERROR(__xludf.DUMMYFUNCTION("GOOGLEFINANCE(B1966, ""pe"")
"),"#N/A")</f>
        <v>#N/A</v>
      </c>
    </row>
    <row r="1967">
      <c r="A1967" s="9" t="s">
        <v>1975</v>
      </c>
      <c r="B1967" s="11" t="str">
        <f t="shared" si="1"/>
        <v>NSE:DCMFINSERV</v>
      </c>
      <c r="C1967" s="12">
        <f>IFERROR(__xludf.DUMMYFUNCTION("GOOGLEFINANCE(B1967,""marketcap"")/10000000"),13.3856556)</f>
        <v>13.3856556</v>
      </c>
      <c r="D1967" s="13">
        <f>IFERROR(__xludf.DUMMYFUNCTION("GOOGLEFINANCE(B1967,""price"")"),6.05)</f>
        <v>6.05</v>
      </c>
      <c r="E1967" s="14">
        <f>IFERROR(__xludf.DUMMYFUNCTION("GOOGLEFINANCE(B1967,""Volume"")"),5426.0)</f>
        <v>5426</v>
      </c>
      <c r="F1967" s="14">
        <f t="array" ref="F1967">F1966</f>
        <v>14</v>
      </c>
      <c r="G1967" s="15" t="str">
        <f>IFERROR(__xludf.DUMMYFUNCTION("IF(E1967&gt;AVERAGE(INDEX(GOOGLEFINANCE(B1967,""volume"",WORKDAY(TODAY(),-$F$1),TODAY()),,2)),""Breakout"","""")"),"")</f>
        <v/>
      </c>
      <c r="H1967" s="16">
        <f>IFERROR(__xludf.DUMMYFUNCTION("GOOGLEFINANCE(B1967,""price"")"),6.05)</f>
        <v>6.05</v>
      </c>
      <c r="I1967" s="17">
        <f>IFERROR(__xludf.DUMMYFUNCTION("AVERAGE(QUERY(SORT(GOOGLEFINANCE(B1967,""price"",TODAY()-365,TODAY()),1,0),""select Col2 limit 10""))"),6.5280000000000005)</f>
        <v>6.528</v>
      </c>
      <c r="J1967" s="17">
        <f>IFERROR(__xludf.DUMMYFUNCTION("AVERAGE(QUERY(SORT(GOOGLEFINANCE(B1967,""price"",TODAY()-365,TODAY()),1,0),""select Col2 limit 30""))"),6.696666666666668)</f>
        <v>6.696666667</v>
      </c>
      <c r="K1967" s="18">
        <f>IFERROR(__xludf.DUMMYFUNCTION("AVERAGE(QUERY(SORT(GOOGLEFINANCE(B1967,""price"",TODAY()-365,TODAY()),1,0),""select Col2 limit 60""))"),6.794166666666667)</f>
        <v>6.794166667</v>
      </c>
      <c r="L1967" s="17">
        <f>IFERROR(__xludf.DUMMYFUNCTION("AVERAGE(QUERY(SORT(GOOGLEFINANCE(B1967,""price"",TODAY()-365,TODAY()),1,0),""select Col2 limit 90""))"),6.364666666666666)</f>
        <v>6.364666667</v>
      </c>
      <c r="M1967" s="17">
        <f>IFERROR(__xludf.DUMMYFUNCTION("AVERAGE(QUERY(SORT(GOOGLEFINANCE(B1967,""price"",TODAY()-365,TODAY()),1,0),""select Col2 limit 120""))"),6.300833333333334)</f>
        <v>6.300833333</v>
      </c>
      <c r="N1967" s="19">
        <f>IFERROR(__xludf.DUMMYFUNCTION("AVERAGE(QUERY(SORT(GOOGLEFINANCE(B1967,""price"",TODAY()-365,TODAY()),1,0),""select Col2 limit 200""))"),6.680550000000002)</f>
        <v>6.68055</v>
      </c>
      <c r="O1967" s="20" t="str">
        <f t="shared" si="2"/>
        <v>Avoid</v>
      </c>
      <c r="P1967" s="21" t="str">
        <f t="shared" si="3"/>
        <v/>
      </c>
      <c r="Q1967" s="21" t="str">
        <f t="shared" si="4"/>
        <v/>
      </c>
      <c r="R1967" s="22" t="str">
        <f>IFERROR(__xludf.DUMMYFUNCTION("GOOGLEFINANCE(B1967, ""pe"")
"),"#N/A")</f>
        <v>#N/A</v>
      </c>
    </row>
    <row r="1968">
      <c r="A1968" s="9" t="s">
        <v>1976</v>
      </c>
      <c r="B1968" s="11" t="str">
        <f t="shared" si="1"/>
        <v>NSE:EUROTEXIND</v>
      </c>
      <c r="C1968" s="12">
        <f>IFERROR(__xludf.DUMMYFUNCTION("GOOGLEFINANCE(B1968,""marketcap"")/10000000"),12.0048108)</f>
        <v>12.0048108</v>
      </c>
      <c r="D1968" s="13">
        <f>IFERROR(__xludf.DUMMYFUNCTION("GOOGLEFINANCE(B1968,""price"")"),13.72)</f>
        <v>13.72</v>
      </c>
      <c r="E1968" s="14">
        <f>IFERROR(__xludf.DUMMYFUNCTION("GOOGLEFINANCE(B1968,""Volume"")"),350.0)</f>
        <v>350</v>
      </c>
      <c r="F1968" s="14">
        <f t="array" ref="F1968">F1967</f>
        <v>14</v>
      </c>
      <c r="G1968" s="15" t="str">
        <f>IFERROR(__xludf.DUMMYFUNCTION("IF(E1968&gt;AVERAGE(INDEX(GOOGLEFINANCE(B1968,""volume"",WORKDAY(TODAY(),-$F$1),TODAY()),,2)),""Breakout"","""")"),"")</f>
        <v/>
      </c>
      <c r="H1968" s="16">
        <f>IFERROR(__xludf.DUMMYFUNCTION("GOOGLEFINANCE(B1968,""price"")"),13.72)</f>
        <v>13.72</v>
      </c>
      <c r="I1968" s="17">
        <f>IFERROR(__xludf.DUMMYFUNCTION("AVERAGE(QUERY(SORT(GOOGLEFINANCE(B1968,""price"",TODAY()-365,TODAY()),1,0),""select Col2 limit 10""))"),14.288999999999998)</f>
        <v>14.289</v>
      </c>
      <c r="J1968" s="17">
        <f>IFERROR(__xludf.DUMMYFUNCTION("AVERAGE(QUERY(SORT(GOOGLEFINANCE(B1968,""price"",TODAY()-365,TODAY()),1,0),""select Col2 limit 30""))"),14.802666666666669)</f>
        <v>14.80266667</v>
      </c>
      <c r="K1968" s="18">
        <f>IFERROR(__xludf.DUMMYFUNCTION("AVERAGE(QUERY(SORT(GOOGLEFINANCE(B1968,""price"",TODAY()-365,TODAY()),1,0),""select Col2 limit 60""))"),14.584333333333332)</f>
        <v>14.58433333</v>
      </c>
      <c r="L1968" s="17">
        <f>IFERROR(__xludf.DUMMYFUNCTION("AVERAGE(QUERY(SORT(GOOGLEFINANCE(B1968,""price"",TODAY()-365,TODAY()),1,0),""select Col2 limit 90""))"),14.233111111111114)</f>
        <v>14.23311111</v>
      </c>
      <c r="M1968" s="17">
        <f>IFERROR(__xludf.DUMMYFUNCTION("AVERAGE(QUERY(SORT(GOOGLEFINANCE(B1968,""price"",TODAY()-365,TODAY()),1,0),""select Col2 limit 120""))"),14.005500000000003)</f>
        <v>14.0055</v>
      </c>
      <c r="N1968" s="19">
        <f>IFERROR(__xludf.DUMMYFUNCTION("AVERAGE(QUERY(SORT(GOOGLEFINANCE(B1968,""price"",TODAY()-365,TODAY()),1,0),""select Col2 limit 200""))"),13.9264)</f>
        <v>13.9264</v>
      </c>
      <c r="O1968" s="20" t="str">
        <f t="shared" si="2"/>
        <v>Avoid</v>
      </c>
      <c r="P1968" s="21" t="str">
        <f t="shared" si="3"/>
        <v/>
      </c>
      <c r="Q1968" s="21" t="str">
        <f t="shared" si="4"/>
        <v/>
      </c>
      <c r="R1968" s="22" t="str">
        <f>IFERROR(__xludf.DUMMYFUNCTION("GOOGLEFINANCE(B1968, ""pe"")
"),"#N/A")</f>
        <v>#N/A</v>
      </c>
    </row>
    <row r="1969">
      <c r="A1969" s="9" t="s">
        <v>1977</v>
      </c>
      <c r="B1969" s="11" t="str">
        <f t="shared" si="1"/>
        <v>NSE:CREATIVEYE</v>
      </c>
      <c r="C1969" s="12">
        <f>IFERROR(__xludf.DUMMYFUNCTION("GOOGLEFINANCE(B1969,""marketcap"")/10000000"),14.8832142)</f>
        <v>14.8832142</v>
      </c>
      <c r="D1969" s="13">
        <f>IFERROR(__xludf.DUMMYFUNCTION("GOOGLEFINANCE(B1969,""price"")"),7.42)</f>
        <v>7.42</v>
      </c>
      <c r="E1969" s="14">
        <f>IFERROR(__xludf.DUMMYFUNCTION("GOOGLEFINANCE(B1969,""Volume"")"),911.0)</f>
        <v>911</v>
      </c>
      <c r="F1969" s="14">
        <f t="array" ref="F1969">F1968</f>
        <v>14</v>
      </c>
      <c r="G1969" s="15" t="str">
        <f>IFERROR(__xludf.DUMMYFUNCTION("IF(E1969&gt;AVERAGE(INDEX(GOOGLEFINANCE(B1969,""volume"",WORKDAY(TODAY(),-$F$1),TODAY()),,2)),""Breakout"","""")"),"")</f>
        <v/>
      </c>
      <c r="H1969" s="16">
        <f>IFERROR(__xludf.DUMMYFUNCTION("GOOGLEFINANCE(B1969,""price"")"),7.42)</f>
        <v>7.42</v>
      </c>
      <c r="I1969" s="17">
        <f>IFERROR(__xludf.DUMMYFUNCTION("AVERAGE(QUERY(SORT(GOOGLEFINANCE(B1969,""price"",TODAY()-365,TODAY()),1,0),""select Col2 limit 10""))"),8.106)</f>
        <v>8.106</v>
      </c>
      <c r="J1969" s="17">
        <f>IFERROR(__xludf.DUMMYFUNCTION("AVERAGE(QUERY(SORT(GOOGLEFINANCE(B1969,""price"",TODAY()-365,TODAY()),1,0),""select Col2 limit 30""))"),8.918000000000001)</f>
        <v>8.918</v>
      </c>
      <c r="K1969" s="18">
        <f>IFERROR(__xludf.DUMMYFUNCTION("AVERAGE(QUERY(SORT(GOOGLEFINANCE(B1969,""price"",TODAY()-365,TODAY()),1,0),""select Col2 limit 60""))"),8.111166666666666)</f>
        <v>8.111166667</v>
      </c>
      <c r="L1969" s="17">
        <f>IFERROR(__xludf.DUMMYFUNCTION("AVERAGE(QUERY(SORT(GOOGLEFINANCE(B1969,""price"",TODAY()-365,TODAY()),1,0),""select Col2 limit 90""))"),7.4997777777777745)</f>
        <v>7.499777778</v>
      </c>
      <c r="M1969" s="17">
        <f>IFERROR(__xludf.DUMMYFUNCTION("AVERAGE(QUERY(SORT(GOOGLEFINANCE(B1969,""price"",TODAY()-365,TODAY()),1,0),""select Col2 limit 120""))"),7.267249999999999)</f>
        <v>7.26725</v>
      </c>
      <c r="N1969" s="19">
        <f>IFERROR(__xludf.DUMMYFUNCTION("AVERAGE(QUERY(SORT(GOOGLEFINANCE(B1969,""price"",TODAY()-365,TODAY()),1,0),""select Col2 limit 200""))"),7.483750000000003)</f>
        <v>7.48375</v>
      </c>
      <c r="O1969" s="20" t="str">
        <f t="shared" si="2"/>
        <v>Avoid</v>
      </c>
      <c r="P1969" s="21" t="str">
        <f t="shared" si="3"/>
        <v>200 DMA</v>
      </c>
      <c r="Q1969" s="21" t="str">
        <f t="shared" si="4"/>
        <v/>
      </c>
      <c r="R1969" s="22" t="str">
        <f>IFERROR(__xludf.DUMMYFUNCTION("GOOGLEFINANCE(B1969, ""pe"")
"),"#N/A")</f>
        <v>#N/A</v>
      </c>
    </row>
  </sheetData>
  <conditionalFormatting sqref="Q1:Q1969">
    <cfRule type="notContainsBlanks" dxfId="0" priority="1">
      <formula>LEN(TRIM(Q1))&gt;0</formula>
    </cfRule>
  </conditionalFormatting>
  <conditionalFormatting sqref="C1:C1969">
    <cfRule type="expression" dxfId="1" priority="2">
      <formula>$G1="breakout"</formula>
    </cfRule>
  </conditionalFormatting>
  <conditionalFormatting sqref="H1:H1969">
    <cfRule type="expression" dxfId="2" priority="3">
      <formula>$G1="breakout"</formula>
    </cfRule>
  </conditionalFormatting>
  <conditionalFormatting sqref="I1:I1969">
    <cfRule type="expression" dxfId="1" priority="4">
      <formula>$G1="breakout"</formula>
    </cfRule>
  </conditionalFormatting>
  <conditionalFormatting sqref="J1:J1969">
    <cfRule type="expression" dxfId="1" priority="5">
      <formula>$G1="breakout"</formula>
    </cfRule>
  </conditionalFormatting>
  <conditionalFormatting sqref="K1:K1969">
    <cfRule type="expression" dxfId="1" priority="6">
      <formula>$G1="breakout"</formula>
    </cfRule>
  </conditionalFormatting>
  <conditionalFormatting sqref="L1:L1969">
    <cfRule type="expression" dxfId="1" priority="7">
      <formula>$G1="breakout"</formula>
    </cfRule>
  </conditionalFormatting>
  <conditionalFormatting sqref="M1:M1969">
    <cfRule type="expression" dxfId="1" priority="8">
      <formula>$G1="breakout"</formula>
    </cfRule>
  </conditionalFormatting>
  <conditionalFormatting sqref="N1:N1969">
    <cfRule type="expression" dxfId="2" priority="9">
      <formula>$G1="breakout"</formula>
    </cfRule>
  </conditionalFormatting>
  <conditionalFormatting sqref="G1:G1969">
    <cfRule type="expression" dxfId="1" priority="10">
      <formula>$G1="breakout"</formula>
    </cfRule>
  </conditionalFormatting>
  <conditionalFormatting sqref="P1:P1969">
    <cfRule type="cellIs" dxfId="1" priority="11" operator="equal">
      <formula>"200 DMA"</formula>
    </cfRule>
  </conditionalFormatting>
  <conditionalFormatting sqref="A1:A1969">
    <cfRule type="expression" dxfId="1" priority="12">
      <formula>$G1="breakout"</formula>
    </cfRule>
  </conditionalFormatting>
  <conditionalFormatting sqref="O1:O1969">
    <cfRule type="beginsWith" dxfId="1" priority="13" operator="beginsWith" text="Buy">
      <formula>LEFT((O1),LEN("Buy"))=("Buy")</formula>
    </cfRule>
  </conditionalFormatting>
  <drawing r:id="rId1"/>
</worksheet>
</file>