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SUS\OneDrive\Desktop\Excel Assignemnt\Assignment3-Fitness Club Analysis\"/>
    </mc:Choice>
  </mc:AlternateContent>
  <xr:revisionPtr revIDLastSave="0" documentId="13_ncr:1_{ED96129E-70D2-4B5D-80F6-C95313045612}" xr6:coauthVersionLast="47" xr6:coauthVersionMax="47" xr10:uidLastSave="{00000000-0000-0000-0000-000000000000}"/>
  <bookViews>
    <workbookView xWindow="-110" yWindow="-110" windowWidth="19420" windowHeight="10300" firstSheet="6" activeTab="7" xr2:uid="{00000000-000D-0000-FFFF-FFFF00000000}"/>
  </bookViews>
  <sheets>
    <sheet name="Dataset" sheetId="1" r:id="rId1"/>
    <sheet name=" 1. Membership DurationinMonths" sheetId="2" r:id="rId2"/>
    <sheet name="2. Referral Impact" sheetId="3" r:id="rId3"/>
    <sheet name="3.Revenue Calculation" sheetId="4" r:id="rId4"/>
    <sheet name="4.IdentifyLowEngagementMembers" sheetId="6" r:id="rId5"/>
    <sheet name="5.SegmentProfitability" sheetId="8" r:id="rId6"/>
    <sheet name="5.SegmentProfitabilityDashboard" sheetId="7" r:id="rId7"/>
    <sheet name="6. Gender &amp; Age Distribution" sheetId="9" r:id="rId8"/>
    <sheet name="4.Identify Low Engagement Membe" sheetId="5" state="hidden" r:id="rId9"/>
  </sheets>
  <definedNames>
    <definedName name="Slicer_City">#N/A</definedName>
    <definedName name="Slicer_Refered_Yes_No">#N/A</definedName>
  </definedNames>
  <calcPr calcId="191029"/>
  <pivotCaches>
    <pivotCache cacheId="0" r:id="rId10"/>
    <pivotCache cacheId="1" r:id="rId11"/>
    <pivotCache cacheId="2" r:id="rId12"/>
    <pivotCache cacheId="12" r:id="rId13"/>
    <pivotCache cacheId="17"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9" l="1"/>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M36" i="9"/>
  <c r="N36" i="9" s="1"/>
  <c r="O36" i="9" s="1"/>
  <c r="M35" i="9"/>
  <c r="N35" i="9" s="1"/>
  <c r="O35" i="9" s="1"/>
  <c r="M34" i="9"/>
  <c r="N34" i="9" s="1"/>
  <c r="O34" i="9" s="1"/>
  <c r="M33" i="9"/>
  <c r="N33" i="9" s="1"/>
  <c r="O33" i="9" s="1"/>
  <c r="M32" i="9"/>
  <c r="N32" i="9" s="1"/>
  <c r="O32" i="9" s="1"/>
  <c r="M31" i="9"/>
  <c r="N31" i="9" s="1"/>
  <c r="O31" i="9" s="1"/>
  <c r="M30" i="9"/>
  <c r="N30" i="9" s="1"/>
  <c r="O30" i="9" s="1"/>
  <c r="M29" i="9"/>
  <c r="N29" i="9" s="1"/>
  <c r="O29" i="9" s="1"/>
  <c r="M28" i="9"/>
  <c r="N28" i="9" s="1"/>
  <c r="O28" i="9" s="1"/>
  <c r="M27" i="9"/>
  <c r="N27" i="9" s="1"/>
  <c r="O27" i="9" s="1"/>
  <c r="M26" i="9"/>
  <c r="N26" i="9" s="1"/>
  <c r="O26" i="9" s="1"/>
  <c r="M25" i="9"/>
  <c r="N25" i="9" s="1"/>
  <c r="O25" i="9" s="1"/>
  <c r="M24" i="9"/>
  <c r="N24" i="9" s="1"/>
  <c r="O24" i="9" s="1"/>
  <c r="M23" i="9"/>
  <c r="N23" i="9" s="1"/>
  <c r="O23" i="9" s="1"/>
  <c r="M22" i="9"/>
  <c r="N22" i="9" s="1"/>
  <c r="O22" i="9" s="1"/>
  <c r="M21" i="9"/>
  <c r="N21" i="9" s="1"/>
  <c r="O21" i="9" s="1"/>
  <c r="M20" i="9"/>
  <c r="N20" i="9" s="1"/>
  <c r="O20" i="9" s="1"/>
  <c r="M19" i="9"/>
  <c r="N19" i="9" s="1"/>
  <c r="O19" i="9" s="1"/>
  <c r="M18" i="9"/>
  <c r="N18" i="9" s="1"/>
  <c r="O18" i="9" s="1"/>
  <c r="M17" i="9"/>
  <c r="N17" i="9" s="1"/>
  <c r="O17" i="9" s="1"/>
  <c r="M16" i="9"/>
  <c r="N16" i="9" s="1"/>
  <c r="O16" i="9" s="1"/>
  <c r="M15" i="9"/>
  <c r="N15" i="9" s="1"/>
  <c r="O15" i="9" s="1"/>
  <c r="M14" i="9"/>
  <c r="N14" i="9" s="1"/>
  <c r="O14" i="9" s="1"/>
  <c r="M13" i="9"/>
  <c r="N13" i="9" s="1"/>
  <c r="O13" i="9" s="1"/>
  <c r="M12" i="9"/>
  <c r="N12" i="9" s="1"/>
  <c r="O12" i="9" s="1"/>
  <c r="M11" i="9"/>
  <c r="N11" i="9" s="1"/>
  <c r="O11" i="9" s="1"/>
  <c r="M10" i="9"/>
  <c r="N10" i="9" s="1"/>
  <c r="O10" i="9" s="1"/>
  <c r="M9" i="9"/>
  <c r="N9" i="9" s="1"/>
  <c r="O9" i="9" s="1"/>
  <c r="M8" i="9"/>
  <c r="N8" i="9" s="1"/>
  <c r="O8" i="9" s="1"/>
  <c r="M7" i="9"/>
  <c r="N7" i="9" s="1"/>
  <c r="O7" i="9" s="1"/>
  <c r="M6" i="9"/>
  <c r="N6" i="9" s="1"/>
  <c r="O6" i="9" s="1"/>
  <c r="M5" i="9"/>
  <c r="N5" i="9" s="1"/>
  <c r="O5" i="9" s="1"/>
  <c r="M4" i="9"/>
  <c r="N4" i="9" s="1"/>
  <c r="O4" i="9" s="1"/>
  <c r="M3" i="9"/>
  <c r="N3" i="9" s="1"/>
  <c r="O3" i="9" s="1"/>
  <c r="M2" i="9"/>
  <c r="N2" i="9" s="1"/>
  <c r="O2" i="9" s="1"/>
  <c r="O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N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M2" i="8"/>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2" i="6"/>
  <c r="M36" i="6"/>
  <c r="N36" i="6" s="1"/>
  <c r="L36" i="6"/>
  <c r="L35" i="6"/>
  <c r="M35" i="6" s="1"/>
  <c r="N35" i="6" s="1"/>
  <c r="M34" i="6"/>
  <c r="N34" i="6" s="1"/>
  <c r="L34" i="6"/>
  <c r="L33" i="6"/>
  <c r="M33" i="6" s="1"/>
  <c r="N33" i="6" s="1"/>
  <c r="L32" i="6"/>
  <c r="M32" i="6" s="1"/>
  <c r="N32" i="6" s="1"/>
  <c r="L31" i="6"/>
  <c r="M31" i="6" s="1"/>
  <c r="N31" i="6" s="1"/>
  <c r="L30" i="6"/>
  <c r="M30" i="6" s="1"/>
  <c r="N30" i="6" s="1"/>
  <c r="L29" i="6"/>
  <c r="M29" i="6" s="1"/>
  <c r="N29" i="6" s="1"/>
  <c r="M28" i="6"/>
  <c r="N28" i="6" s="1"/>
  <c r="L28" i="6"/>
  <c r="L27" i="6"/>
  <c r="M27" i="6" s="1"/>
  <c r="N27" i="6" s="1"/>
  <c r="M26" i="6"/>
  <c r="N26" i="6" s="1"/>
  <c r="L26" i="6"/>
  <c r="L25" i="6"/>
  <c r="M25" i="6" s="1"/>
  <c r="N25" i="6" s="1"/>
  <c r="L24" i="6"/>
  <c r="M24" i="6" s="1"/>
  <c r="N24" i="6" s="1"/>
  <c r="L23" i="6"/>
  <c r="M23" i="6" s="1"/>
  <c r="N23" i="6" s="1"/>
  <c r="L22" i="6"/>
  <c r="M22" i="6" s="1"/>
  <c r="N22" i="6" s="1"/>
  <c r="L21" i="6"/>
  <c r="M21" i="6" s="1"/>
  <c r="N21" i="6" s="1"/>
  <c r="M20" i="6"/>
  <c r="N20" i="6" s="1"/>
  <c r="L20" i="6"/>
  <c r="L19" i="6"/>
  <c r="M19" i="6" s="1"/>
  <c r="N19" i="6" s="1"/>
  <c r="M18" i="6"/>
  <c r="N18" i="6" s="1"/>
  <c r="L18" i="6"/>
  <c r="L17" i="6"/>
  <c r="M17" i="6" s="1"/>
  <c r="N17" i="6" s="1"/>
  <c r="L16" i="6"/>
  <c r="M16" i="6" s="1"/>
  <c r="N16" i="6" s="1"/>
  <c r="L15" i="6"/>
  <c r="M15" i="6" s="1"/>
  <c r="N15" i="6" s="1"/>
  <c r="L14" i="6"/>
  <c r="M14" i="6" s="1"/>
  <c r="N14" i="6" s="1"/>
  <c r="L13" i="6"/>
  <c r="M13" i="6" s="1"/>
  <c r="N13" i="6" s="1"/>
  <c r="M12" i="6"/>
  <c r="N12" i="6" s="1"/>
  <c r="L12" i="6"/>
  <c r="L11" i="6"/>
  <c r="M11" i="6" s="1"/>
  <c r="N11" i="6" s="1"/>
  <c r="M10" i="6"/>
  <c r="N10" i="6" s="1"/>
  <c r="L10" i="6"/>
  <c r="L9" i="6"/>
  <c r="M9" i="6" s="1"/>
  <c r="N9" i="6" s="1"/>
  <c r="L8" i="6"/>
  <c r="M8" i="6" s="1"/>
  <c r="N8" i="6" s="1"/>
  <c r="L7" i="6"/>
  <c r="M7" i="6" s="1"/>
  <c r="N7" i="6" s="1"/>
  <c r="L6" i="6"/>
  <c r="M6" i="6" s="1"/>
  <c r="N6" i="6" s="1"/>
  <c r="L5" i="6"/>
  <c r="M5" i="6" s="1"/>
  <c r="N5" i="6" s="1"/>
  <c r="M4" i="6"/>
  <c r="N4" i="6" s="1"/>
  <c r="L4" i="6"/>
  <c r="L3" i="6"/>
  <c r="M3" i="6" s="1"/>
  <c r="N3" i="6" s="1"/>
  <c r="M2" i="6"/>
  <c r="N2" i="6" s="1"/>
  <c r="L2" i="6"/>
  <c r="L36" i="5"/>
  <c r="M36" i="5" s="1"/>
  <c r="N36" i="5" s="1"/>
  <c r="L35" i="5"/>
  <c r="M35" i="5" s="1"/>
  <c r="N35" i="5" s="1"/>
  <c r="M34" i="5"/>
  <c r="N34" i="5" s="1"/>
  <c r="L34" i="5"/>
  <c r="L33" i="5"/>
  <c r="M33" i="5" s="1"/>
  <c r="N33" i="5" s="1"/>
  <c r="L32" i="5"/>
  <c r="M32" i="5" s="1"/>
  <c r="N32" i="5" s="1"/>
  <c r="N31" i="5"/>
  <c r="M31" i="5"/>
  <c r="L31" i="5"/>
  <c r="L30" i="5"/>
  <c r="M30" i="5" s="1"/>
  <c r="N30" i="5" s="1"/>
  <c r="L29" i="5"/>
  <c r="M29" i="5" s="1"/>
  <c r="N29" i="5" s="1"/>
  <c r="L28" i="5"/>
  <c r="M28" i="5" s="1"/>
  <c r="N28" i="5" s="1"/>
  <c r="L27" i="5"/>
  <c r="M27" i="5" s="1"/>
  <c r="N27" i="5" s="1"/>
  <c r="M26" i="5"/>
  <c r="N26" i="5" s="1"/>
  <c r="L26" i="5"/>
  <c r="L25" i="5"/>
  <c r="M25" i="5" s="1"/>
  <c r="N25" i="5" s="1"/>
  <c r="L24" i="5"/>
  <c r="M24" i="5" s="1"/>
  <c r="N24" i="5" s="1"/>
  <c r="N23" i="5"/>
  <c r="M23" i="5"/>
  <c r="L23" i="5"/>
  <c r="L22" i="5"/>
  <c r="M22" i="5" s="1"/>
  <c r="N22" i="5" s="1"/>
  <c r="L21" i="5"/>
  <c r="M21" i="5" s="1"/>
  <c r="N21" i="5" s="1"/>
  <c r="L20" i="5"/>
  <c r="M20" i="5" s="1"/>
  <c r="N20" i="5" s="1"/>
  <c r="L19" i="5"/>
  <c r="M19" i="5" s="1"/>
  <c r="N19" i="5" s="1"/>
  <c r="M18" i="5"/>
  <c r="N18" i="5" s="1"/>
  <c r="L18" i="5"/>
  <c r="L17" i="5"/>
  <c r="M17" i="5" s="1"/>
  <c r="N17" i="5" s="1"/>
  <c r="L16" i="5"/>
  <c r="M16" i="5" s="1"/>
  <c r="N16" i="5" s="1"/>
  <c r="N15" i="5"/>
  <c r="M15" i="5"/>
  <c r="L15" i="5"/>
  <c r="L14" i="5"/>
  <c r="M14" i="5" s="1"/>
  <c r="N14" i="5" s="1"/>
  <c r="L13" i="5"/>
  <c r="M13" i="5" s="1"/>
  <c r="N13" i="5" s="1"/>
  <c r="L12" i="5"/>
  <c r="M12" i="5" s="1"/>
  <c r="N12" i="5" s="1"/>
  <c r="L11" i="5"/>
  <c r="M11" i="5" s="1"/>
  <c r="N11" i="5" s="1"/>
  <c r="M10" i="5"/>
  <c r="N10" i="5" s="1"/>
  <c r="L10" i="5"/>
  <c r="L9" i="5"/>
  <c r="M9" i="5" s="1"/>
  <c r="N9" i="5" s="1"/>
  <c r="L8" i="5"/>
  <c r="M8" i="5" s="1"/>
  <c r="N8" i="5" s="1"/>
  <c r="N7" i="5"/>
  <c r="M7" i="5"/>
  <c r="L7" i="5"/>
  <c r="L6" i="5"/>
  <c r="M6" i="5" s="1"/>
  <c r="N6" i="5" s="1"/>
  <c r="L5" i="5"/>
  <c r="M5" i="5" s="1"/>
  <c r="N5" i="5" s="1"/>
  <c r="L4" i="5"/>
  <c r="M4" i="5" s="1"/>
  <c r="N4" i="5" s="1"/>
  <c r="L3" i="5"/>
  <c r="M3" i="5" s="1"/>
  <c r="N3" i="5" s="1"/>
  <c r="M2" i="5"/>
  <c r="N2" i="5" s="1"/>
  <c r="L2" i="5"/>
  <c r="R13"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L36" i="4"/>
  <c r="M36" i="4" s="1"/>
  <c r="L35" i="4"/>
  <c r="M35" i="4" s="1"/>
  <c r="L34" i="4"/>
  <c r="M34" i="4" s="1"/>
  <c r="L33" i="4"/>
  <c r="M33" i="4" s="1"/>
  <c r="L32" i="4"/>
  <c r="M32" i="4" s="1"/>
  <c r="L31" i="4"/>
  <c r="M31" i="4" s="1"/>
  <c r="L30" i="4"/>
  <c r="M30" i="4" s="1"/>
  <c r="L29" i="4"/>
  <c r="M29" i="4" s="1"/>
  <c r="L28" i="4"/>
  <c r="M28" i="4" s="1"/>
  <c r="L27" i="4"/>
  <c r="M27" i="4" s="1"/>
  <c r="L26" i="4"/>
  <c r="M26" i="4" s="1"/>
  <c r="L25" i="4"/>
  <c r="M25" i="4" s="1"/>
  <c r="L24" i="4"/>
  <c r="M24" i="4" s="1"/>
  <c r="L23" i="4"/>
  <c r="M23" i="4" s="1"/>
  <c r="L22" i="4"/>
  <c r="M22" i="4" s="1"/>
  <c r="L21" i="4"/>
  <c r="M21" i="4" s="1"/>
  <c r="L20" i="4"/>
  <c r="M20" i="4" s="1"/>
  <c r="L19" i="4"/>
  <c r="M19" i="4" s="1"/>
  <c r="L18" i="4"/>
  <c r="M18" i="4" s="1"/>
  <c r="L17" i="4"/>
  <c r="M17" i="4" s="1"/>
  <c r="L16" i="4"/>
  <c r="M16" i="4" s="1"/>
  <c r="L15" i="4"/>
  <c r="M15" i="4" s="1"/>
  <c r="L14" i="4"/>
  <c r="M14" i="4" s="1"/>
  <c r="L13" i="4"/>
  <c r="M13" i="4" s="1"/>
  <c r="L12" i="4"/>
  <c r="M12" i="4" s="1"/>
  <c r="L11" i="4"/>
  <c r="M11" i="4" s="1"/>
  <c r="L10" i="4"/>
  <c r="M10" i="4" s="1"/>
  <c r="L9" i="4"/>
  <c r="M9" i="4" s="1"/>
  <c r="L8" i="4"/>
  <c r="M8" i="4" s="1"/>
  <c r="L7" i="4"/>
  <c r="M7" i="4" s="1"/>
  <c r="L6" i="4"/>
  <c r="M6" i="4" s="1"/>
  <c r="L5" i="4"/>
  <c r="M5" i="4" s="1"/>
  <c r="L4" i="4"/>
  <c r="M4" i="4" s="1"/>
  <c r="L3" i="4"/>
  <c r="M3" i="4" s="1"/>
  <c r="L2" i="4"/>
  <c r="M2" i="4" s="1"/>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R12" i="4"/>
  <c r="R11" i="4"/>
  <c r="O14" i="3"/>
  <c r="O13" i="3"/>
</calcChain>
</file>

<file path=xl/sharedStrings.xml><?xml version="1.0" encoding="utf-8"?>
<sst xmlns="http://schemas.openxmlformats.org/spreadsheetml/2006/main" count="1740" uniqueCount="152">
  <si>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</si>
  <si>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</si>
  <si>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</si>
  <si>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</si>
  <si>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</si>
  <si>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</si>
  <si>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</si>
  <si>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</si>
  <si>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</si>
  <si>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</si>
  <si>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</si>
  <si>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</si>
  <si>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</si>
  <si>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</si>
  <si>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</si>
  <si>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</si>
  <si>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</si>
  <si>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</si>
  <si>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</si>
  <si>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</si>
  <si>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</si>
  <si>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</si>
  <si>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</si>
  <si>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</si>
  <si>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</si>
  <si>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</si>
  <si>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</si>
  <si>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</si>
  <si>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</si>
  <si>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</si>
  <si>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</si>
  <si>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</si>
  <si>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</si>
  <si>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</si>
  <si>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</si>
  <si>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</si>
  <si>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</si>
  <si>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</si>
  <si>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</si>
  <si>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</si>
  <si>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</si>
  <si>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</si>
  <si>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</si>
  <si>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</si>
  <si>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</si>
  <si>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</si>
  <si>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</si>
  <si>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</si>
  <si>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</si>
  <si>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</si>
  <si>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</si>
  <si>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</si>
  <si>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</si>
  <si>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</si>
  <si>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</si>
  <si>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</si>
  <si>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</si>
  <si>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</si>
  <si>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</si>
  <si>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</si>
  <si>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</si>
  <si>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</si>
  <si>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</si>
  <si>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</si>
  <si>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</si>
  <si>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</si>
  <si>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</si>
  <si>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</si>
  <si>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</si>
  <si>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</si>
  <si>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</si>
  <si>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</si>
  <si>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</si>
  <si>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</si>
  <si>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</si>
  <si>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</si>
  <si>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</si>
  <si>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</si>
  <si>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</si>
  <si>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</si>
  <si>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</si>
  <si>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</si>
  <si>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</si>
  <si>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</si>
  <si>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</si>
  <si>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</si>
  <si>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</si>
  <si>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</si>
  <si>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</si>
  <si>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</si>
  <si>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</si>
  <si>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</si>
  <si>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</si>
  <si>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</si>
  <si>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</si>
  <si>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</si>
  <si>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</si>
  <si>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</si>
  <si>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</si>
  <si>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</si>
  <si>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</si>
  <si>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</si>
  <si>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</si>
  <si>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</si>
  <si>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</si>
  <si>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</si>
  <si>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</si>
  <si>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 Member_ID</t>
  </si>
  <si>
    <t>Questions</t>
  </si>
  <si>
    <t xml:space="preserve"> Membership Duration in Month</t>
  </si>
  <si>
    <t xml:space="preserve"> Add a column  
Membership_Duration_Months
 active
 Assume 1 month = 30 days
 Use  
Start_Date
 and 
</t>
  </si>
  <si>
    <t>Total Days</t>
  </si>
  <si>
    <t>Membership_Duration_Months</t>
  </si>
  <si>
    <t>2. Referral Impac
 Create a new column 
Mark as  
End_Date
 Referred
 if  
Yes Referred_By
 No
 Mark as  if it's blank
 to calculate how many full months a member has been 
.
 _x000B_
 is not blank
 Then use a Pivot Table to compare average Monthly_Fee for referred vs. non-referred members</t>
  </si>
  <si>
    <t>Refered Yes/No</t>
  </si>
  <si>
    <t>No</t>
  </si>
  <si>
    <t>Yes</t>
  </si>
  <si>
    <t>Grand Total</t>
  </si>
  <si>
    <t>Average of Monthly_Fee</t>
  </si>
  <si>
    <t>Monthly Average fee</t>
  </si>
  <si>
    <t>Refered</t>
  </si>
  <si>
    <t>Non-Refered</t>
  </si>
  <si>
    <t>3. Revenue Calculatio Add a column Formula = Then calculate the total revenue earned from Premium member Family membership City-wise breakdown using Pivot Table</t>
  </si>
  <si>
    <t>Total Revenue</t>
  </si>
  <si>
    <t>Sum of Total Revenue</t>
  </si>
  <si>
    <t>Total Revenue by Membership</t>
  </si>
  <si>
    <t>Membership Wise Total Revenue</t>
  </si>
  <si>
    <t>Total</t>
  </si>
  <si>
    <t>Total City wise Revenue</t>
  </si>
  <si>
    <t>4. Identify Low Engagement Member
 Use Conditional Formatting to highlight
 Members with Attendance &lt; 
AND whose 
These are long-term but inactive users—flag them.</t>
  </si>
  <si>
    <t>The management at PowerFit India wants deeper insights into which combinations of member traits (like city, 
membership type, and referral status) bring in the most revenue._x000B_
 Your task is to create a Segment Profitability Dashboard using Pivot Tables, Calculated Fields, and Pivot 
Charts that can answer
 Which City + Membership Type + Referral combinations are most profitable
 What is the average revenue per member across different segments
 Where should PowerFit focus its marketing or referral programs
 Make your dashboard interactive using Slicers and add a visual chart for quick insights</t>
  </si>
  <si>
    <t xml:space="preserve">Segment Profitability Dashboard </t>
  </si>
  <si>
    <t>Row Labels</t>
  </si>
  <si>
    <t>Column Labels</t>
  </si>
  <si>
    <t>Days</t>
  </si>
  <si>
    <t>Months</t>
  </si>
  <si>
    <t>Revenue</t>
  </si>
  <si>
    <t>Sum of Revenue</t>
  </si>
  <si>
    <t>Basic Total</t>
  </si>
  <si>
    <t>Family Total</t>
  </si>
  <si>
    <t>Premium Total</t>
  </si>
  <si>
    <t>Standard Total</t>
  </si>
  <si>
    <t>Average of Revenue</t>
  </si>
  <si>
    <t>PowerFit Should focus on Marketing</t>
  </si>
  <si>
    <t>6. Gender &amp; Age Distribution Membership_Duration_Months Start_Date End_Date Referred Yes Referred_By No Total_Revenue Monthly_Fee × Membership_Duration_Month Membership_Duration_Months &gt;=  Java + DSA Pwskills 4 Create two Pivot Tables_x001A_ 4 Gender-wise count of members per cit 4 Age distribution across Membership Types_x001A_ 4 18–30 = Yout0 4 31–45 = Adult_x001E_ 4 46+ = Seniors</t>
  </si>
  <si>
    <t>Count of  Member_ID</t>
  </si>
  <si>
    <t xml:space="preserve">Gender-wise </t>
  </si>
  <si>
    <t>Age Group</t>
  </si>
  <si>
    <t>Adults</t>
  </si>
  <si>
    <t>Senior</t>
  </si>
  <si>
    <t>Youth</t>
  </si>
  <si>
    <t>Count of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</si>
</sst>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font>
    <font>
      <sz val="11"/>
      <color theme="1"/>
      <name val="Calibri"/>
      <family val="2"/>
    </font>
    <font>
      <b/>
      <sz val="11"/>
      <color theme="0"/>
      <name val="Calibri"/>
      <family val="2"/>
    </font>
    <font>
      <b/>
      <sz val="22"/>
      <color theme="0"/>
      <name val="Calibri"/>
      <family val="2"/>
      <scheme val="minor"/>
    </font>
    <font>
      <b/>
      <sz val="24"/>
      <color theme="0"/>
      <name val="Calibri"/>
      <family val="2"/>
      <scheme val="minor"/>
    </font>
  </fonts>
  <fills count="11">
    <fill>
      <patternFill patternType="none"/>
    </fill>
    <fill>
      <patternFill patternType="gray125"/>
    </fill>
    <fill>
      <patternFill patternType="solid">
        <fgColor theme="7"/>
      </patternFill>
    </fill>
    <fill>
      <patternFill patternType="solid">
        <fgColor theme="9" tint="0.59999389629810485"/>
        <bgColor indexed="65"/>
      </patternFill>
    </fill>
    <fill>
      <patternFill patternType="solid">
        <fgColor theme="4"/>
        <bgColor theme="4"/>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71">
    <xf numFmtId="0" fontId="0" fillId="0" borderId="0" xfId="0"/>
    <xf numFmtId="0" fontId="4" fillId="0" borderId="1" xfId="0" applyFont="1" applyBorder="1" applyAlignment="1">
      <alignment horizontal="center" vertical="top"/>
    </xf>
    <xf numFmtId="0" fontId="1" fillId="0" borderId="1" xfId="0" applyFont="1" applyBorder="1"/>
    <xf numFmtId="164" fontId="5" fillId="0" borderId="1" xfId="0" applyNumberFormat="1" applyFont="1" applyBorder="1"/>
    <xf numFmtId="0" fontId="0" fillId="0" borderId="1" xfId="0" applyBorder="1"/>
    <xf numFmtId="0" fontId="1" fillId="0" borderId="2" xfId="0" applyFont="1" applyBorder="1"/>
    <xf numFmtId="0" fontId="1" fillId="0" borderId="3" xfId="0" applyFont="1" applyBorder="1"/>
    <xf numFmtId="0" fontId="0" fillId="0" borderId="3" xfId="0"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6" xfId="0" applyFont="1" applyBorder="1" applyAlignment="1">
      <alignment horizontal="center" vertical="top"/>
    </xf>
    <xf numFmtId="0" fontId="1" fillId="0" borderId="7" xfId="0" applyFont="1" applyBorder="1"/>
    <xf numFmtId="0" fontId="1" fillId="0" borderId="8" xfId="0" applyFont="1" applyBorder="1"/>
    <xf numFmtId="164" fontId="5" fillId="0" borderId="8" xfId="0" applyNumberFormat="1" applyFont="1" applyBorder="1"/>
    <xf numFmtId="0" fontId="0" fillId="0" borderId="9" xfId="0" applyBorder="1"/>
    <xf numFmtId="0" fontId="0" fillId="0" borderId="5" xfId="0" applyBorder="1"/>
    <xf numFmtId="0" fontId="0" fillId="0" borderId="8" xfId="0" applyBorder="1"/>
    <xf numFmtId="1" fontId="0" fillId="0" borderId="1" xfId="0" applyNumberFormat="1" applyBorder="1"/>
    <xf numFmtId="0" fontId="1" fillId="3" borderId="6" xfId="2" applyBorder="1"/>
    <xf numFmtId="0" fontId="1" fillId="3" borderId="3" xfId="2" applyBorder="1"/>
    <xf numFmtId="0" fontId="1" fillId="3" borderId="9" xfId="2" applyBorder="1"/>
    <xf numFmtId="1" fontId="3" fillId="2" borderId="5" xfId="1" applyNumberFormat="1" applyBorder="1"/>
    <xf numFmtId="1" fontId="3" fillId="2" borderId="1" xfId="1" applyNumberFormat="1" applyBorder="1"/>
    <xf numFmtId="1" fontId="3" fillId="2" borderId="8" xfId="1" applyNumberFormat="1" applyBorder="1"/>
    <xf numFmtId="0" fontId="1" fillId="7" borderId="6" xfId="2" applyFill="1" applyBorder="1" applyAlignment="1">
      <alignment horizontal="center" vertical="top"/>
    </xf>
    <xf numFmtId="0" fontId="3" fillId="8" borderId="5" xfId="1" applyFill="1" applyBorder="1" applyAlignment="1">
      <alignment horizontal="center" vertical="top"/>
    </xf>
    <xf numFmtId="0" fontId="0" fillId="5" borderId="1" xfId="0" applyFill="1" applyBorder="1"/>
    <xf numFmtId="164" fontId="5" fillId="5" borderId="1" xfId="0" applyNumberFormat="1" applyFont="1" applyFill="1" applyBorder="1"/>
    <xf numFmtId="0" fontId="0" fillId="5" borderId="3" xfId="0" applyFill="1" applyBorder="1"/>
    <xf numFmtId="0" fontId="0" fillId="3" borderId="6" xfId="2" applyFont="1" applyBorder="1"/>
    <xf numFmtId="0" fontId="0" fillId="3" borderId="3" xfId="2" applyFont="1" applyBorder="1"/>
    <xf numFmtId="0" fontId="6" fillId="4" borderId="1" xfId="0" applyFont="1" applyFill="1" applyBorder="1" applyAlignment="1">
      <alignment horizontal="center" vertical="top"/>
    </xf>
    <xf numFmtId="0" fontId="6" fillId="4" borderId="3" xfId="0" applyFont="1" applyFill="1" applyBorder="1" applyAlignment="1">
      <alignment horizontal="center" vertical="top"/>
    </xf>
    <xf numFmtId="0" fontId="2" fillId="7" borderId="3" xfId="2" applyFont="1" applyFill="1" applyBorder="1" applyAlignment="1">
      <alignment horizontal="center" vertical="top"/>
    </xf>
    <xf numFmtId="0" fontId="2" fillId="8" borderId="1" xfId="1" applyFont="1" applyFill="1" applyBorder="1" applyAlignment="1">
      <alignment horizontal="center" vertical="top"/>
    </xf>
    <xf numFmtId="0" fontId="0" fillId="0" borderId="1" xfId="0" pivotButton="1" applyBorder="1"/>
    <xf numFmtId="0" fontId="0" fillId="0" borderId="1" xfId="0" applyBorder="1" applyAlignment="1">
      <alignment horizontal="left"/>
    </xf>
    <xf numFmtId="1" fontId="0" fillId="0" borderId="0" xfId="0" applyNumberFormat="1"/>
    <xf numFmtId="0" fontId="0" fillId="6" borderId="1" xfId="0" applyFill="1" applyBorder="1" applyAlignment="1">
      <alignment horizontal="left"/>
    </xf>
    <xf numFmtId="1" fontId="0" fillId="6" borderId="1" xfId="0" applyNumberFormat="1" applyFill="1" applyBorder="1"/>
    <xf numFmtId="1" fontId="0" fillId="5" borderId="11" xfId="0" applyNumberFormat="1" applyFill="1" applyBorder="1"/>
    <xf numFmtId="1" fontId="0" fillId="0" borderId="11" xfId="0" applyNumberFormat="1" applyBorder="1"/>
    <xf numFmtId="1" fontId="0" fillId="5" borderId="4" xfId="0" applyNumberFormat="1" applyFill="1" applyBorder="1"/>
    <xf numFmtId="1" fontId="0" fillId="5" borderId="1" xfId="0" applyNumberFormat="1" applyFill="1" applyBorder="1"/>
    <xf numFmtId="0" fontId="0" fillId="9" borderId="0" xfId="0" applyFill="1"/>
    <xf numFmtId="0" fontId="0" fillId="0" borderId="0" xfId="0" pivotButton="1"/>
    <xf numFmtId="0" fontId="0" fillId="0" borderId="0" xfId="0" applyAlignment="1">
      <alignment horizontal="left"/>
    </xf>
    <xf numFmtId="0" fontId="0" fillId="5" borderId="5" xfId="0" applyFill="1" applyBorder="1"/>
    <xf numFmtId="1" fontId="0" fillId="0" borderId="5" xfId="0" applyNumberFormat="1" applyBorder="1"/>
    <xf numFmtId="1" fontId="0" fillId="0" borderId="8" xfId="0" applyNumberFormat="1" applyBorder="1"/>
    <xf numFmtId="0" fontId="4" fillId="6" borderId="10" xfId="0" applyFont="1" applyFill="1" applyBorder="1" applyAlignment="1">
      <alignment horizontal="center" vertical="top"/>
    </xf>
    <xf numFmtId="0" fontId="4" fillId="6" borderId="0" xfId="0" applyFont="1" applyFill="1" applyAlignment="1">
      <alignment horizontal="center" vertical="top"/>
    </xf>
    <xf numFmtId="0" fontId="0" fillId="8" borderId="1" xfId="0" applyFill="1" applyBorder="1" applyAlignment="1">
      <alignment horizontal="center"/>
    </xf>
    <xf numFmtId="0" fontId="7" fillId="10" borderId="0" xfId="0" applyFont="1" applyFill="1" applyAlignment="1">
      <alignment horizontal="center" vertical="center"/>
    </xf>
    <xf numFmtId="0" fontId="8" fillId="10" borderId="0" xfId="0" applyFont="1" applyFill="1" applyAlignment="1">
      <alignment horizontal="center" vertical="center"/>
    </xf>
    <xf numFmtId="0" fontId="0" fillId="5" borderId="9" xfId="0" applyFont="1" applyFill="1" applyBorder="1"/>
    <xf numFmtId="164" fontId="5" fillId="5" borderId="9" xfId="0" applyNumberFormat="1" applyFont="1" applyFill="1" applyBorder="1"/>
    <xf numFmtId="0" fontId="0" fillId="3" borderId="9" xfId="2" applyFont="1" applyFill="1" applyBorder="1"/>
    <xf numFmtId="1" fontId="3" fillId="2" borderId="9" xfId="1" applyNumberFormat="1" applyFont="1" applyFill="1" applyBorder="1"/>
    <xf numFmtId="0" fontId="0" fillId="0" borderId="9" xfId="0" applyFont="1" applyBorder="1"/>
    <xf numFmtId="164" fontId="5" fillId="0" borderId="9" xfId="0" applyNumberFormat="1" applyFont="1" applyBorder="1"/>
    <xf numFmtId="0" fontId="0" fillId="5" borderId="12" xfId="0" applyFont="1" applyFill="1" applyBorder="1"/>
    <xf numFmtId="0" fontId="0" fillId="0" borderId="12" xfId="0" applyFont="1" applyBorder="1"/>
    <xf numFmtId="1" fontId="0" fillId="5" borderId="9" xfId="0" applyNumberFormat="1" applyFont="1" applyFill="1" applyBorder="1"/>
    <xf numFmtId="1" fontId="0" fillId="0" borderId="10" xfId="0" applyNumberFormat="1" applyFont="1" applyBorder="1"/>
    <xf numFmtId="1" fontId="0" fillId="5" borderId="10" xfId="0" applyNumberFormat="1" applyFont="1" applyFill="1" applyBorder="1"/>
    <xf numFmtId="0" fontId="6" fillId="4" borderId="0" xfId="0" applyFont="1" applyFill="1" applyBorder="1" applyAlignment="1">
      <alignment horizontal="center" vertical="top"/>
    </xf>
    <xf numFmtId="0" fontId="6" fillId="4" borderId="10" xfId="0" applyFont="1" applyFill="1" applyBorder="1" applyAlignment="1">
      <alignment horizontal="center" vertical="top"/>
    </xf>
    <xf numFmtId="0" fontId="2" fillId="7" borderId="10" xfId="2" applyFont="1" applyFill="1" applyBorder="1" applyAlignment="1">
      <alignment horizontal="center" vertical="top"/>
    </xf>
    <xf numFmtId="0" fontId="2" fillId="8" borderId="10" xfId="1" applyFont="1" applyFill="1" applyBorder="1" applyAlignment="1">
      <alignment horizontal="center" vertical="top"/>
    </xf>
    <xf numFmtId="0" fontId="0" fillId="0" borderId="1" xfId="0" applyNumberFormat="1" applyBorder="1"/>
  </cellXfs>
  <cellStyles count="3">
    <cellStyle name="40% - Accent6" xfId="2" builtinId="51"/>
    <cellStyle name="Accent4" xfId="1" builtinId="41"/>
    <cellStyle name="Normal" xfId="0" builtinId="0"/>
  </cellStyles>
  <dxfs count="15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none"/>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solid">
          <fgColor theme="0" tint="-0.14999847407452621"/>
          <bgColor theme="0" tint="-0.14999847407452621"/>
        </patternFill>
      </fill>
      <border diagonalUp="0" diagonalDown="0">
        <left style="thin">
          <color indexed="64"/>
        </left>
        <right/>
        <top/>
        <bottom/>
        <vertical/>
        <horizontal/>
      </border>
    </dxf>
    <dxf>
      <font>
        <b val="0"/>
        <i val="0"/>
        <strike val="0"/>
        <condense val="0"/>
        <extend val="0"/>
        <outline val="0"/>
        <shadow val="0"/>
        <u val="none"/>
        <vertAlign val="baseline"/>
        <sz val="11"/>
        <color theme="0"/>
        <name val="Calibri"/>
        <family val="2"/>
        <scheme val="minor"/>
      </font>
      <numFmt numFmtId="1" formatCode="0"/>
      <fill>
        <patternFill patternType="solid">
          <fgColor indexed="64"/>
          <bgColor theme="7"/>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4" formatCode="yyyy\-mm\-dd"/>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4" formatCode="yyyy\-mm\-dd"/>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ill>
        <patternFill>
          <bgColor rgb="FFFFFF00"/>
        </patternFill>
      </fill>
    </dxf>
    <dxf>
      <font>
        <b val="0"/>
        <i val="0"/>
        <strike val="0"/>
        <condense val="0"/>
        <extend val="0"/>
        <outline val="0"/>
        <shadow val="0"/>
        <u val="none"/>
        <vertAlign val="baseline"/>
        <sz val="11"/>
        <color theme="1"/>
        <name val="Calibri"/>
        <family val="2"/>
        <scheme val="minor"/>
      </font>
      <numFmt numFmtId="1" formatCode="0"/>
    </dxf>
    <dxf>
      <numFmt numFmtId="1" formatCode="0"/>
      <border diagonalUp="0" diagonalDown="0" outline="0">
        <left style="thin">
          <color indexed="64"/>
        </left>
        <right/>
        <top style="thin">
          <color indexed="64"/>
        </top>
        <bottom style="thin">
          <color indexed="64"/>
        </bottom>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border outline="0">
        <left style="thin">
          <color indexed="64"/>
        </left>
      </border>
    </dxf>
    <dxf>
      <numFmt numFmtId="1" formatCode="0"/>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dxf>
    <dxf>
      <numFmt numFmtId="1" formatCode="0"/>
      <border diagonalUp="0" diagonalDown="0" outline="0">
        <left style="thin">
          <color indexed="64"/>
        </left>
        <right/>
        <top style="thin">
          <color indexed="64"/>
        </top>
        <bottom style="thin">
          <color indexed="64"/>
        </bottom>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3 - Fitness Club Advanced Excel.xlsx]5.SegmentProfitability!PivotTable4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'5.SegmentProfitability'!$S$5:$S$7</c:f>
              <c:strCache>
                <c:ptCount val="1"/>
                <c:pt idx="0">
                  <c:v>Standard - No</c:v>
                </c:pt>
              </c:strCache>
            </c:strRef>
          </c:tx>
          <c:spPr>
            <a:solidFill>
              <a:schemeClr val="accent1"/>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'5.SegmentProfitability'!$S$8:$S$14</c:f>
              <c:numCache>
                <c:formatCode>0</c:formatCode>
                <c:ptCount val="6"/>
                <c:pt idx="0">
                  <c:v>14240</c:v>
                </c:pt>
                <c:pt idx="1">
                  <c:v>15600</c:v>
                </c:pt>
                <c:pt idx="2">
                  <c:v>11640</c:v>
                </c:pt>
                <c:pt idx="4">
                  <c:v>14840</c:v>
                </c:pt>
                <c:pt idx="5">
                  <c:v>1000</c:v>
                </c:pt>
              </c:numCache>
            </c:numRef>
          </c:val>
          <c:extLst>
            <c:ext xmlns:c16="http://schemas.microsoft.com/office/drawing/2014/chart" uri="{C3380CC4-5D6E-409C-BE32-E72D297353CC}">
              <c16:uniqueId val="{00000000-4228-4609-A8E6-6053B41A8403}"/>
            </c:ext>
          </c:extLst>
        </c:ser>
        <c:ser>
          <c:idx val="1"/>
          <c:order val="1"/>
          <c:tx>
            <c:strRef>
              <c:f>'5.SegmentProfitability'!$T$5:$T$7</c:f>
              <c:strCache>
                <c:ptCount val="1"/>
                <c:pt idx="0">
                  <c:v>Standard - Yes</c:v>
                </c:pt>
              </c:strCache>
            </c:strRef>
          </c:tx>
          <c:spPr>
            <a:solidFill>
              <a:schemeClr val="accent2"/>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'5.SegmentProfitability'!$T$8:$T$14</c:f>
              <c:numCache>
                <c:formatCode>0</c:formatCode>
                <c:ptCount val="6"/>
                <c:pt idx="0">
                  <c:v>11520</c:v>
                </c:pt>
                <c:pt idx="1">
                  <c:v>3120</c:v>
                </c:pt>
                <c:pt idx="2">
                  <c:v>6480</c:v>
                </c:pt>
                <c:pt idx="3">
                  <c:v>16560</c:v>
                </c:pt>
              </c:numCache>
            </c:numRef>
          </c:val>
          <c:extLst>
            <c:ext xmlns:c16="http://schemas.microsoft.com/office/drawing/2014/chart" uri="{C3380CC4-5D6E-409C-BE32-E72D297353CC}">
              <c16:uniqueId val="{00000001-4228-4609-A8E6-6053B41A8403}"/>
            </c:ext>
          </c:extLst>
        </c:ser>
        <c:ser>
          <c:idx val="2"/>
          <c:order val="2"/>
          <c:tx>
            <c:strRef>
              <c:f>'5.SegmentProfitability'!$V$5:$V$7</c:f>
              <c:strCache>
                <c:ptCount val="1"/>
                <c:pt idx="0">
                  <c:v>Premium - No</c:v>
                </c:pt>
              </c:strCache>
            </c:strRef>
          </c:tx>
          <c:spPr>
            <a:solidFill>
              <a:schemeClr val="accent3"/>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'5.SegmentProfitability'!$V$8:$V$14</c:f>
              <c:numCache>
                <c:formatCode>0</c:formatCode>
                <c:ptCount val="6"/>
                <c:pt idx="1">
                  <c:v>31680.000000000004</c:v>
                </c:pt>
                <c:pt idx="2">
                  <c:v>17760</c:v>
                </c:pt>
                <c:pt idx="3">
                  <c:v>11880</c:v>
                </c:pt>
                <c:pt idx="5">
                  <c:v>240</c:v>
                </c:pt>
              </c:numCache>
            </c:numRef>
          </c:val>
          <c:extLst>
            <c:ext xmlns:c16="http://schemas.microsoft.com/office/drawing/2014/chart" uri="{C3380CC4-5D6E-409C-BE32-E72D297353CC}">
              <c16:uniqueId val="{00000002-4228-4609-A8E6-6053B41A8403}"/>
            </c:ext>
          </c:extLst>
        </c:ser>
        <c:ser>
          <c:idx val="3"/>
          <c:order val="3"/>
          <c:tx>
            <c:strRef>
              <c:f>'5.SegmentProfitability'!$W$5:$W$7</c:f>
              <c:strCache>
                <c:ptCount val="1"/>
                <c:pt idx="0">
                  <c:v>Premium - Yes</c:v>
                </c:pt>
              </c:strCache>
            </c:strRef>
          </c:tx>
          <c:spPr>
            <a:solidFill>
              <a:schemeClr val="accent4"/>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'5.SegmentProfitability'!$W$8:$W$14</c:f>
              <c:numCache>
                <c:formatCode>0</c:formatCode>
                <c:ptCount val="6"/>
                <c:pt idx="1">
                  <c:v>5160</c:v>
                </c:pt>
                <c:pt idx="4">
                  <c:v>7980</c:v>
                </c:pt>
              </c:numCache>
            </c:numRef>
          </c:val>
          <c:extLst>
            <c:ext xmlns:c16="http://schemas.microsoft.com/office/drawing/2014/chart" uri="{C3380CC4-5D6E-409C-BE32-E72D297353CC}">
              <c16:uniqueId val="{00000003-4228-4609-A8E6-6053B41A8403}"/>
            </c:ext>
          </c:extLst>
        </c:ser>
        <c:ser>
          <c:idx val="4"/>
          <c:order val="4"/>
          <c:tx>
            <c:strRef>
              <c:f>'5.SegmentProfitability'!$Y$5:$Y$7</c:f>
              <c:strCache>
                <c:ptCount val="1"/>
                <c:pt idx="0">
                  <c:v>Family - No</c:v>
                </c:pt>
              </c:strCache>
            </c:strRef>
          </c:tx>
          <c:spPr>
            <a:solidFill>
              <a:schemeClr val="accent5"/>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'5.SegmentProfitability'!$Y$8:$Y$14</c:f>
              <c:numCache>
                <c:formatCode>0</c:formatCode>
                <c:ptCount val="6"/>
                <c:pt idx="0">
                  <c:v>583.33333333333337</c:v>
                </c:pt>
                <c:pt idx="1">
                  <c:v>2333.3333333333335</c:v>
                </c:pt>
                <c:pt idx="3">
                  <c:v>2500</c:v>
                </c:pt>
                <c:pt idx="5">
                  <c:v>36333.333333333336</c:v>
                </c:pt>
              </c:numCache>
            </c:numRef>
          </c:val>
          <c:extLst>
            <c:ext xmlns:c16="http://schemas.microsoft.com/office/drawing/2014/chart" uri="{C3380CC4-5D6E-409C-BE32-E72D297353CC}">
              <c16:uniqueId val="{00000004-4228-4609-A8E6-6053B41A8403}"/>
            </c:ext>
          </c:extLst>
        </c:ser>
        <c:ser>
          <c:idx val="5"/>
          <c:order val="5"/>
          <c:tx>
            <c:strRef>
              <c:f>'5.SegmentProfitability'!$Z$5:$Z$7</c:f>
              <c:strCache>
                <c:ptCount val="1"/>
                <c:pt idx="0">
                  <c:v>Family - Yes</c:v>
                </c:pt>
              </c:strCache>
            </c:strRef>
          </c:tx>
          <c:spPr>
            <a:solidFill>
              <a:schemeClr val="accent6"/>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'5.SegmentProfitability'!$Z$8:$Z$14</c:f>
              <c:numCache>
                <c:formatCode>0</c:formatCode>
                <c:ptCount val="6"/>
                <c:pt idx="1">
                  <c:v>15916.666666666666</c:v>
                </c:pt>
                <c:pt idx="2">
                  <c:v>17916.666666666668</c:v>
                </c:pt>
                <c:pt idx="3">
                  <c:v>6500</c:v>
                </c:pt>
              </c:numCache>
            </c:numRef>
          </c:val>
          <c:extLst>
            <c:ext xmlns:c16="http://schemas.microsoft.com/office/drawing/2014/chart" uri="{C3380CC4-5D6E-409C-BE32-E72D297353CC}">
              <c16:uniqueId val="{00000005-4228-4609-A8E6-6053B41A8403}"/>
            </c:ext>
          </c:extLst>
        </c:ser>
        <c:ser>
          <c:idx val="6"/>
          <c:order val="6"/>
          <c:tx>
            <c:strRef>
              <c:f>'5.SegmentProfitability'!$AB$5:$AB$7</c:f>
              <c:strCache>
                <c:ptCount val="1"/>
                <c:pt idx="0">
                  <c:v>Basic - No</c:v>
                </c:pt>
              </c:strCache>
            </c:strRef>
          </c:tx>
          <c:spPr>
            <a:solidFill>
              <a:schemeClr val="accent1">
                <a:lumMod val="60000"/>
              </a:schemeClr>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'5.SegmentProfitability'!$AB$8:$AB$14</c:f>
              <c:numCache>
                <c:formatCode>0</c:formatCode>
                <c:ptCount val="6"/>
                <c:pt idx="0">
                  <c:v>5520</c:v>
                </c:pt>
                <c:pt idx="1">
                  <c:v>9360.0000000000018</c:v>
                </c:pt>
                <c:pt idx="4">
                  <c:v>2373.3333333333335</c:v>
                </c:pt>
              </c:numCache>
            </c:numRef>
          </c:val>
          <c:extLst>
            <c:ext xmlns:c16="http://schemas.microsoft.com/office/drawing/2014/chart" uri="{C3380CC4-5D6E-409C-BE32-E72D297353CC}">
              <c16:uniqueId val="{00000006-4228-4609-A8E6-6053B41A8403}"/>
            </c:ext>
          </c:extLst>
        </c:ser>
        <c:ser>
          <c:idx val="7"/>
          <c:order val="7"/>
          <c:tx>
            <c:strRef>
              <c:f>'5.SegmentProfitability'!$AC$5:$AC$7</c:f>
              <c:strCache>
                <c:ptCount val="1"/>
                <c:pt idx="0">
                  <c:v>Basic - Yes</c:v>
                </c:pt>
              </c:strCache>
            </c:strRef>
          </c:tx>
          <c:spPr>
            <a:solidFill>
              <a:schemeClr val="accent2">
                <a:lumMod val="60000"/>
              </a:schemeClr>
            </a:solidFill>
            <a:ln>
              <a:noFill/>
            </a:ln>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'5.SegmentProfitability'!$AC$8:$AC$14</c:f>
              <c:numCache>
                <c:formatCode>0</c:formatCode>
                <c:ptCount val="6"/>
                <c:pt idx="1">
                  <c:v>2000</c:v>
                </c:pt>
                <c:pt idx="2">
                  <c:v>5066.6666666666661</c:v>
                </c:pt>
                <c:pt idx="3">
                  <c:v>346.66666666666669</c:v>
                </c:pt>
                <c:pt idx="4">
                  <c:v>693.33333333333337</c:v>
                </c:pt>
                <c:pt idx="5">
                  <c:v>15146.666666666666</c:v>
                </c:pt>
              </c:numCache>
            </c:numRef>
          </c:val>
          <c:extLst>
            <c:ext xmlns:c16="http://schemas.microsoft.com/office/drawing/2014/chart" uri="{C3380CC4-5D6E-409C-BE32-E72D297353CC}">
              <c16:uniqueId val="{00000007-4228-4609-A8E6-6053B41A8403}"/>
            </c:ext>
          </c:extLst>
        </c:ser>
        <c:dLbls>
          <c:showLegendKey val="0"/>
          <c:showVal val="0"/>
          <c:showCatName val="0"/>
          <c:showSerName val="0"/>
          <c:showPercent val="0"/>
          <c:showBubbleSize val="0"/>
        </c:dLbls>
        <c:gapWidth val="219"/>
        <c:overlap val="-27"/>
        <c:axId val="768147504"/>
        <c:axId val="768151824"/>
      </c:barChart>
      <c:catAx>
        <c:axId val="76814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51824"/>
        <c:crosses val="autoZero"/>
        <c:auto val="1"/>
        <c:lblAlgn val="ctr"/>
        <c:lblOffset val="100"/>
        <c:noMultiLvlLbl val="0"/>
      </c:catAx>
      <c:valAx>
        <c:axId val="768151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3 - Fitness Club Advanced Excel.xlsx]5.SegmentProfitability!PivotTable5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'5.SegmentProfitability'!$S$17:$S$19</c:f>
              <c:strCache>
                <c:ptCount val="1"/>
                <c:pt idx="0">
                  <c:v>Family - No</c:v>
                </c:pt>
              </c:strCache>
            </c:strRef>
          </c:tx>
          <c:spPr>
            <a:solidFill>
              <a:schemeClr val="accent1"/>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'5.SegmentProfitability'!$S$20:$S$26</c:f>
              <c:numCache>
                <c:formatCode>0</c:formatCode>
                <c:ptCount val="6"/>
                <c:pt idx="0">
                  <c:v>36333.333333333336</c:v>
                </c:pt>
                <c:pt idx="2">
                  <c:v>2333.3333333333335</c:v>
                </c:pt>
                <c:pt idx="3">
                  <c:v>2500</c:v>
                </c:pt>
                <c:pt idx="4">
                  <c:v>583.33333333333337</c:v>
                </c:pt>
              </c:numCache>
            </c:numRef>
          </c:val>
          <c:extLst>
            <c:ext xmlns:c16="http://schemas.microsoft.com/office/drawing/2014/chart" uri="{C3380CC4-5D6E-409C-BE32-E72D297353CC}">
              <c16:uniqueId val="{00000000-9C81-49C3-9107-2AD0C1BE27A6}"/>
            </c:ext>
          </c:extLst>
        </c:ser>
        <c:ser>
          <c:idx val="1"/>
          <c:order val="1"/>
          <c:tx>
            <c:strRef>
              <c:f>'5.SegmentProfitability'!$T$17:$T$19</c:f>
              <c:strCache>
                <c:ptCount val="1"/>
                <c:pt idx="0">
                  <c:v>Family - Yes</c:v>
                </c:pt>
              </c:strCache>
            </c:strRef>
          </c:tx>
          <c:spPr>
            <a:solidFill>
              <a:schemeClr val="accent2"/>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'5.SegmentProfitability'!$T$20:$T$26</c:f>
              <c:numCache>
                <c:formatCode>0</c:formatCode>
                <c:ptCount val="6"/>
                <c:pt idx="1">
                  <c:v>17916.666666666668</c:v>
                </c:pt>
                <c:pt idx="2">
                  <c:v>15916.666666666666</c:v>
                </c:pt>
                <c:pt idx="3">
                  <c:v>6500</c:v>
                </c:pt>
              </c:numCache>
            </c:numRef>
          </c:val>
          <c:extLst>
            <c:ext xmlns:c16="http://schemas.microsoft.com/office/drawing/2014/chart" uri="{C3380CC4-5D6E-409C-BE32-E72D297353CC}">
              <c16:uniqueId val="{00000001-9C81-49C3-9107-2AD0C1BE27A6}"/>
            </c:ext>
          </c:extLst>
        </c:ser>
        <c:ser>
          <c:idx val="2"/>
          <c:order val="2"/>
          <c:tx>
            <c:strRef>
              <c:f>'5.SegmentProfitability'!$V$17:$V$19</c:f>
              <c:strCache>
                <c:ptCount val="1"/>
                <c:pt idx="0">
                  <c:v>Premium - No</c:v>
                </c:pt>
              </c:strCache>
            </c:strRef>
          </c:tx>
          <c:spPr>
            <a:solidFill>
              <a:schemeClr val="accent3"/>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'5.SegmentProfitability'!$V$20:$V$26</c:f>
              <c:numCache>
                <c:formatCode>0</c:formatCode>
                <c:ptCount val="6"/>
                <c:pt idx="0">
                  <c:v>240</c:v>
                </c:pt>
                <c:pt idx="1">
                  <c:v>17760</c:v>
                </c:pt>
                <c:pt idx="2">
                  <c:v>31680.000000000004</c:v>
                </c:pt>
                <c:pt idx="3">
                  <c:v>5940</c:v>
                </c:pt>
              </c:numCache>
            </c:numRef>
          </c:val>
          <c:extLst>
            <c:ext xmlns:c16="http://schemas.microsoft.com/office/drawing/2014/chart" uri="{C3380CC4-5D6E-409C-BE32-E72D297353CC}">
              <c16:uniqueId val="{00000002-9C81-49C3-9107-2AD0C1BE27A6}"/>
            </c:ext>
          </c:extLst>
        </c:ser>
        <c:ser>
          <c:idx val="3"/>
          <c:order val="3"/>
          <c:tx>
            <c:strRef>
              <c:f>'5.SegmentProfitability'!$W$17:$W$19</c:f>
              <c:strCache>
                <c:ptCount val="1"/>
                <c:pt idx="0">
                  <c:v>Premium - Yes</c:v>
                </c:pt>
              </c:strCache>
            </c:strRef>
          </c:tx>
          <c:spPr>
            <a:solidFill>
              <a:schemeClr val="accent4"/>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'5.SegmentProfitability'!$W$20:$W$26</c:f>
              <c:numCache>
                <c:formatCode>0</c:formatCode>
                <c:ptCount val="6"/>
                <c:pt idx="2">
                  <c:v>5160</c:v>
                </c:pt>
                <c:pt idx="5">
                  <c:v>7980</c:v>
                </c:pt>
              </c:numCache>
            </c:numRef>
          </c:val>
          <c:extLst>
            <c:ext xmlns:c16="http://schemas.microsoft.com/office/drawing/2014/chart" uri="{C3380CC4-5D6E-409C-BE32-E72D297353CC}">
              <c16:uniqueId val="{00000003-9C81-49C3-9107-2AD0C1BE27A6}"/>
            </c:ext>
          </c:extLst>
        </c:ser>
        <c:ser>
          <c:idx val="4"/>
          <c:order val="4"/>
          <c:tx>
            <c:strRef>
              <c:f>'5.SegmentProfitability'!$Y$17:$Y$19</c:f>
              <c:strCache>
                <c:ptCount val="1"/>
                <c:pt idx="0">
                  <c:v>Standard - No</c:v>
                </c:pt>
              </c:strCache>
            </c:strRef>
          </c:tx>
          <c:spPr>
            <a:solidFill>
              <a:schemeClr val="accent5"/>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'5.SegmentProfitability'!$Y$20:$Y$26</c:f>
              <c:numCache>
                <c:formatCode>0</c:formatCode>
                <c:ptCount val="6"/>
                <c:pt idx="0">
                  <c:v>1000</c:v>
                </c:pt>
                <c:pt idx="1">
                  <c:v>11640</c:v>
                </c:pt>
                <c:pt idx="2">
                  <c:v>7800</c:v>
                </c:pt>
                <c:pt idx="4">
                  <c:v>14240</c:v>
                </c:pt>
                <c:pt idx="5">
                  <c:v>7420</c:v>
                </c:pt>
              </c:numCache>
            </c:numRef>
          </c:val>
          <c:extLst>
            <c:ext xmlns:c16="http://schemas.microsoft.com/office/drawing/2014/chart" uri="{C3380CC4-5D6E-409C-BE32-E72D297353CC}">
              <c16:uniqueId val="{00000004-9C81-49C3-9107-2AD0C1BE27A6}"/>
            </c:ext>
          </c:extLst>
        </c:ser>
        <c:ser>
          <c:idx val="5"/>
          <c:order val="5"/>
          <c:tx>
            <c:strRef>
              <c:f>'5.SegmentProfitability'!$Z$17:$Z$19</c:f>
              <c:strCache>
                <c:ptCount val="1"/>
                <c:pt idx="0">
                  <c:v>Standard - Yes</c:v>
                </c:pt>
              </c:strCache>
            </c:strRef>
          </c:tx>
          <c:spPr>
            <a:solidFill>
              <a:schemeClr val="accent6"/>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'5.SegmentProfitability'!$Z$20:$Z$26</c:f>
              <c:numCache>
                <c:formatCode>0</c:formatCode>
                <c:ptCount val="6"/>
                <c:pt idx="1">
                  <c:v>6480</c:v>
                </c:pt>
                <c:pt idx="2">
                  <c:v>3120</c:v>
                </c:pt>
                <c:pt idx="3">
                  <c:v>16560</c:v>
                </c:pt>
                <c:pt idx="4">
                  <c:v>5760</c:v>
                </c:pt>
              </c:numCache>
            </c:numRef>
          </c:val>
          <c:extLst>
            <c:ext xmlns:c16="http://schemas.microsoft.com/office/drawing/2014/chart" uri="{C3380CC4-5D6E-409C-BE32-E72D297353CC}">
              <c16:uniqueId val="{00000005-9C81-49C3-9107-2AD0C1BE27A6}"/>
            </c:ext>
          </c:extLst>
        </c:ser>
        <c:ser>
          <c:idx val="6"/>
          <c:order val="6"/>
          <c:tx>
            <c:strRef>
              <c:f>'5.SegmentProfitability'!$AB$17:$AB$19</c:f>
              <c:strCache>
                <c:ptCount val="1"/>
                <c:pt idx="0">
                  <c:v>Basic - No</c:v>
                </c:pt>
              </c:strCache>
            </c:strRef>
          </c:tx>
          <c:spPr>
            <a:solidFill>
              <a:schemeClr val="accent1">
                <a:lumMod val="60000"/>
              </a:schemeClr>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'5.SegmentProfitability'!$AB$20:$AB$26</c:f>
              <c:numCache>
                <c:formatCode>0</c:formatCode>
                <c:ptCount val="6"/>
                <c:pt idx="2">
                  <c:v>4680.0000000000009</c:v>
                </c:pt>
                <c:pt idx="4">
                  <c:v>5520</c:v>
                </c:pt>
                <c:pt idx="5">
                  <c:v>2373.3333333333335</c:v>
                </c:pt>
              </c:numCache>
            </c:numRef>
          </c:val>
          <c:extLst>
            <c:ext xmlns:c16="http://schemas.microsoft.com/office/drawing/2014/chart" uri="{C3380CC4-5D6E-409C-BE32-E72D297353CC}">
              <c16:uniqueId val="{00000006-9C81-49C3-9107-2AD0C1BE27A6}"/>
            </c:ext>
          </c:extLst>
        </c:ser>
        <c:ser>
          <c:idx val="7"/>
          <c:order val="7"/>
          <c:tx>
            <c:strRef>
              <c:f>'5.SegmentProfitability'!$AC$17:$AC$19</c:f>
              <c:strCache>
                <c:ptCount val="1"/>
                <c:pt idx="0">
                  <c:v>Basic - Yes</c:v>
                </c:pt>
              </c:strCache>
            </c:strRef>
          </c:tx>
          <c:spPr>
            <a:solidFill>
              <a:schemeClr val="accent2">
                <a:lumMod val="60000"/>
              </a:schemeClr>
            </a:solidFill>
            <a:ln>
              <a:noFill/>
            </a:ln>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'5.SegmentProfitability'!$AC$20:$AC$26</c:f>
              <c:numCache>
                <c:formatCode>0</c:formatCode>
                <c:ptCount val="6"/>
                <c:pt idx="0">
                  <c:v>15146.666666666666</c:v>
                </c:pt>
                <c:pt idx="1">
                  <c:v>5066.6666666666661</c:v>
                </c:pt>
                <c:pt idx="2">
                  <c:v>2000</c:v>
                </c:pt>
                <c:pt idx="3">
                  <c:v>346.66666666666669</c:v>
                </c:pt>
                <c:pt idx="5">
                  <c:v>693.33333333333337</c:v>
                </c:pt>
              </c:numCache>
            </c:numRef>
          </c:val>
          <c:extLst>
            <c:ext xmlns:c16="http://schemas.microsoft.com/office/drawing/2014/chart" uri="{C3380CC4-5D6E-409C-BE32-E72D297353CC}">
              <c16:uniqueId val="{00000007-9C81-49C3-9107-2AD0C1BE27A6}"/>
            </c:ext>
          </c:extLst>
        </c:ser>
        <c:dLbls>
          <c:showLegendKey val="0"/>
          <c:showVal val="0"/>
          <c:showCatName val="0"/>
          <c:showSerName val="0"/>
          <c:showPercent val="0"/>
          <c:showBubbleSize val="0"/>
        </c:dLbls>
        <c:gapWidth val="219"/>
        <c:overlap val="-27"/>
        <c:axId val="859544336"/>
        <c:axId val="859548176"/>
      </c:barChart>
      <c:catAx>
        <c:axId val="85954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8176"/>
        <c:crosses val="autoZero"/>
        <c:auto val="1"/>
        <c:lblAlgn val="ctr"/>
        <c:lblOffset val="100"/>
        <c:noMultiLvlLbl val="0"/>
      </c:catAx>
      <c:valAx>
        <c:axId val="859548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3 - Fitness Club Advanced Excel.xlsx]5.SegmentProfitability!PivotTable4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Higest Revenue Generators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'5.SegmentProfitability'!$S$5:$S$7</c:f>
              <c:strCache>
                <c:ptCount val="1"/>
                <c:pt idx="0">
                  <c:v>Standard - 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'5.SegmentProfitability'!$S$8:$S$14</c:f>
              <c:numCache>
                <c:formatCode>0</c:formatCode>
                <c:ptCount val="6"/>
                <c:pt idx="0">
                  <c:v>14240</c:v>
                </c:pt>
                <c:pt idx="1">
                  <c:v>15600</c:v>
                </c:pt>
                <c:pt idx="2">
                  <c:v>11640</c:v>
                </c:pt>
                <c:pt idx="4">
                  <c:v>14840</c:v>
                </c:pt>
                <c:pt idx="5">
                  <c:v>1000</c:v>
                </c:pt>
              </c:numCache>
            </c:numRef>
          </c:val>
          <c:extLst>
            <c:ext xmlns:c16="http://schemas.microsoft.com/office/drawing/2014/chart" uri="{C3380CC4-5D6E-409C-BE32-E72D297353CC}">
              <c16:uniqueId val="{00000000-7F65-4DE0-B1B4-51468DB8BD1C}"/>
            </c:ext>
          </c:extLst>
        </c:ser>
        <c:ser>
          <c:idx val="1"/>
          <c:order val="1"/>
          <c:tx>
            <c:strRef>
              <c:f>'5.SegmentProfitability'!$T$5:$T$7</c:f>
              <c:strCache>
                <c:ptCount val="1"/>
                <c:pt idx="0">
                  <c:v>Standard - 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'5.SegmentProfitability'!$T$8:$T$14</c:f>
              <c:numCache>
                <c:formatCode>0</c:formatCode>
                <c:ptCount val="6"/>
                <c:pt idx="0">
                  <c:v>11520</c:v>
                </c:pt>
                <c:pt idx="1">
                  <c:v>3120</c:v>
                </c:pt>
                <c:pt idx="2">
                  <c:v>6480</c:v>
                </c:pt>
                <c:pt idx="3">
                  <c:v>16560</c:v>
                </c:pt>
              </c:numCache>
            </c:numRef>
          </c:val>
          <c:extLst>
            <c:ext xmlns:c16="http://schemas.microsoft.com/office/drawing/2014/chart" uri="{C3380CC4-5D6E-409C-BE32-E72D297353CC}">
              <c16:uniqueId val="{00000001-7F65-4DE0-B1B4-51468DB8BD1C}"/>
            </c:ext>
          </c:extLst>
        </c:ser>
        <c:ser>
          <c:idx val="2"/>
          <c:order val="2"/>
          <c:tx>
            <c:strRef>
              <c:f>'5.SegmentProfitability'!$V$5:$V$7</c:f>
              <c:strCache>
                <c:ptCount val="1"/>
                <c:pt idx="0">
                  <c:v>Premium - 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'5.SegmentProfitability'!$V$8:$V$14</c:f>
              <c:numCache>
                <c:formatCode>0</c:formatCode>
                <c:ptCount val="6"/>
                <c:pt idx="1">
                  <c:v>31680.000000000004</c:v>
                </c:pt>
                <c:pt idx="2">
                  <c:v>17760</c:v>
                </c:pt>
                <c:pt idx="3">
                  <c:v>11880</c:v>
                </c:pt>
                <c:pt idx="5">
                  <c:v>240</c:v>
                </c:pt>
              </c:numCache>
            </c:numRef>
          </c:val>
          <c:extLst>
            <c:ext xmlns:c16="http://schemas.microsoft.com/office/drawing/2014/chart" uri="{C3380CC4-5D6E-409C-BE32-E72D297353CC}">
              <c16:uniqueId val="{00000002-7F65-4DE0-B1B4-51468DB8BD1C}"/>
            </c:ext>
          </c:extLst>
        </c:ser>
        <c:ser>
          <c:idx val="3"/>
          <c:order val="3"/>
          <c:tx>
            <c:strRef>
              <c:f>'5.SegmentProfitability'!$W$5:$W$7</c:f>
              <c:strCache>
                <c:ptCount val="1"/>
                <c:pt idx="0">
                  <c:v>Premium - 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'5.SegmentProfitability'!$W$8:$W$14</c:f>
              <c:numCache>
                <c:formatCode>0</c:formatCode>
                <c:ptCount val="6"/>
                <c:pt idx="1">
                  <c:v>5160</c:v>
                </c:pt>
                <c:pt idx="4">
                  <c:v>7980</c:v>
                </c:pt>
              </c:numCache>
            </c:numRef>
          </c:val>
          <c:extLst>
            <c:ext xmlns:c16="http://schemas.microsoft.com/office/drawing/2014/chart" uri="{C3380CC4-5D6E-409C-BE32-E72D297353CC}">
              <c16:uniqueId val="{00000003-7F65-4DE0-B1B4-51468DB8BD1C}"/>
            </c:ext>
          </c:extLst>
        </c:ser>
        <c:ser>
          <c:idx val="4"/>
          <c:order val="4"/>
          <c:tx>
            <c:strRef>
              <c:f>'5.SegmentProfitability'!$Y$5:$Y$7</c:f>
              <c:strCache>
                <c:ptCount val="1"/>
                <c:pt idx="0">
                  <c:v>Family - No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'5.SegmentProfitability'!$Y$8:$Y$14</c:f>
              <c:numCache>
                <c:formatCode>0</c:formatCode>
                <c:ptCount val="6"/>
                <c:pt idx="0">
                  <c:v>583.33333333333337</c:v>
                </c:pt>
                <c:pt idx="1">
                  <c:v>2333.3333333333335</c:v>
                </c:pt>
                <c:pt idx="3">
                  <c:v>2500</c:v>
                </c:pt>
                <c:pt idx="5">
                  <c:v>36333.333333333336</c:v>
                </c:pt>
              </c:numCache>
            </c:numRef>
          </c:val>
          <c:extLst>
            <c:ext xmlns:c16="http://schemas.microsoft.com/office/drawing/2014/chart" uri="{C3380CC4-5D6E-409C-BE32-E72D297353CC}">
              <c16:uniqueId val="{00000004-7F65-4DE0-B1B4-51468DB8BD1C}"/>
            </c:ext>
          </c:extLst>
        </c:ser>
        <c:ser>
          <c:idx val="5"/>
          <c:order val="5"/>
          <c:tx>
            <c:strRef>
              <c:f>'5.SegmentProfitability'!$Z$5:$Z$7</c:f>
              <c:strCache>
                <c:ptCount val="1"/>
                <c:pt idx="0">
                  <c:v>Family - Yes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'5.SegmentProfitability'!$Z$8:$Z$14</c:f>
              <c:numCache>
                <c:formatCode>0</c:formatCode>
                <c:ptCount val="6"/>
                <c:pt idx="1">
                  <c:v>15916.666666666666</c:v>
                </c:pt>
                <c:pt idx="2">
                  <c:v>17916.666666666668</c:v>
                </c:pt>
                <c:pt idx="3">
                  <c:v>6500</c:v>
                </c:pt>
              </c:numCache>
            </c:numRef>
          </c:val>
          <c:extLst>
            <c:ext xmlns:c16="http://schemas.microsoft.com/office/drawing/2014/chart" uri="{C3380CC4-5D6E-409C-BE32-E72D297353CC}">
              <c16:uniqueId val="{00000005-7F65-4DE0-B1B4-51468DB8BD1C}"/>
            </c:ext>
          </c:extLst>
        </c:ser>
        <c:ser>
          <c:idx val="6"/>
          <c:order val="6"/>
          <c:tx>
            <c:strRef>
              <c:f>'5.SegmentProfitability'!$AB$5:$AB$7</c:f>
              <c:strCache>
                <c:ptCount val="1"/>
                <c:pt idx="0">
                  <c:v>Basic - No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'5.SegmentProfitability'!$AB$8:$AB$14</c:f>
              <c:numCache>
                <c:formatCode>0</c:formatCode>
                <c:ptCount val="6"/>
                <c:pt idx="0">
                  <c:v>5520</c:v>
                </c:pt>
                <c:pt idx="1">
                  <c:v>9360.0000000000018</c:v>
                </c:pt>
                <c:pt idx="4">
                  <c:v>2373.3333333333335</c:v>
                </c:pt>
              </c:numCache>
            </c:numRef>
          </c:val>
          <c:extLst>
            <c:ext xmlns:c16="http://schemas.microsoft.com/office/drawing/2014/chart" uri="{C3380CC4-5D6E-409C-BE32-E72D297353CC}">
              <c16:uniqueId val="{00000006-7F65-4DE0-B1B4-51468DB8BD1C}"/>
            </c:ext>
          </c:extLst>
        </c:ser>
        <c:ser>
          <c:idx val="7"/>
          <c:order val="7"/>
          <c:tx>
            <c:strRef>
              <c:f>'5.SegmentProfitability'!$AC$5:$AC$7</c:f>
              <c:strCache>
                <c:ptCount val="1"/>
                <c:pt idx="0">
                  <c:v>Basic - Yes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'5.SegmentProfitability'!$R$8:$R$14</c:f>
              <c:strCache>
                <c:ptCount val="6"/>
                <c:pt idx="0">
                  <c:v>Hyderabad</c:v>
                </c:pt>
                <c:pt idx="1">
                  <c:v>Mumbai</c:v>
                </c:pt>
                <c:pt idx="2">
                  <c:v>Bengaluru</c:v>
                </c:pt>
                <c:pt idx="3">
                  <c:v>Kolkata</c:v>
                </c:pt>
                <c:pt idx="4">
                  <c:v>Pune</c:v>
                </c:pt>
                <c:pt idx="5">
                  <c:v>Delhi</c:v>
                </c:pt>
              </c:strCache>
            </c:strRef>
          </c:cat>
          <c:val>
            <c:numRef>
              <c:f>'5.SegmentProfitability'!$AC$8:$AC$14</c:f>
              <c:numCache>
                <c:formatCode>0</c:formatCode>
                <c:ptCount val="6"/>
                <c:pt idx="1">
                  <c:v>2000</c:v>
                </c:pt>
                <c:pt idx="2">
                  <c:v>5066.6666666666661</c:v>
                </c:pt>
                <c:pt idx="3">
                  <c:v>346.66666666666669</c:v>
                </c:pt>
                <c:pt idx="4">
                  <c:v>693.33333333333337</c:v>
                </c:pt>
                <c:pt idx="5">
                  <c:v>15146.666666666666</c:v>
                </c:pt>
              </c:numCache>
            </c:numRef>
          </c:val>
          <c:extLst>
            <c:ext xmlns:c16="http://schemas.microsoft.com/office/drawing/2014/chart" uri="{C3380CC4-5D6E-409C-BE32-E72D297353CC}">
              <c16:uniqueId val="{00000007-7F65-4DE0-B1B4-51468DB8BD1C}"/>
            </c:ext>
          </c:extLst>
        </c:ser>
        <c:dLbls>
          <c:showLegendKey val="0"/>
          <c:showVal val="0"/>
          <c:showCatName val="0"/>
          <c:showSerName val="0"/>
          <c:showPercent val="0"/>
          <c:showBubbleSize val="0"/>
        </c:dLbls>
        <c:gapWidth val="100"/>
        <c:overlap val="-24"/>
        <c:axId val="768147504"/>
        <c:axId val="768151824"/>
      </c:barChart>
      <c:catAx>
        <c:axId val="76814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151824"/>
        <c:crosses val="autoZero"/>
        <c:auto val="1"/>
        <c:lblAlgn val="ctr"/>
        <c:lblOffset val="100"/>
        <c:noMultiLvlLbl val="0"/>
      </c:catAx>
      <c:valAx>
        <c:axId val="7681518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1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3 - Fitness Club Advanced Excel.xlsx]5.SegmentProfitability!PivotTable5</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'5.SegmentProfitability'!$S$17:$S$19</c:f>
              <c:strCache>
                <c:ptCount val="1"/>
                <c:pt idx="0">
                  <c:v>Family - 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'5.SegmentProfitability'!$S$20:$S$26</c:f>
              <c:numCache>
                <c:formatCode>0</c:formatCode>
                <c:ptCount val="6"/>
                <c:pt idx="0">
                  <c:v>36333.333333333336</c:v>
                </c:pt>
                <c:pt idx="2">
                  <c:v>2333.3333333333335</c:v>
                </c:pt>
                <c:pt idx="3">
                  <c:v>2500</c:v>
                </c:pt>
                <c:pt idx="4">
                  <c:v>583.33333333333337</c:v>
                </c:pt>
              </c:numCache>
            </c:numRef>
          </c:val>
          <c:extLst>
            <c:ext xmlns:c16="http://schemas.microsoft.com/office/drawing/2014/chart" uri="{C3380CC4-5D6E-409C-BE32-E72D297353CC}">
              <c16:uniqueId val="{00000000-2284-45DC-8D28-4211AEAEC8A7}"/>
            </c:ext>
          </c:extLst>
        </c:ser>
        <c:ser>
          <c:idx val="1"/>
          <c:order val="1"/>
          <c:tx>
            <c:strRef>
              <c:f>'5.SegmentProfitability'!$T$17:$T$19</c:f>
              <c:strCache>
                <c:ptCount val="1"/>
                <c:pt idx="0">
                  <c:v>Family - 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'5.SegmentProfitability'!$T$20:$T$26</c:f>
              <c:numCache>
                <c:formatCode>0</c:formatCode>
                <c:ptCount val="6"/>
                <c:pt idx="1">
                  <c:v>17916.666666666668</c:v>
                </c:pt>
                <c:pt idx="2">
                  <c:v>15916.666666666666</c:v>
                </c:pt>
                <c:pt idx="3">
                  <c:v>6500</c:v>
                </c:pt>
              </c:numCache>
            </c:numRef>
          </c:val>
          <c:extLst>
            <c:ext xmlns:c16="http://schemas.microsoft.com/office/drawing/2014/chart" uri="{C3380CC4-5D6E-409C-BE32-E72D297353CC}">
              <c16:uniqueId val="{00000001-2284-45DC-8D28-4211AEAEC8A7}"/>
            </c:ext>
          </c:extLst>
        </c:ser>
        <c:ser>
          <c:idx val="2"/>
          <c:order val="2"/>
          <c:tx>
            <c:strRef>
              <c:f>'5.SegmentProfitability'!$V$17:$V$19</c:f>
              <c:strCache>
                <c:ptCount val="1"/>
                <c:pt idx="0">
                  <c:v>Premium - 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'5.SegmentProfitability'!$V$20:$V$26</c:f>
              <c:numCache>
                <c:formatCode>0</c:formatCode>
                <c:ptCount val="6"/>
                <c:pt idx="0">
                  <c:v>240</c:v>
                </c:pt>
                <c:pt idx="1">
                  <c:v>17760</c:v>
                </c:pt>
                <c:pt idx="2">
                  <c:v>31680.000000000004</c:v>
                </c:pt>
                <c:pt idx="3">
                  <c:v>5940</c:v>
                </c:pt>
              </c:numCache>
            </c:numRef>
          </c:val>
          <c:extLst>
            <c:ext xmlns:c16="http://schemas.microsoft.com/office/drawing/2014/chart" uri="{C3380CC4-5D6E-409C-BE32-E72D297353CC}">
              <c16:uniqueId val="{00000002-2284-45DC-8D28-4211AEAEC8A7}"/>
            </c:ext>
          </c:extLst>
        </c:ser>
        <c:ser>
          <c:idx val="3"/>
          <c:order val="3"/>
          <c:tx>
            <c:strRef>
              <c:f>'5.SegmentProfitability'!$W$17:$W$19</c:f>
              <c:strCache>
                <c:ptCount val="1"/>
                <c:pt idx="0">
                  <c:v>Premium - 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'5.SegmentProfitability'!$W$20:$W$26</c:f>
              <c:numCache>
                <c:formatCode>0</c:formatCode>
                <c:ptCount val="6"/>
                <c:pt idx="2">
                  <c:v>5160</c:v>
                </c:pt>
                <c:pt idx="5">
                  <c:v>7980</c:v>
                </c:pt>
              </c:numCache>
            </c:numRef>
          </c:val>
          <c:extLst>
            <c:ext xmlns:c16="http://schemas.microsoft.com/office/drawing/2014/chart" uri="{C3380CC4-5D6E-409C-BE32-E72D297353CC}">
              <c16:uniqueId val="{00000003-2284-45DC-8D28-4211AEAEC8A7}"/>
            </c:ext>
          </c:extLst>
        </c:ser>
        <c:ser>
          <c:idx val="4"/>
          <c:order val="4"/>
          <c:tx>
            <c:strRef>
              <c:f>'5.SegmentProfitability'!$Y$17:$Y$19</c:f>
              <c:strCache>
                <c:ptCount val="1"/>
                <c:pt idx="0">
                  <c:v>Standard - No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'5.SegmentProfitability'!$Y$20:$Y$26</c:f>
              <c:numCache>
                <c:formatCode>0</c:formatCode>
                <c:ptCount val="6"/>
                <c:pt idx="0">
                  <c:v>1000</c:v>
                </c:pt>
                <c:pt idx="1">
                  <c:v>11640</c:v>
                </c:pt>
                <c:pt idx="2">
                  <c:v>7800</c:v>
                </c:pt>
                <c:pt idx="4">
                  <c:v>14240</c:v>
                </c:pt>
                <c:pt idx="5">
                  <c:v>7420</c:v>
                </c:pt>
              </c:numCache>
            </c:numRef>
          </c:val>
          <c:extLst>
            <c:ext xmlns:c16="http://schemas.microsoft.com/office/drawing/2014/chart" uri="{C3380CC4-5D6E-409C-BE32-E72D297353CC}">
              <c16:uniqueId val="{00000004-2284-45DC-8D28-4211AEAEC8A7}"/>
            </c:ext>
          </c:extLst>
        </c:ser>
        <c:ser>
          <c:idx val="5"/>
          <c:order val="5"/>
          <c:tx>
            <c:strRef>
              <c:f>'5.SegmentProfitability'!$Z$17:$Z$19</c:f>
              <c:strCache>
                <c:ptCount val="1"/>
                <c:pt idx="0">
                  <c:v>Standard - Yes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'5.SegmentProfitability'!$Z$20:$Z$26</c:f>
              <c:numCache>
                <c:formatCode>0</c:formatCode>
                <c:ptCount val="6"/>
                <c:pt idx="1">
                  <c:v>6480</c:v>
                </c:pt>
                <c:pt idx="2">
                  <c:v>3120</c:v>
                </c:pt>
                <c:pt idx="3">
                  <c:v>16560</c:v>
                </c:pt>
                <c:pt idx="4">
                  <c:v>5760</c:v>
                </c:pt>
              </c:numCache>
            </c:numRef>
          </c:val>
          <c:extLst>
            <c:ext xmlns:c16="http://schemas.microsoft.com/office/drawing/2014/chart" uri="{C3380CC4-5D6E-409C-BE32-E72D297353CC}">
              <c16:uniqueId val="{00000005-2284-45DC-8D28-4211AEAEC8A7}"/>
            </c:ext>
          </c:extLst>
        </c:ser>
        <c:ser>
          <c:idx val="6"/>
          <c:order val="6"/>
          <c:tx>
            <c:strRef>
              <c:f>'5.SegmentProfitability'!$AB$17:$AB$19</c:f>
              <c:strCache>
                <c:ptCount val="1"/>
                <c:pt idx="0">
                  <c:v>Basic - No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'5.SegmentProfitability'!$AB$20:$AB$26</c:f>
              <c:numCache>
                <c:formatCode>0</c:formatCode>
                <c:ptCount val="6"/>
                <c:pt idx="2">
                  <c:v>4680.0000000000009</c:v>
                </c:pt>
                <c:pt idx="4">
                  <c:v>5520</c:v>
                </c:pt>
                <c:pt idx="5">
                  <c:v>2373.3333333333335</c:v>
                </c:pt>
              </c:numCache>
            </c:numRef>
          </c:val>
          <c:extLst>
            <c:ext xmlns:c16="http://schemas.microsoft.com/office/drawing/2014/chart" uri="{C3380CC4-5D6E-409C-BE32-E72D297353CC}">
              <c16:uniqueId val="{00000006-2284-45DC-8D28-4211AEAEC8A7}"/>
            </c:ext>
          </c:extLst>
        </c:ser>
        <c:ser>
          <c:idx val="7"/>
          <c:order val="7"/>
          <c:tx>
            <c:strRef>
              <c:f>'5.SegmentProfitability'!$AC$17:$AC$19</c:f>
              <c:strCache>
                <c:ptCount val="1"/>
                <c:pt idx="0">
                  <c:v>Basic - Yes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'5.SegmentProfitability'!$R$20:$R$26</c:f>
              <c:strCache>
                <c:ptCount val="6"/>
                <c:pt idx="0">
                  <c:v>Delhi</c:v>
                </c:pt>
                <c:pt idx="1">
                  <c:v>Bengaluru</c:v>
                </c:pt>
                <c:pt idx="2">
                  <c:v>Mumbai</c:v>
                </c:pt>
                <c:pt idx="3">
                  <c:v>Kolkata</c:v>
                </c:pt>
                <c:pt idx="4">
                  <c:v>Hyderabad</c:v>
                </c:pt>
                <c:pt idx="5">
                  <c:v>Pune</c:v>
                </c:pt>
              </c:strCache>
            </c:strRef>
          </c:cat>
          <c:val>
            <c:numRef>
              <c:f>'5.SegmentProfitability'!$AC$20:$AC$26</c:f>
              <c:numCache>
                <c:formatCode>0</c:formatCode>
                <c:ptCount val="6"/>
                <c:pt idx="0">
                  <c:v>15146.666666666666</c:v>
                </c:pt>
                <c:pt idx="1">
                  <c:v>5066.6666666666661</c:v>
                </c:pt>
                <c:pt idx="2">
                  <c:v>2000</c:v>
                </c:pt>
                <c:pt idx="3">
                  <c:v>346.66666666666669</c:v>
                </c:pt>
                <c:pt idx="5">
                  <c:v>693.33333333333337</c:v>
                </c:pt>
              </c:numCache>
            </c:numRef>
          </c:val>
          <c:extLst>
            <c:ext xmlns:c16="http://schemas.microsoft.com/office/drawing/2014/chart" uri="{C3380CC4-5D6E-409C-BE32-E72D297353CC}">
              <c16:uniqueId val="{00000007-2284-45DC-8D28-4211AEAEC8A7}"/>
            </c:ext>
          </c:extLst>
        </c:ser>
        <c:dLbls>
          <c:showLegendKey val="0"/>
          <c:showVal val="0"/>
          <c:showCatName val="0"/>
          <c:showSerName val="0"/>
          <c:showPercent val="0"/>
          <c:showBubbleSize val="0"/>
        </c:dLbls>
        <c:gapWidth val="100"/>
        <c:overlap val="-24"/>
        <c:axId val="859544336"/>
        <c:axId val="859548176"/>
      </c:barChart>
      <c:catAx>
        <c:axId val="859544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548176"/>
        <c:crosses val="autoZero"/>
        <c:auto val="1"/>
        <c:lblAlgn val="ctr"/>
        <c:lblOffset val="100"/>
        <c:noMultiLvlLbl val="0"/>
      </c:catAx>
      <c:valAx>
        <c:axId val="8595481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5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30</xdr:col>
      <xdr:colOff>479425</xdr:colOff>
      <xdr:row>1</xdr:row>
      <xdr:rowOff>88900</xdr:rowOff>
    </xdr:from>
    <xdr:to>
      <xdr:col>38</xdr:col>
      <xdr:colOff>3175</xdr:colOff>
      <xdr:row>16</xdr:row>
      <xdr:rowOff>69850</xdr:rowOff>
    </xdr:to>
    <xdr:graphicFrame macro="">
      <xdr:nvGraphicFramePr>
        <xdr:cNvPr id="3" name="Chart 2">
          <a:extLst>
            <a:ext uri="{FF2B5EF4-FFF2-40B4-BE49-F238E27FC236}">
              <a16:creationId xmlns:a16="http://schemas.microsoft.com/office/drawing/2014/main" id="{F53F13AE-1CB9-53C2-221F-FDBE493B0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514350</xdr:colOff>
      <xdr:row>16</xdr:row>
      <xdr:rowOff>158750</xdr:rowOff>
    </xdr:from>
    <xdr:to>
      <xdr:col>38</xdr:col>
      <xdr:colOff>203200</xdr:colOff>
      <xdr:row>31</xdr:row>
      <xdr:rowOff>139700</xdr:rowOff>
    </xdr:to>
    <xdr:graphicFrame macro="">
      <xdr:nvGraphicFramePr>
        <xdr:cNvPr id="4" name="Chart 3">
          <a:extLst>
            <a:ext uri="{FF2B5EF4-FFF2-40B4-BE49-F238E27FC236}">
              <a16:creationId xmlns:a16="http://schemas.microsoft.com/office/drawing/2014/main" id="{649CC2E1-2CCD-E53B-F8E5-4D04E4454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xdr:row>
      <xdr:rowOff>6351</xdr:rowOff>
    </xdr:from>
    <xdr:to>
      <xdr:col>19</xdr:col>
      <xdr:colOff>50800</xdr:colOff>
      <xdr:row>16</xdr:row>
      <xdr:rowOff>177800</xdr:rowOff>
    </xdr:to>
    <xdr:grpSp>
      <xdr:nvGrpSpPr>
        <xdr:cNvPr id="6" name="Group 5">
          <a:extLst>
            <a:ext uri="{FF2B5EF4-FFF2-40B4-BE49-F238E27FC236}">
              <a16:creationId xmlns:a16="http://schemas.microsoft.com/office/drawing/2014/main" id="{75F8A401-23D0-19D9-AB8C-F91EA9FFFD9C}"/>
            </a:ext>
          </a:extLst>
        </xdr:cNvPr>
        <xdr:cNvGrpSpPr/>
      </xdr:nvGrpSpPr>
      <xdr:grpSpPr>
        <a:xfrm>
          <a:off x="12700" y="374651"/>
          <a:ext cx="11747500" cy="2749549"/>
          <a:chOff x="12700" y="374651"/>
          <a:chExt cx="11620500" cy="2749549"/>
        </a:xfrm>
      </xdr:grpSpPr>
      <xdr:graphicFrame macro="">
        <xdr:nvGraphicFramePr>
          <xdr:cNvPr id="2" name="Chart 1">
            <a:extLst>
              <a:ext uri="{FF2B5EF4-FFF2-40B4-BE49-F238E27FC236}">
                <a16:creationId xmlns:a16="http://schemas.microsoft.com/office/drawing/2014/main" id="{4A6A9DB7-5AAF-4EE8-9425-25556FF80438}"/>
              </a:ext>
            </a:extLst>
          </xdr:cNvPr>
          <xdr:cNvGraphicFramePr>
            <a:graphicFrameLocks/>
          </xdr:cNvGraphicFramePr>
        </xdr:nvGraphicFramePr>
        <xdr:xfrm>
          <a:off x="12700" y="381000"/>
          <a:ext cx="44069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E1197E81-CB8D-4613-A0E1-7A2BCF153318}"/>
              </a:ext>
            </a:extLst>
          </xdr:cNvPr>
          <xdr:cNvGraphicFramePr>
            <a:graphicFrameLocks/>
          </xdr:cNvGraphicFramePr>
        </xdr:nvGraphicFramePr>
        <xdr:xfrm>
          <a:off x="4413250" y="381000"/>
          <a:ext cx="4597400" cy="27432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BE0718A0-5A20-6CF0-76DE-9E141908EF8D}"/>
                  </a:ext>
                </a:extLst>
              </xdr:cNvPr>
              <xdr:cNvGraphicFramePr/>
            </xdr:nvGraphicFramePr>
            <xdr:xfrm>
              <a:off x="9036050" y="374651"/>
              <a:ext cx="2559050" cy="1219199"/>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34666" y="374651"/>
                <a:ext cx="2587018"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Refered Yes/No">
                <a:extLst>
                  <a:ext uri="{FF2B5EF4-FFF2-40B4-BE49-F238E27FC236}">
                    <a16:creationId xmlns:a16="http://schemas.microsoft.com/office/drawing/2014/main" id="{DA05A1B8-CC75-98E4-E8A5-F3E91D15890B}"/>
                  </a:ext>
                </a:extLst>
              </xdr:cNvPr>
              <xdr:cNvGraphicFramePr/>
            </xdr:nvGraphicFramePr>
            <xdr:xfrm>
              <a:off x="9055100" y="1625600"/>
              <a:ext cx="2578100" cy="1492249"/>
            </xdr:xfrm>
            <a:graphic>
              <a:graphicData uri="http://schemas.microsoft.com/office/drawing/2010/slicer">
                <sle:slicer xmlns:sle="http://schemas.microsoft.com/office/drawing/2010/slicer" name="Refered Yes/No"/>
              </a:graphicData>
            </a:graphic>
          </xdr:graphicFrame>
        </mc:Choice>
        <mc:Fallback xmlns="">
          <xdr:sp macro="" textlink="">
            <xdr:nvSpPr>
              <xdr:cNvPr id="0" name=""/>
              <xdr:cNvSpPr>
                <a:spLocks noTextEdit="1"/>
              </xdr:cNvSpPr>
            </xdr:nvSpPr>
            <xdr:spPr>
              <a:xfrm>
                <a:off x="9153924" y="1625600"/>
                <a:ext cx="2606276" cy="149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9.795597916665" createdVersion="8" refreshedVersion="8" minRefreshableVersion="3" recordCount="35" xr:uid="{3FF864F1-F063-48F6-90B0-37CE1339B0E9}">
  <cacheSource type="worksheet">
    <worksheetSource name="Table13"/>
  </cacheSource>
  <cacheFields count="12">
    <cacheField name=" 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ed Yes/No"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9.803897916667" createdVersion="8" refreshedVersion="8" minRefreshableVersion="3" recordCount="35" xr:uid="{F441423D-3A4C-4691-A1EA-7E803BB47918}">
  <cacheSource type="worksheet">
    <worksheetSource name="Table15"/>
  </cacheSource>
  <cacheFields count="14">
    <cacheField name=" 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Total Days" numFmtId="0">
      <sharedItems containsSemiMixedTypes="0" containsString="0" containsNumber="1" containsInteger="1" minValue="4" maxValue="568"/>
    </cacheField>
    <cacheField name="Membership_Duration_Months" numFmtId="1">
      <sharedItems containsSemiMixedTypes="0" containsString="0" containsNumber="1" minValue="0.13333333333333333" maxValue="18.933333333333334"/>
    </cacheField>
    <cacheField name="Total Revenue" numFmtId="1">
      <sharedItems containsSemiMixedTypes="0" containsString="0" containsNumber="1" minValue="240" maxValue="36333.33333333333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9.882317361109" createdVersion="8" refreshedVersion="8" minRefreshableVersion="3" recordCount="35" xr:uid="{27D4498E-86DA-4FE4-867F-26B596D7A579}">
  <cacheSource type="worksheet">
    <worksheetSource name="Table138"/>
  </cacheSource>
  <cacheFields count="15">
    <cacheField name=" 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ed Yes/No" numFmtId="0">
      <sharedItems count="2">
        <s v="Yes"/>
        <s v="No"/>
      </sharedItems>
    </cacheField>
    <cacheField name="Days" numFmtId="0">
      <sharedItems containsSemiMixedTypes="0" containsString="0" containsNumber="1" containsInteger="1" minValue="4" maxValue="568"/>
    </cacheField>
    <cacheField name="Months" numFmtId="1">
      <sharedItems containsSemiMixedTypes="0" containsString="0" containsNumber="1" minValue="0.13333333333333333" maxValue="18.933333333333334"/>
    </cacheField>
    <cacheField name="Revenue" numFmtId="1">
      <sharedItems containsSemiMixedTypes="0" containsString="0" containsNumber="1" minValue="240" maxValue="36333.333333333336"/>
    </cacheField>
  </cacheFields>
  <extLst>
    <ext xmlns:x14="http://schemas.microsoft.com/office/spreadsheetml/2009/9/main" uri="{725AE2AE-9491-48be-B2B4-4EB974FC3084}">
      <x14:pivotCacheDefinition pivotCacheId="28599482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0.419112037038" createdVersion="8" refreshedVersion="8" minRefreshableVersion="3" recordCount="35" xr:uid="{579DA3DD-2F91-4DA3-AF29-235FBD636D63}">
  <cacheSource type="worksheet">
    <worksheetSource ref="A1:O36" sheet="6. Gender &amp; Age Distribution"/>
  </cacheSource>
  <cacheFields count="14">
    <cacheField name=" 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acheField>
    <cacheField name="Age" numFmtId="0">
      <sharedItems containsSemiMixedTypes="0" containsString="0" containsNumber="1" containsInteger="1" minValue="19" maxValue="59" count="26">
        <n v="59"/>
        <n v="27"/>
        <n v="24"/>
        <n v="31"/>
        <n v="19"/>
        <n v="40"/>
        <n v="41"/>
        <n v="43"/>
        <n v="42"/>
        <n v="37"/>
        <n v="48"/>
        <n v="36"/>
        <n v="39"/>
        <n v="44"/>
        <n v="35"/>
        <n v="56"/>
        <n v="28"/>
        <n v="57"/>
        <n v="26"/>
        <n v="25"/>
        <n v="53"/>
        <n v="29"/>
        <n v="52"/>
        <n v="20"/>
        <n v="22"/>
        <n v="23"/>
      </sharedItems>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Total Days" numFmtId="0">
      <sharedItems containsSemiMixedTypes="0" containsString="0" containsNumber="1" containsInteger="1" minValue="4" maxValue="568"/>
    </cacheField>
    <cacheField name="Membership_Duration_Months" numFmtId="1">
      <sharedItems containsSemiMixedTypes="0" containsString="0" containsNumber="1" minValue="0.13333333333333333" maxValue="18.933333333333334"/>
    </cacheField>
    <cacheField name="Total Revenue" numFmtId="1">
      <sharedItems containsSemiMixedTypes="0" containsString="0" containsNumber="1" minValue="240" maxValue="36333.33333333333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0.42833599537" createdVersion="8" refreshedVersion="8" minRefreshableVersion="3" recordCount="35" xr:uid="{F5C9321A-6147-4174-A8B5-3338DE4E5B82}">
  <cacheSource type="worksheet">
    <worksheetSource name="Table8"/>
  </cacheSource>
  <cacheFields count="15">
    <cacheField name=" 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Age Group" numFmtId="0">
      <sharedItems count="3">
        <s v="Senior"/>
        <s v="Youth"/>
        <s v="Adults"/>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Total Days" numFmtId="0">
      <sharedItems containsSemiMixedTypes="0" containsString="0" containsNumber="1" containsInteger="1" minValue="4" maxValue="568"/>
    </cacheField>
    <cacheField name="Membership_Duration_Months" numFmtId="1">
      <sharedItems containsSemiMixedTypes="0" containsString="0" containsNumber="1" minValue="0.13333333333333333" maxValue="18.933333333333334"/>
    </cacheField>
    <cacheField name="Total Revenue" numFmtId="1">
      <sharedItems containsSemiMixedTypes="0" containsString="0" containsNumber="1" minValue="240" maxValue="36333.3333333333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s v="Bengaluru"/>
    <s v="Hiran Shan"/>
    <x v="0"/>
  </r>
  <r>
    <s v="M002"/>
    <s v="Parinaaz Shanker"/>
    <n v="27"/>
    <s v="Male"/>
    <s v="Basic"/>
    <d v="2025-02-26T00:00:00"/>
    <d v="2025-03-24T00:00:00"/>
    <n v="800"/>
    <n v="20"/>
    <s v="Pune"/>
    <s v="Kiara Kakar"/>
    <x v="0"/>
  </r>
  <r>
    <s v="M003"/>
    <s v="Aniruddh Batra"/>
    <n v="24"/>
    <s v="Male"/>
    <s v="Standard"/>
    <d v="2023-09-22T00:00:00"/>
    <d v="2024-03-20T00:00:00"/>
    <n v="1200"/>
    <n v="18"/>
    <s v="Hyderabad"/>
    <s v="Jhanvi Chaudhary"/>
    <x v="0"/>
  </r>
  <r>
    <s v="M004"/>
    <s v="Madhup Kapur"/>
    <n v="31"/>
    <s v="Female"/>
    <s v="Standard"/>
    <d v="2024-07-06T00:00:00"/>
    <d v="2024-10-22T00:00:00"/>
    <n v="1200"/>
    <n v="16"/>
    <s v="Hyderabad"/>
    <s v="Tara Swaminathan"/>
    <x v="0"/>
  </r>
  <r>
    <s v="M005"/>
    <s v="Rasha Kakar"/>
    <n v="19"/>
    <s v="Male"/>
    <s v="Family"/>
    <d v="2023-12-26T00:00:00"/>
    <d v="2024-07-28T00:00:00"/>
    <n v="2500"/>
    <n v="12"/>
    <s v="Bengaluru"/>
    <s v="Madhav Singh"/>
    <x v="0"/>
  </r>
  <r>
    <s v="M006"/>
    <s v="Ehsaan Batra"/>
    <n v="40"/>
    <s v="Male"/>
    <s v="Basic"/>
    <d v="2024-01-26T00:00:00"/>
    <d v="2024-04-10T00:00:00"/>
    <n v="800"/>
    <n v="14"/>
    <s v="Mumbai"/>
    <s v="Shray Ramakrishnan"/>
    <x v="0"/>
  </r>
  <r>
    <s v="M007"/>
    <s v="Zara Bains"/>
    <n v="41"/>
    <s v="Female"/>
    <s v="Basic"/>
    <d v="2024-10-23T00:00:00"/>
    <d v="2025-01-20T00:00:00"/>
    <n v="800"/>
    <n v="25"/>
    <s v="Pune"/>
    <m/>
    <x v="1"/>
  </r>
  <r>
    <s v="M008"/>
    <s v="Uthkarsh Baral"/>
    <n v="43"/>
    <s v="Male"/>
    <s v="Premium"/>
    <d v="2024-06-07T00:00:00"/>
    <d v="2024-09-28T00:00:00"/>
    <n v="1800"/>
    <n v="28"/>
    <s v="Kolkata"/>
    <m/>
    <x v="1"/>
  </r>
  <r>
    <s v="M009"/>
    <s v="Kashvi Char"/>
    <n v="42"/>
    <s v="Male"/>
    <s v="Basic"/>
    <d v="2024-10-04T00:00:00"/>
    <d v="2024-10-17T00:00:00"/>
    <n v="800"/>
    <n v="3"/>
    <s v="Kolkata"/>
    <s v="Nitara Comar"/>
    <x v="0"/>
  </r>
  <r>
    <s v="M010"/>
    <s v="Dhanush Varma"/>
    <n v="37"/>
    <s v="Male"/>
    <s v="Standard"/>
    <d v="2023-10-03T00:00:00"/>
    <d v="2023-12-20T00:00:00"/>
    <n v="1200"/>
    <n v="29"/>
    <s v="Mumbai"/>
    <s v="Ranbir Karan"/>
    <x v="0"/>
  </r>
  <r>
    <s v="M011"/>
    <s v="Ishaan Goyal"/>
    <n v="48"/>
    <s v="Female"/>
    <s v="Standard"/>
    <d v="2024-01-06T00:00:00"/>
    <d v="2024-06-16T00:00:00"/>
    <n v="1200"/>
    <n v="13"/>
    <s v="Bengaluru"/>
    <s v="Rati Sanghvi"/>
    <x v="0"/>
  </r>
  <r>
    <s v="M012"/>
    <s v="Mahika Ravi"/>
    <n v="36"/>
    <s v="Male"/>
    <s v="Standard"/>
    <d v="2023-08-16T00:00:00"/>
    <d v="2024-10-03T00:00:00"/>
    <n v="1200"/>
    <n v="19"/>
    <s v="Kolkata"/>
    <s v="Ishaan Kashyap"/>
    <x v="0"/>
  </r>
  <r>
    <s v="M013"/>
    <s v="Purab Reddy"/>
    <n v="48"/>
    <s v="Female"/>
    <s v="Premium"/>
    <d v="2024-09-21T00:00:00"/>
    <d v="2024-12-15T00:00:00"/>
    <n v="1800"/>
    <n v="22"/>
    <s v="Kolkata"/>
    <m/>
    <x v="1"/>
  </r>
  <r>
    <s v="M014"/>
    <s v="Tiya Soni"/>
    <n v="39"/>
    <s v="Male"/>
    <s v="Standard"/>
    <d v="2023-05-19T00:00:00"/>
    <d v="2023-11-12T00:00:00"/>
    <n v="1200"/>
    <n v="28"/>
    <s v="Mumbai"/>
    <m/>
    <x v="1"/>
  </r>
  <r>
    <s v="M015"/>
    <s v="Zara Dugar"/>
    <n v="44"/>
    <s v="Female"/>
    <s v="Basic"/>
    <d v="2024-02-11T00:00:00"/>
    <d v="2024-09-05T00:00:00"/>
    <n v="800"/>
    <n v="8"/>
    <s v="Hyderabad"/>
    <m/>
    <x v="1"/>
  </r>
  <r>
    <s v="M016"/>
    <s v="Lakshit Mander"/>
    <n v="39"/>
    <s v="Male"/>
    <s v="Family"/>
    <d v="2025-02-14T00:00:00"/>
    <d v="2025-03-16T00:00:00"/>
    <n v="2500"/>
    <n v="14"/>
    <s v="Kolkata"/>
    <m/>
    <x v="1"/>
  </r>
  <r>
    <s v="M017"/>
    <s v="Neysa Krish"/>
    <n v="35"/>
    <s v="Male"/>
    <s v="Standard"/>
    <d v="2024-02-07T00:00:00"/>
    <d v="2025-01-28T00:00:00"/>
    <n v="1200"/>
    <n v="25"/>
    <s v="Hyderabad"/>
    <m/>
    <x v="1"/>
  </r>
  <r>
    <s v="M018"/>
    <s v="Prerak Boase"/>
    <n v="56"/>
    <s v="Female"/>
    <s v="Family"/>
    <d v="2023-10-14T00:00:00"/>
    <d v="2024-12-23T00:00:00"/>
    <n v="2500"/>
    <n v="13"/>
    <s v="Delhi"/>
    <m/>
    <x v="1"/>
  </r>
  <r>
    <s v="M019"/>
    <s v="Siya Master"/>
    <n v="27"/>
    <s v="Female"/>
    <s v="Basic"/>
    <d v="2024-03-03T00:00:00"/>
    <d v="2025-01-07T00:00:00"/>
    <n v="800"/>
    <n v="26"/>
    <s v="Mumbai"/>
    <m/>
    <x v="1"/>
  </r>
  <r>
    <s v="M020"/>
    <s v="Madhup Biswas"/>
    <n v="28"/>
    <s v="Male"/>
    <s v="Family"/>
    <d v="2024-05-05T00:00:00"/>
    <d v="2024-11-12T00:00:00"/>
    <n v="2500"/>
    <n v="21"/>
    <s v="Mumbai"/>
    <s v="Tanya Bajwa"/>
    <x v="0"/>
  </r>
  <r>
    <s v="M021"/>
    <s v="Indrans Ratti"/>
    <n v="57"/>
    <s v="Female"/>
    <s v="Premium"/>
    <d v="2023-08-08T00:00:00"/>
    <d v="2025-01-17T00:00:00"/>
    <n v="1800"/>
    <n v="19"/>
    <s v="Mumbai"/>
    <m/>
    <x v="1"/>
  </r>
  <r>
    <s v="M022"/>
    <s v="Kimaya Balay"/>
    <n v="26"/>
    <s v="Female"/>
    <s v="Premium"/>
    <d v="2024-01-29T00:00:00"/>
    <d v="2024-11-20T00:00:00"/>
    <n v="1800"/>
    <n v="5"/>
    <s v="Bengaluru"/>
    <m/>
    <x v="1"/>
  </r>
  <r>
    <s v="M023"/>
    <s v="Eva Dass"/>
    <n v="48"/>
    <s v="Male"/>
    <s v="Premium"/>
    <d v="2024-06-08T00:00:00"/>
    <d v="2024-06-12T00:00:00"/>
    <n v="1800"/>
    <n v="18"/>
    <s v="Delhi"/>
    <m/>
    <x v="1"/>
  </r>
  <r>
    <s v="M024"/>
    <s v="Pihu Wali"/>
    <n v="25"/>
    <s v="Female"/>
    <s v="Standard"/>
    <d v="2024-05-27T00:00:00"/>
    <d v="2025-03-14T00:00:00"/>
    <n v="1200"/>
    <n v="6"/>
    <s v="Bengaluru"/>
    <m/>
    <x v="1"/>
  </r>
  <r>
    <s v="M025"/>
    <s v="Tiya Rege"/>
    <n v="53"/>
    <s v="Male"/>
    <s v="Premium"/>
    <d v="2023-12-26T00:00:00"/>
    <d v="2024-03-21T00:00:00"/>
    <n v="1800"/>
    <n v="17"/>
    <s v="Mumbai"/>
    <s v="Adira Brar"/>
    <x v="0"/>
  </r>
  <r>
    <s v="M026"/>
    <s v="Aarav Sen"/>
    <n v="42"/>
    <s v="Female"/>
    <s v="Standard"/>
    <d v="2025-02-14T00:00:00"/>
    <d v="2025-03-11T00:00:00"/>
    <n v="1200"/>
    <n v="3"/>
    <s v="Delhi"/>
    <m/>
    <x v="1"/>
  </r>
  <r>
    <s v="M027"/>
    <s v="Dishani Bera"/>
    <n v="24"/>
    <s v="Male"/>
    <s v="Family"/>
    <d v="2025-02-10T00:00:00"/>
    <d v="2025-03-10T00:00:00"/>
    <n v="2500"/>
    <n v="28"/>
    <s v="Mumbai"/>
    <m/>
    <x v="1"/>
  </r>
  <r>
    <s v="M028"/>
    <s v="Indrans Grover"/>
    <n v="53"/>
    <s v="Male"/>
    <s v="Standard"/>
    <d v="2024-11-18T00:00:00"/>
    <d v="2024-12-19T00:00:00"/>
    <n v="1200"/>
    <n v="23"/>
    <s v="Pune"/>
    <m/>
    <x v="1"/>
  </r>
  <r>
    <s v="M029"/>
    <s v="Kismat Edwin"/>
    <n v="29"/>
    <s v="Female"/>
    <s v="Family"/>
    <d v="2024-04-19T00:00:00"/>
    <d v="2024-04-26T00:00:00"/>
    <n v="2500"/>
    <n v="8"/>
    <s v="Hyderabad"/>
    <m/>
    <x v="1"/>
  </r>
  <r>
    <s v="M030"/>
    <s v="Taran Vyas"/>
    <n v="31"/>
    <s v="Female"/>
    <s v="Family"/>
    <d v="2025-01-10T00:00:00"/>
    <d v="2025-03-29T00:00:00"/>
    <n v="2500"/>
    <n v="23"/>
    <s v="Kolkata"/>
    <s v="Nakul Balakrishnan"/>
    <x v="0"/>
  </r>
  <r>
    <s v="M031"/>
    <s v="Jiya Baral"/>
    <n v="52"/>
    <s v="Female"/>
    <s v="Basic"/>
    <d v="2023-06-11T00:00:00"/>
    <d v="2024-12-30T00:00:00"/>
    <n v="800"/>
    <n v="9"/>
    <s v="Delhi"/>
    <s v="Darshit Sidhu"/>
    <x v="0"/>
  </r>
  <r>
    <s v="M032"/>
    <s v="Gokul Sahni"/>
    <n v="20"/>
    <s v="Male"/>
    <s v="Standard"/>
    <d v="2024-04-09T00:00:00"/>
    <d v="2024-11-08T00:00:00"/>
    <n v="1200"/>
    <n v="2"/>
    <s v="Mumbai"/>
    <m/>
    <x v="1"/>
  </r>
  <r>
    <s v="M033"/>
    <s v="Prerak Lalla"/>
    <n v="22"/>
    <s v="Male"/>
    <s v="Basic"/>
    <d v="2025-02-11T00:00:00"/>
    <d v="2025-03-24T00:00:00"/>
    <n v="800"/>
    <n v="30"/>
    <s v="Mumbai"/>
    <m/>
    <x v="1"/>
  </r>
  <r>
    <s v="M034"/>
    <s v="Hrishita Shroff"/>
    <n v="23"/>
    <s v="Male"/>
    <s v="Premium"/>
    <d v="2024-10-23T00:00:00"/>
    <d v="2025-03-05T00:00:00"/>
    <n v="1800"/>
    <n v="23"/>
    <s v="Pune"/>
    <s v="Riya Dugal"/>
    <x v="0"/>
  </r>
  <r>
    <s v="M035"/>
    <s v="Oorja Sachar"/>
    <n v="27"/>
    <s v="Female"/>
    <s v="Standard"/>
    <d v="2024-01-21T00:00:00"/>
    <d v="2024-12-26T00:00:00"/>
    <n v="1200"/>
    <n v="27"/>
    <s v="Pune"/>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190"/>
    <n v="6.333333333333333"/>
    <n v="5066.6666666666661"/>
  </r>
  <r>
    <s v="M002"/>
    <s v="Parinaaz Shanker"/>
    <n v="27"/>
    <s v="Male"/>
    <x v="0"/>
    <d v="2025-02-26T00:00:00"/>
    <d v="2025-03-24T00:00:00"/>
    <n v="800"/>
    <n v="20"/>
    <x v="1"/>
    <s v="Kiara Kakar"/>
    <n v="26"/>
    <n v="0.8666666666666667"/>
    <n v="693.33333333333337"/>
  </r>
  <r>
    <s v="M003"/>
    <s v="Aniruddh Batra"/>
    <n v="24"/>
    <s v="Male"/>
    <x v="1"/>
    <d v="2023-09-22T00:00:00"/>
    <d v="2024-03-20T00:00:00"/>
    <n v="1200"/>
    <n v="18"/>
    <x v="2"/>
    <s v="Jhanvi Chaudhary"/>
    <n v="180"/>
    <n v="6"/>
    <n v="7200"/>
  </r>
  <r>
    <s v="M004"/>
    <s v="Madhup Kapur"/>
    <n v="31"/>
    <s v="Female"/>
    <x v="1"/>
    <d v="2024-07-06T00:00:00"/>
    <d v="2024-10-22T00:00:00"/>
    <n v="1200"/>
    <n v="16"/>
    <x v="2"/>
    <s v="Tara Swaminathan"/>
    <n v="108"/>
    <n v="3.6"/>
    <n v="4320"/>
  </r>
  <r>
    <s v="M005"/>
    <s v="Rasha Kakar"/>
    <n v="19"/>
    <s v="Male"/>
    <x v="2"/>
    <d v="2023-12-26T00:00:00"/>
    <d v="2024-07-28T00:00:00"/>
    <n v="2500"/>
    <n v="12"/>
    <x v="0"/>
    <s v="Madhav Singh"/>
    <n v="215"/>
    <n v="7.166666666666667"/>
    <n v="17916.666666666668"/>
  </r>
  <r>
    <s v="M006"/>
    <s v="Ehsaan Batra"/>
    <n v="40"/>
    <s v="Male"/>
    <x v="0"/>
    <d v="2024-01-26T00:00:00"/>
    <d v="2024-04-10T00:00:00"/>
    <n v="800"/>
    <n v="14"/>
    <x v="3"/>
    <s v="Shray Ramakrishnan"/>
    <n v="75"/>
    <n v="2.5"/>
    <n v="2000"/>
  </r>
  <r>
    <s v="M007"/>
    <s v="Zara Bains"/>
    <n v="41"/>
    <s v="Female"/>
    <x v="0"/>
    <d v="2024-10-23T00:00:00"/>
    <d v="2025-01-20T00:00:00"/>
    <n v="800"/>
    <n v="25"/>
    <x v="1"/>
    <m/>
    <n v="89"/>
    <n v="2.9666666666666668"/>
    <n v="2373.3333333333335"/>
  </r>
  <r>
    <s v="M008"/>
    <s v="Uthkarsh Baral"/>
    <n v="43"/>
    <s v="Male"/>
    <x v="3"/>
    <d v="2024-06-07T00:00:00"/>
    <d v="2024-09-28T00:00:00"/>
    <n v="1800"/>
    <n v="28"/>
    <x v="4"/>
    <m/>
    <n v="113"/>
    <n v="3.7666666666666666"/>
    <n v="6780"/>
  </r>
  <r>
    <s v="M009"/>
    <s v="Kashvi Char"/>
    <n v="42"/>
    <s v="Male"/>
    <x v="0"/>
    <d v="2024-10-04T00:00:00"/>
    <d v="2024-10-17T00:00:00"/>
    <n v="800"/>
    <n v="3"/>
    <x v="4"/>
    <s v="Nitara Comar"/>
    <n v="13"/>
    <n v="0.43333333333333335"/>
    <n v="346.66666666666669"/>
  </r>
  <r>
    <s v="M010"/>
    <s v="Dhanush Varma"/>
    <n v="37"/>
    <s v="Male"/>
    <x v="1"/>
    <d v="2023-10-03T00:00:00"/>
    <d v="2023-12-20T00:00:00"/>
    <n v="1200"/>
    <n v="29"/>
    <x v="3"/>
    <s v="Ranbir Karan"/>
    <n v="78"/>
    <n v="2.6"/>
    <n v="3120"/>
  </r>
  <r>
    <s v="M011"/>
    <s v="Ishaan Goyal"/>
    <n v="48"/>
    <s v="Female"/>
    <x v="1"/>
    <d v="2024-01-06T00:00:00"/>
    <d v="2024-06-16T00:00:00"/>
    <n v="1200"/>
    <n v="13"/>
    <x v="0"/>
    <s v="Rati Sanghvi"/>
    <n v="162"/>
    <n v="5.4"/>
    <n v="6480"/>
  </r>
  <r>
    <s v="M012"/>
    <s v="Mahika Ravi"/>
    <n v="36"/>
    <s v="Male"/>
    <x v="1"/>
    <d v="2023-08-16T00:00:00"/>
    <d v="2024-10-03T00:00:00"/>
    <n v="1200"/>
    <n v="19"/>
    <x v="4"/>
    <s v="Ishaan Kashyap"/>
    <n v="414"/>
    <n v="13.8"/>
    <n v="16560"/>
  </r>
  <r>
    <s v="M013"/>
    <s v="Purab Reddy"/>
    <n v="48"/>
    <s v="Female"/>
    <x v="3"/>
    <d v="2024-09-21T00:00:00"/>
    <d v="2024-12-15T00:00:00"/>
    <n v="1800"/>
    <n v="22"/>
    <x v="4"/>
    <m/>
    <n v="85"/>
    <n v="2.8333333333333335"/>
    <n v="5100"/>
  </r>
  <r>
    <s v="M014"/>
    <s v="Tiya Soni"/>
    <n v="39"/>
    <s v="Male"/>
    <x v="1"/>
    <d v="2023-05-19T00:00:00"/>
    <d v="2023-11-12T00:00:00"/>
    <n v="1200"/>
    <n v="28"/>
    <x v="3"/>
    <m/>
    <n v="177"/>
    <n v="5.9"/>
    <n v="7080"/>
  </r>
  <r>
    <s v="M015"/>
    <s v="Zara Dugar"/>
    <n v="44"/>
    <s v="Female"/>
    <x v="0"/>
    <d v="2024-02-11T00:00:00"/>
    <d v="2024-09-05T00:00:00"/>
    <n v="800"/>
    <n v="8"/>
    <x v="2"/>
    <m/>
    <n v="207"/>
    <n v="6.9"/>
    <n v="5520"/>
  </r>
  <r>
    <s v="M016"/>
    <s v="Lakshit Mander"/>
    <n v="39"/>
    <s v="Male"/>
    <x v="2"/>
    <d v="2025-02-14T00:00:00"/>
    <d v="2025-03-16T00:00:00"/>
    <n v="2500"/>
    <n v="14"/>
    <x v="4"/>
    <m/>
    <n v="30"/>
    <n v="1"/>
    <n v="2500"/>
  </r>
  <r>
    <s v="M017"/>
    <s v="Neysa Krish"/>
    <n v="35"/>
    <s v="Male"/>
    <x v="1"/>
    <d v="2024-02-07T00:00:00"/>
    <d v="2025-01-28T00:00:00"/>
    <n v="1200"/>
    <n v="25"/>
    <x v="2"/>
    <m/>
    <n v="356"/>
    <n v="11.866666666666667"/>
    <n v="14240"/>
  </r>
  <r>
    <s v="M018"/>
    <s v="Prerak Boase"/>
    <n v="56"/>
    <s v="Female"/>
    <x v="2"/>
    <d v="2023-10-14T00:00:00"/>
    <d v="2024-12-23T00:00:00"/>
    <n v="2500"/>
    <n v="13"/>
    <x v="5"/>
    <m/>
    <n v="436"/>
    <n v="14.533333333333333"/>
    <n v="36333.333333333336"/>
  </r>
  <r>
    <s v="M019"/>
    <s v="Siya Master"/>
    <n v="27"/>
    <s v="Female"/>
    <x v="0"/>
    <d v="2024-03-03T00:00:00"/>
    <d v="2025-01-07T00:00:00"/>
    <n v="800"/>
    <n v="26"/>
    <x v="3"/>
    <m/>
    <n v="310"/>
    <n v="10.333333333333334"/>
    <n v="8266.6666666666679"/>
  </r>
  <r>
    <s v="M020"/>
    <s v="Madhup Biswas"/>
    <n v="28"/>
    <s v="Male"/>
    <x v="2"/>
    <d v="2024-05-05T00:00:00"/>
    <d v="2024-11-12T00:00:00"/>
    <n v="2500"/>
    <n v="21"/>
    <x v="3"/>
    <s v="Tanya Bajwa"/>
    <n v="191"/>
    <n v="6.3666666666666663"/>
    <n v="15916.666666666666"/>
  </r>
  <r>
    <s v="M021"/>
    <s v="Indrans Ratti"/>
    <n v="57"/>
    <s v="Female"/>
    <x v="3"/>
    <d v="2023-08-08T00:00:00"/>
    <d v="2025-01-17T00:00:00"/>
    <n v="1800"/>
    <n v="19"/>
    <x v="3"/>
    <m/>
    <n v="528"/>
    <n v="17.600000000000001"/>
    <n v="31680.000000000004"/>
  </r>
  <r>
    <s v="M022"/>
    <s v="Kimaya Balay"/>
    <n v="26"/>
    <s v="Female"/>
    <x v="3"/>
    <d v="2024-01-29T00:00:00"/>
    <d v="2024-11-20T00:00:00"/>
    <n v="1800"/>
    <n v="5"/>
    <x v="0"/>
    <m/>
    <n v="296"/>
    <n v="9.8666666666666671"/>
    <n v="17760"/>
  </r>
  <r>
    <s v="M023"/>
    <s v="Eva Dass"/>
    <n v="48"/>
    <s v="Male"/>
    <x v="3"/>
    <d v="2024-06-08T00:00:00"/>
    <d v="2024-06-12T00:00:00"/>
    <n v="1800"/>
    <n v="18"/>
    <x v="5"/>
    <m/>
    <n v="4"/>
    <n v="0.13333333333333333"/>
    <n v="240"/>
  </r>
  <r>
    <s v="M024"/>
    <s v="Pihu Wali"/>
    <n v="25"/>
    <s v="Female"/>
    <x v="1"/>
    <d v="2024-05-27T00:00:00"/>
    <d v="2025-03-14T00:00:00"/>
    <n v="1200"/>
    <n v="6"/>
    <x v="0"/>
    <m/>
    <n v="291"/>
    <n v="9.6999999999999993"/>
    <n v="11640"/>
  </r>
  <r>
    <s v="M025"/>
    <s v="Tiya Rege"/>
    <n v="53"/>
    <s v="Male"/>
    <x v="3"/>
    <d v="2023-12-26T00:00:00"/>
    <d v="2024-03-21T00:00:00"/>
    <n v="1800"/>
    <n v="17"/>
    <x v="3"/>
    <s v="Adira Brar"/>
    <n v="86"/>
    <n v="2.8666666666666667"/>
    <n v="5160"/>
  </r>
  <r>
    <s v="M026"/>
    <s v="Aarav Sen"/>
    <n v="42"/>
    <s v="Female"/>
    <x v="1"/>
    <d v="2025-02-14T00:00:00"/>
    <d v="2025-03-11T00:00:00"/>
    <n v="1200"/>
    <n v="3"/>
    <x v="5"/>
    <m/>
    <n v="25"/>
    <n v="0.83333333333333337"/>
    <n v="1000"/>
  </r>
  <r>
    <s v="M027"/>
    <s v="Dishani Bera"/>
    <n v="24"/>
    <s v="Male"/>
    <x v="2"/>
    <d v="2025-02-10T00:00:00"/>
    <d v="2025-03-10T00:00:00"/>
    <n v="2500"/>
    <n v="28"/>
    <x v="3"/>
    <m/>
    <n v="28"/>
    <n v="0.93333333333333335"/>
    <n v="2333.3333333333335"/>
  </r>
  <r>
    <s v="M028"/>
    <s v="Indrans Grover"/>
    <n v="53"/>
    <s v="Male"/>
    <x v="1"/>
    <d v="2024-11-18T00:00:00"/>
    <d v="2024-12-19T00:00:00"/>
    <n v="1200"/>
    <n v="23"/>
    <x v="1"/>
    <m/>
    <n v="31"/>
    <n v="1.0333333333333334"/>
    <n v="1240.0000000000002"/>
  </r>
  <r>
    <s v="M029"/>
    <s v="Kismat Edwin"/>
    <n v="29"/>
    <s v="Female"/>
    <x v="2"/>
    <d v="2024-04-19T00:00:00"/>
    <d v="2024-04-26T00:00:00"/>
    <n v="2500"/>
    <n v="8"/>
    <x v="2"/>
    <m/>
    <n v="7"/>
    <n v="0.23333333333333334"/>
    <n v="583.33333333333337"/>
  </r>
  <r>
    <s v="M030"/>
    <s v="Taran Vyas"/>
    <n v="31"/>
    <s v="Female"/>
    <x v="2"/>
    <d v="2025-01-10T00:00:00"/>
    <d v="2025-03-29T00:00:00"/>
    <n v="2500"/>
    <n v="23"/>
    <x v="4"/>
    <s v="Nakul Balakrishnan"/>
    <n v="78"/>
    <n v="2.6"/>
    <n v="6500"/>
  </r>
  <r>
    <s v="M031"/>
    <s v="Jiya Baral"/>
    <n v="52"/>
    <s v="Female"/>
    <x v="0"/>
    <d v="2023-06-11T00:00:00"/>
    <d v="2024-12-30T00:00:00"/>
    <n v="800"/>
    <n v="9"/>
    <x v="5"/>
    <s v="Darshit Sidhu"/>
    <n v="568"/>
    <n v="18.933333333333334"/>
    <n v="15146.666666666666"/>
  </r>
  <r>
    <s v="M032"/>
    <s v="Gokul Sahni"/>
    <n v="20"/>
    <s v="Male"/>
    <x v="1"/>
    <d v="2024-04-09T00:00:00"/>
    <d v="2024-11-08T00:00:00"/>
    <n v="1200"/>
    <n v="2"/>
    <x v="3"/>
    <m/>
    <n v="213"/>
    <n v="7.1"/>
    <n v="8520"/>
  </r>
  <r>
    <s v="M033"/>
    <s v="Prerak Lalla"/>
    <n v="22"/>
    <s v="Male"/>
    <x v="0"/>
    <d v="2025-02-11T00:00:00"/>
    <d v="2025-03-24T00:00:00"/>
    <n v="800"/>
    <n v="30"/>
    <x v="3"/>
    <m/>
    <n v="41"/>
    <n v="1.3666666666666667"/>
    <n v="1093.3333333333333"/>
  </r>
  <r>
    <s v="M034"/>
    <s v="Hrishita Shroff"/>
    <n v="23"/>
    <s v="Male"/>
    <x v="3"/>
    <d v="2024-10-23T00:00:00"/>
    <d v="2025-03-05T00:00:00"/>
    <n v="1800"/>
    <n v="23"/>
    <x v="1"/>
    <s v="Riya Dugal"/>
    <n v="133"/>
    <n v="4.4333333333333336"/>
    <n v="7980"/>
  </r>
  <r>
    <s v="M035"/>
    <s v="Oorja Sachar"/>
    <n v="27"/>
    <s v="Female"/>
    <x v="1"/>
    <d v="2024-01-21T00:00:00"/>
    <d v="2024-12-26T00:00:00"/>
    <n v="1200"/>
    <n v="27"/>
    <x v="1"/>
    <m/>
    <n v="340"/>
    <n v="11.333333333333334"/>
    <n v="136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x v="0"/>
    <n v="190"/>
    <n v="6.333333333333333"/>
    <n v="5066.6666666666661"/>
  </r>
  <r>
    <s v="M002"/>
    <s v="Parinaaz Shanker"/>
    <n v="27"/>
    <s v="Male"/>
    <x v="0"/>
    <d v="2025-02-26T00:00:00"/>
    <d v="2025-03-24T00:00:00"/>
    <n v="800"/>
    <n v="20"/>
    <x v="1"/>
    <s v="Kiara Kakar"/>
    <x v="0"/>
    <n v="26"/>
    <n v="0.8666666666666667"/>
    <n v="693.33333333333337"/>
  </r>
  <r>
    <s v="M003"/>
    <s v="Aniruddh Batra"/>
    <n v="24"/>
    <s v="Male"/>
    <x v="1"/>
    <d v="2023-09-22T00:00:00"/>
    <d v="2024-03-20T00:00:00"/>
    <n v="1200"/>
    <n v="18"/>
    <x v="2"/>
    <s v="Jhanvi Chaudhary"/>
    <x v="0"/>
    <n v="180"/>
    <n v="6"/>
    <n v="7200"/>
  </r>
  <r>
    <s v="M004"/>
    <s v="Madhup Kapur"/>
    <n v="31"/>
    <s v="Female"/>
    <x v="1"/>
    <d v="2024-07-06T00:00:00"/>
    <d v="2024-10-22T00:00:00"/>
    <n v="1200"/>
    <n v="16"/>
    <x v="2"/>
    <s v="Tara Swaminathan"/>
    <x v="0"/>
    <n v="108"/>
    <n v="3.6"/>
    <n v="4320"/>
  </r>
  <r>
    <s v="M005"/>
    <s v="Rasha Kakar"/>
    <n v="19"/>
    <s v="Male"/>
    <x v="2"/>
    <d v="2023-12-26T00:00:00"/>
    <d v="2024-07-28T00:00:00"/>
    <n v="2500"/>
    <n v="12"/>
    <x v="0"/>
    <s v="Madhav Singh"/>
    <x v="0"/>
    <n v="215"/>
    <n v="7.166666666666667"/>
    <n v="17916.666666666668"/>
  </r>
  <r>
    <s v="M006"/>
    <s v="Ehsaan Batra"/>
    <n v="40"/>
    <s v="Male"/>
    <x v="0"/>
    <d v="2024-01-26T00:00:00"/>
    <d v="2024-04-10T00:00:00"/>
    <n v="800"/>
    <n v="14"/>
    <x v="3"/>
    <s v="Shray Ramakrishnan"/>
    <x v="0"/>
    <n v="75"/>
    <n v="2.5"/>
    <n v="2000"/>
  </r>
  <r>
    <s v="M007"/>
    <s v="Zara Bains"/>
    <n v="41"/>
    <s v="Female"/>
    <x v="0"/>
    <d v="2024-10-23T00:00:00"/>
    <d v="2025-01-20T00:00:00"/>
    <n v="800"/>
    <n v="25"/>
    <x v="1"/>
    <m/>
    <x v="1"/>
    <n v="89"/>
    <n v="2.9666666666666668"/>
    <n v="2373.3333333333335"/>
  </r>
  <r>
    <s v="M008"/>
    <s v="Uthkarsh Baral"/>
    <n v="43"/>
    <s v="Male"/>
    <x v="3"/>
    <d v="2024-06-07T00:00:00"/>
    <d v="2024-09-28T00:00:00"/>
    <n v="1800"/>
    <n v="28"/>
    <x v="4"/>
    <m/>
    <x v="1"/>
    <n v="113"/>
    <n v="3.7666666666666666"/>
    <n v="6780"/>
  </r>
  <r>
    <s v="M009"/>
    <s v="Kashvi Char"/>
    <n v="42"/>
    <s v="Male"/>
    <x v="0"/>
    <d v="2024-10-04T00:00:00"/>
    <d v="2024-10-17T00:00:00"/>
    <n v="800"/>
    <n v="3"/>
    <x v="4"/>
    <s v="Nitara Comar"/>
    <x v="0"/>
    <n v="13"/>
    <n v="0.43333333333333335"/>
    <n v="346.66666666666669"/>
  </r>
  <r>
    <s v="M010"/>
    <s v="Dhanush Varma"/>
    <n v="37"/>
    <s v="Male"/>
    <x v="1"/>
    <d v="2023-10-03T00:00:00"/>
    <d v="2023-12-20T00:00:00"/>
    <n v="1200"/>
    <n v="29"/>
    <x v="3"/>
    <s v="Ranbir Karan"/>
    <x v="0"/>
    <n v="78"/>
    <n v="2.6"/>
    <n v="3120"/>
  </r>
  <r>
    <s v="M011"/>
    <s v="Ishaan Goyal"/>
    <n v="48"/>
    <s v="Female"/>
    <x v="1"/>
    <d v="2024-01-06T00:00:00"/>
    <d v="2024-06-16T00:00:00"/>
    <n v="1200"/>
    <n v="13"/>
    <x v="0"/>
    <s v="Rati Sanghvi"/>
    <x v="0"/>
    <n v="162"/>
    <n v="5.4"/>
    <n v="6480"/>
  </r>
  <r>
    <s v="M012"/>
    <s v="Mahika Ravi"/>
    <n v="36"/>
    <s v="Male"/>
    <x v="1"/>
    <d v="2023-08-16T00:00:00"/>
    <d v="2024-10-03T00:00:00"/>
    <n v="1200"/>
    <n v="19"/>
    <x v="4"/>
    <s v="Ishaan Kashyap"/>
    <x v="0"/>
    <n v="414"/>
    <n v="13.8"/>
    <n v="16560"/>
  </r>
  <r>
    <s v="M013"/>
    <s v="Purab Reddy"/>
    <n v="48"/>
    <s v="Female"/>
    <x v="3"/>
    <d v="2024-09-21T00:00:00"/>
    <d v="2024-12-15T00:00:00"/>
    <n v="1800"/>
    <n v="22"/>
    <x v="4"/>
    <m/>
    <x v="1"/>
    <n v="85"/>
    <n v="2.8333333333333335"/>
    <n v="5100"/>
  </r>
  <r>
    <s v="M014"/>
    <s v="Tiya Soni"/>
    <n v="39"/>
    <s v="Male"/>
    <x v="1"/>
    <d v="2023-05-19T00:00:00"/>
    <d v="2023-11-12T00:00:00"/>
    <n v="1200"/>
    <n v="28"/>
    <x v="3"/>
    <m/>
    <x v="1"/>
    <n v="177"/>
    <n v="5.9"/>
    <n v="7080"/>
  </r>
  <r>
    <s v="M015"/>
    <s v="Zara Dugar"/>
    <n v="44"/>
    <s v="Female"/>
    <x v="0"/>
    <d v="2024-02-11T00:00:00"/>
    <d v="2024-09-05T00:00:00"/>
    <n v="800"/>
    <n v="8"/>
    <x v="2"/>
    <m/>
    <x v="1"/>
    <n v="207"/>
    <n v="6.9"/>
    <n v="5520"/>
  </r>
  <r>
    <s v="M016"/>
    <s v="Lakshit Mander"/>
    <n v="39"/>
    <s v="Male"/>
    <x v="2"/>
    <d v="2025-02-14T00:00:00"/>
    <d v="2025-03-16T00:00:00"/>
    <n v="2500"/>
    <n v="14"/>
    <x v="4"/>
    <m/>
    <x v="1"/>
    <n v="30"/>
    <n v="1"/>
    <n v="2500"/>
  </r>
  <r>
    <s v="M017"/>
    <s v="Neysa Krish"/>
    <n v="35"/>
    <s v="Male"/>
    <x v="1"/>
    <d v="2024-02-07T00:00:00"/>
    <d v="2025-01-28T00:00:00"/>
    <n v="1200"/>
    <n v="25"/>
    <x v="2"/>
    <m/>
    <x v="1"/>
    <n v="356"/>
    <n v="11.866666666666667"/>
    <n v="14240"/>
  </r>
  <r>
    <s v="M018"/>
    <s v="Prerak Boase"/>
    <n v="56"/>
    <s v="Female"/>
    <x v="2"/>
    <d v="2023-10-14T00:00:00"/>
    <d v="2024-12-23T00:00:00"/>
    <n v="2500"/>
    <n v="13"/>
    <x v="5"/>
    <m/>
    <x v="1"/>
    <n v="436"/>
    <n v="14.533333333333333"/>
    <n v="36333.333333333336"/>
  </r>
  <r>
    <s v="M019"/>
    <s v="Siya Master"/>
    <n v="27"/>
    <s v="Female"/>
    <x v="0"/>
    <d v="2024-03-03T00:00:00"/>
    <d v="2025-01-07T00:00:00"/>
    <n v="800"/>
    <n v="26"/>
    <x v="3"/>
    <m/>
    <x v="1"/>
    <n v="310"/>
    <n v="10.333333333333334"/>
    <n v="8266.6666666666679"/>
  </r>
  <r>
    <s v="M020"/>
    <s v="Madhup Biswas"/>
    <n v="28"/>
    <s v="Male"/>
    <x v="2"/>
    <d v="2024-05-05T00:00:00"/>
    <d v="2024-11-12T00:00:00"/>
    <n v="2500"/>
    <n v="21"/>
    <x v="3"/>
    <s v="Tanya Bajwa"/>
    <x v="0"/>
    <n v="191"/>
    <n v="6.3666666666666663"/>
    <n v="15916.666666666666"/>
  </r>
  <r>
    <s v="M021"/>
    <s v="Indrans Ratti"/>
    <n v="57"/>
    <s v="Female"/>
    <x v="3"/>
    <d v="2023-08-08T00:00:00"/>
    <d v="2025-01-17T00:00:00"/>
    <n v="1800"/>
    <n v="19"/>
    <x v="3"/>
    <m/>
    <x v="1"/>
    <n v="528"/>
    <n v="17.600000000000001"/>
    <n v="31680.000000000004"/>
  </r>
  <r>
    <s v="M022"/>
    <s v="Kimaya Balay"/>
    <n v="26"/>
    <s v="Female"/>
    <x v="3"/>
    <d v="2024-01-29T00:00:00"/>
    <d v="2024-11-20T00:00:00"/>
    <n v="1800"/>
    <n v="5"/>
    <x v="0"/>
    <m/>
    <x v="1"/>
    <n v="296"/>
    <n v="9.8666666666666671"/>
    <n v="17760"/>
  </r>
  <r>
    <s v="M023"/>
    <s v="Eva Dass"/>
    <n v="48"/>
    <s v="Male"/>
    <x v="3"/>
    <d v="2024-06-08T00:00:00"/>
    <d v="2024-06-12T00:00:00"/>
    <n v="1800"/>
    <n v="18"/>
    <x v="5"/>
    <m/>
    <x v="1"/>
    <n v="4"/>
    <n v="0.13333333333333333"/>
    <n v="240"/>
  </r>
  <r>
    <s v="M024"/>
    <s v="Pihu Wali"/>
    <n v="25"/>
    <s v="Female"/>
    <x v="1"/>
    <d v="2024-05-27T00:00:00"/>
    <d v="2025-03-14T00:00:00"/>
    <n v="1200"/>
    <n v="6"/>
    <x v="0"/>
    <m/>
    <x v="1"/>
    <n v="291"/>
    <n v="9.6999999999999993"/>
    <n v="11640"/>
  </r>
  <r>
    <s v="M025"/>
    <s v="Tiya Rege"/>
    <n v="53"/>
    <s v="Male"/>
    <x v="3"/>
    <d v="2023-12-26T00:00:00"/>
    <d v="2024-03-21T00:00:00"/>
    <n v="1800"/>
    <n v="17"/>
    <x v="3"/>
    <s v="Adira Brar"/>
    <x v="0"/>
    <n v="86"/>
    <n v="2.8666666666666667"/>
    <n v="5160"/>
  </r>
  <r>
    <s v="M026"/>
    <s v="Aarav Sen"/>
    <n v="42"/>
    <s v="Female"/>
    <x v="1"/>
    <d v="2025-02-14T00:00:00"/>
    <d v="2025-03-11T00:00:00"/>
    <n v="1200"/>
    <n v="3"/>
    <x v="5"/>
    <m/>
    <x v="1"/>
    <n v="25"/>
    <n v="0.83333333333333337"/>
    <n v="1000"/>
  </r>
  <r>
    <s v="M027"/>
    <s v="Dishani Bera"/>
    <n v="24"/>
    <s v="Male"/>
    <x v="2"/>
    <d v="2025-02-10T00:00:00"/>
    <d v="2025-03-10T00:00:00"/>
    <n v="2500"/>
    <n v="28"/>
    <x v="3"/>
    <m/>
    <x v="1"/>
    <n v="28"/>
    <n v="0.93333333333333335"/>
    <n v="2333.3333333333335"/>
  </r>
  <r>
    <s v="M028"/>
    <s v="Indrans Grover"/>
    <n v="53"/>
    <s v="Male"/>
    <x v="1"/>
    <d v="2024-11-18T00:00:00"/>
    <d v="2024-12-19T00:00:00"/>
    <n v="1200"/>
    <n v="23"/>
    <x v="1"/>
    <m/>
    <x v="1"/>
    <n v="31"/>
    <n v="1.0333333333333334"/>
    <n v="1240.0000000000002"/>
  </r>
  <r>
    <s v="M029"/>
    <s v="Kismat Edwin"/>
    <n v="29"/>
    <s v="Female"/>
    <x v="2"/>
    <d v="2024-04-19T00:00:00"/>
    <d v="2024-04-26T00:00:00"/>
    <n v="2500"/>
    <n v="8"/>
    <x v="2"/>
    <m/>
    <x v="1"/>
    <n v="7"/>
    <n v="0.23333333333333334"/>
    <n v="583.33333333333337"/>
  </r>
  <r>
    <s v="M030"/>
    <s v="Taran Vyas"/>
    <n v="31"/>
    <s v="Female"/>
    <x v="2"/>
    <d v="2025-01-10T00:00:00"/>
    <d v="2025-03-29T00:00:00"/>
    <n v="2500"/>
    <n v="23"/>
    <x v="4"/>
    <s v="Nakul Balakrishnan"/>
    <x v="0"/>
    <n v="78"/>
    <n v="2.6"/>
    <n v="6500"/>
  </r>
  <r>
    <s v="M031"/>
    <s v="Jiya Baral"/>
    <n v="52"/>
    <s v="Female"/>
    <x v="0"/>
    <d v="2023-06-11T00:00:00"/>
    <d v="2024-12-30T00:00:00"/>
    <n v="800"/>
    <n v="9"/>
    <x v="5"/>
    <s v="Darshit Sidhu"/>
    <x v="0"/>
    <n v="568"/>
    <n v="18.933333333333334"/>
    <n v="15146.666666666666"/>
  </r>
  <r>
    <s v="M032"/>
    <s v="Gokul Sahni"/>
    <n v="20"/>
    <s v="Male"/>
    <x v="1"/>
    <d v="2024-04-09T00:00:00"/>
    <d v="2024-11-08T00:00:00"/>
    <n v="1200"/>
    <n v="2"/>
    <x v="3"/>
    <m/>
    <x v="1"/>
    <n v="213"/>
    <n v="7.1"/>
    <n v="8520"/>
  </r>
  <r>
    <s v="M033"/>
    <s v="Prerak Lalla"/>
    <n v="22"/>
    <s v="Male"/>
    <x v="0"/>
    <d v="2025-02-11T00:00:00"/>
    <d v="2025-03-24T00:00:00"/>
    <n v="800"/>
    <n v="30"/>
    <x v="3"/>
    <m/>
    <x v="1"/>
    <n v="41"/>
    <n v="1.3666666666666667"/>
    <n v="1093.3333333333333"/>
  </r>
  <r>
    <s v="M034"/>
    <s v="Hrishita Shroff"/>
    <n v="23"/>
    <s v="Male"/>
    <x v="3"/>
    <d v="2024-10-23T00:00:00"/>
    <d v="2025-03-05T00:00:00"/>
    <n v="1800"/>
    <n v="23"/>
    <x v="1"/>
    <s v="Riya Dugal"/>
    <x v="0"/>
    <n v="133"/>
    <n v="4.4333333333333336"/>
    <n v="7980"/>
  </r>
  <r>
    <s v="M035"/>
    <s v="Oorja Sachar"/>
    <n v="27"/>
    <s v="Female"/>
    <x v="1"/>
    <d v="2024-01-21T00:00:00"/>
    <d v="2024-12-26T00:00:00"/>
    <n v="1200"/>
    <n v="27"/>
    <x v="1"/>
    <m/>
    <x v="1"/>
    <n v="340"/>
    <n v="11.333333333333334"/>
    <n v="136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nay Shanker"/>
    <x v="0"/>
    <x v="0"/>
    <x v="0"/>
    <d v="2023-11-05T00:00:00"/>
    <d v="2024-05-13T00:00:00"/>
    <n v="800"/>
    <n v="25"/>
    <x v="0"/>
    <s v="Hiran Shan"/>
    <n v="190"/>
    <n v="6.333333333333333"/>
    <n v="5066.6666666666661"/>
  </r>
  <r>
    <x v="1"/>
    <s v="Parinaaz Shanker"/>
    <x v="1"/>
    <x v="0"/>
    <x v="0"/>
    <d v="2025-02-26T00:00:00"/>
    <d v="2025-03-24T00:00:00"/>
    <n v="800"/>
    <n v="20"/>
    <x v="1"/>
    <s v="Kiara Kakar"/>
    <n v="26"/>
    <n v="0.8666666666666667"/>
    <n v="693.33333333333337"/>
  </r>
  <r>
    <x v="2"/>
    <s v="Aniruddh Batra"/>
    <x v="2"/>
    <x v="0"/>
    <x v="1"/>
    <d v="2023-09-22T00:00:00"/>
    <d v="2024-03-20T00:00:00"/>
    <n v="1200"/>
    <n v="18"/>
    <x v="2"/>
    <s v="Jhanvi Chaudhary"/>
    <n v="180"/>
    <n v="6"/>
    <n v="7200"/>
  </r>
  <r>
    <x v="3"/>
    <s v="Madhup Kapur"/>
    <x v="3"/>
    <x v="1"/>
    <x v="1"/>
    <d v="2024-07-06T00:00:00"/>
    <d v="2024-10-22T00:00:00"/>
    <n v="1200"/>
    <n v="16"/>
    <x v="2"/>
    <s v="Tara Swaminathan"/>
    <n v="108"/>
    <n v="3.6"/>
    <n v="4320"/>
  </r>
  <r>
    <x v="4"/>
    <s v="Rasha Kakar"/>
    <x v="4"/>
    <x v="0"/>
    <x v="2"/>
    <d v="2023-12-26T00:00:00"/>
    <d v="2024-07-28T00:00:00"/>
    <n v="2500"/>
    <n v="12"/>
    <x v="0"/>
    <s v="Madhav Singh"/>
    <n v="215"/>
    <n v="7.166666666666667"/>
    <n v="17916.666666666668"/>
  </r>
  <r>
    <x v="5"/>
    <s v="Ehsaan Batra"/>
    <x v="5"/>
    <x v="0"/>
    <x v="0"/>
    <d v="2024-01-26T00:00:00"/>
    <d v="2024-04-10T00:00:00"/>
    <n v="800"/>
    <n v="14"/>
    <x v="3"/>
    <s v="Shray Ramakrishnan"/>
    <n v="75"/>
    <n v="2.5"/>
    <n v="2000"/>
  </r>
  <r>
    <x v="6"/>
    <s v="Zara Bains"/>
    <x v="6"/>
    <x v="1"/>
    <x v="0"/>
    <d v="2024-10-23T00:00:00"/>
    <d v="2025-01-20T00:00:00"/>
    <n v="800"/>
    <n v="25"/>
    <x v="1"/>
    <m/>
    <n v="89"/>
    <n v="2.9666666666666668"/>
    <n v="2373.3333333333335"/>
  </r>
  <r>
    <x v="7"/>
    <s v="Uthkarsh Baral"/>
    <x v="7"/>
    <x v="0"/>
    <x v="3"/>
    <d v="2024-06-07T00:00:00"/>
    <d v="2024-09-28T00:00:00"/>
    <n v="1800"/>
    <n v="28"/>
    <x v="4"/>
    <m/>
    <n v="113"/>
    <n v="3.7666666666666666"/>
    <n v="6780"/>
  </r>
  <r>
    <x v="8"/>
    <s v="Kashvi Char"/>
    <x v="8"/>
    <x v="0"/>
    <x v="0"/>
    <d v="2024-10-04T00:00:00"/>
    <d v="2024-10-17T00:00:00"/>
    <n v="800"/>
    <n v="3"/>
    <x v="4"/>
    <s v="Nitara Comar"/>
    <n v="13"/>
    <n v="0.43333333333333335"/>
    <n v="346.66666666666669"/>
  </r>
  <r>
    <x v="9"/>
    <s v="Dhanush Varma"/>
    <x v="9"/>
    <x v="0"/>
    <x v="1"/>
    <d v="2023-10-03T00:00:00"/>
    <d v="2023-12-20T00:00:00"/>
    <n v="1200"/>
    <n v="29"/>
    <x v="3"/>
    <s v="Ranbir Karan"/>
    <n v="78"/>
    <n v="2.6"/>
    <n v="3120"/>
  </r>
  <r>
    <x v="10"/>
    <s v="Ishaan Goyal"/>
    <x v="10"/>
    <x v="1"/>
    <x v="1"/>
    <d v="2024-01-06T00:00:00"/>
    <d v="2024-06-16T00:00:00"/>
    <n v="1200"/>
    <n v="13"/>
    <x v="0"/>
    <s v="Rati Sanghvi"/>
    <n v="162"/>
    <n v="5.4"/>
    <n v="6480"/>
  </r>
  <r>
    <x v="11"/>
    <s v="Mahika Ravi"/>
    <x v="11"/>
    <x v="0"/>
    <x v="1"/>
    <d v="2023-08-16T00:00:00"/>
    <d v="2024-10-03T00:00:00"/>
    <n v="1200"/>
    <n v="19"/>
    <x v="4"/>
    <s v="Ishaan Kashyap"/>
    <n v="414"/>
    <n v="13.8"/>
    <n v="16560"/>
  </r>
  <r>
    <x v="12"/>
    <s v="Purab Reddy"/>
    <x v="10"/>
    <x v="1"/>
    <x v="3"/>
    <d v="2024-09-21T00:00:00"/>
    <d v="2024-12-15T00:00:00"/>
    <n v="1800"/>
    <n v="22"/>
    <x v="4"/>
    <m/>
    <n v="85"/>
    <n v="2.8333333333333335"/>
    <n v="5100"/>
  </r>
  <r>
    <x v="13"/>
    <s v="Tiya Soni"/>
    <x v="12"/>
    <x v="0"/>
    <x v="1"/>
    <d v="2023-05-19T00:00:00"/>
    <d v="2023-11-12T00:00:00"/>
    <n v="1200"/>
    <n v="28"/>
    <x v="3"/>
    <m/>
    <n v="177"/>
    <n v="5.9"/>
    <n v="7080"/>
  </r>
  <r>
    <x v="14"/>
    <s v="Zara Dugar"/>
    <x v="13"/>
    <x v="1"/>
    <x v="0"/>
    <d v="2024-02-11T00:00:00"/>
    <d v="2024-09-05T00:00:00"/>
    <n v="800"/>
    <n v="8"/>
    <x v="2"/>
    <m/>
    <n v="207"/>
    <n v="6.9"/>
    <n v="5520"/>
  </r>
  <r>
    <x v="15"/>
    <s v="Lakshit Mander"/>
    <x v="12"/>
    <x v="0"/>
    <x v="2"/>
    <d v="2025-02-14T00:00:00"/>
    <d v="2025-03-16T00:00:00"/>
    <n v="2500"/>
    <n v="14"/>
    <x v="4"/>
    <m/>
    <n v="30"/>
    <n v="1"/>
    <n v="2500"/>
  </r>
  <r>
    <x v="16"/>
    <s v="Neysa Krish"/>
    <x v="14"/>
    <x v="0"/>
    <x v="1"/>
    <d v="2024-02-07T00:00:00"/>
    <d v="2025-01-28T00:00:00"/>
    <n v="1200"/>
    <n v="25"/>
    <x v="2"/>
    <m/>
    <n v="356"/>
    <n v="11.866666666666667"/>
    <n v="14240"/>
  </r>
  <r>
    <x v="17"/>
    <s v="Prerak Boase"/>
    <x v="15"/>
    <x v="1"/>
    <x v="2"/>
    <d v="2023-10-14T00:00:00"/>
    <d v="2024-12-23T00:00:00"/>
    <n v="2500"/>
    <n v="13"/>
    <x v="5"/>
    <m/>
    <n v="436"/>
    <n v="14.533333333333333"/>
    <n v="36333.333333333336"/>
  </r>
  <r>
    <x v="18"/>
    <s v="Siya Master"/>
    <x v="1"/>
    <x v="1"/>
    <x v="0"/>
    <d v="2024-03-03T00:00:00"/>
    <d v="2025-01-07T00:00:00"/>
    <n v="800"/>
    <n v="26"/>
    <x v="3"/>
    <m/>
    <n v="310"/>
    <n v="10.333333333333334"/>
    <n v="8266.6666666666679"/>
  </r>
  <r>
    <x v="19"/>
    <s v="Madhup Biswas"/>
    <x v="16"/>
    <x v="0"/>
    <x v="2"/>
    <d v="2024-05-05T00:00:00"/>
    <d v="2024-11-12T00:00:00"/>
    <n v="2500"/>
    <n v="21"/>
    <x v="3"/>
    <s v="Tanya Bajwa"/>
    <n v="191"/>
    <n v="6.3666666666666663"/>
    <n v="15916.666666666666"/>
  </r>
  <r>
    <x v="20"/>
    <s v="Indrans Ratti"/>
    <x v="17"/>
    <x v="1"/>
    <x v="3"/>
    <d v="2023-08-08T00:00:00"/>
    <d v="2025-01-17T00:00:00"/>
    <n v="1800"/>
    <n v="19"/>
    <x v="3"/>
    <m/>
    <n v="528"/>
    <n v="17.600000000000001"/>
    <n v="31680.000000000004"/>
  </r>
  <r>
    <x v="21"/>
    <s v="Kimaya Balay"/>
    <x v="18"/>
    <x v="1"/>
    <x v="3"/>
    <d v="2024-01-29T00:00:00"/>
    <d v="2024-11-20T00:00:00"/>
    <n v="1800"/>
    <n v="5"/>
    <x v="0"/>
    <m/>
    <n v="296"/>
    <n v="9.8666666666666671"/>
    <n v="17760"/>
  </r>
  <r>
    <x v="22"/>
    <s v="Eva Dass"/>
    <x v="10"/>
    <x v="0"/>
    <x v="3"/>
    <d v="2024-06-08T00:00:00"/>
    <d v="2024-06-12T00:00:00"/>
    <n v="1800"/>
    <n v="18"/>
    <x v="5"/>
    <m/>
    <n v="4"/>
    <n v="0.13333333333333333"/>
    <n v="240"/>
  </r>
  <r>
    <x v="23"/>
    <s v="Pihu Wali"/>
    <x v="19"/>
    <x v="1"/>
    <x v="1"/>
    <d v="2024-05-27T00:00:00"/>
    <d v="2025-03-14T00:00:00"/>
    <n v="1200"/>
    <n v="6"/>
    <x v="0"/>
    <m/>
    <n v="291"/>
    <n v="9.6999999999999993"/>
    <n v="11640"/>
  </r>
  <r>
    <x v="24"/>
    <s v="Tiya Rege"/>
    <x v="20"/>
    <x v="0"/>
    <x v="3"/>
    <d v="2023-12-26T00:00:00"/>
    <d v="2024-03-21T00:00:00"/>
    <n v="1800"/>
    <n v="17"/>
    <x v="3"/>
    <s v="Adira Brar"/>
    <n v="86"/>
    <n v="2.8666666666666667"/>
    <n v="5160"/>
  </r>
  <r>
    <x v="25"/>
    <s v="Aarav Sen"/>
    <x v="8"/>
    <x v="1"/>
    <x v="1"/>
    <d v="2025-02-14T00:00:00"/>
    <d v="2025-03-11T00:00:00"/>
    <n v="1200"/>
    <n v="3"/>
    <x v="5"/>
    <m/>
    <n v="25"/>
    <n v="0.83333333333333337"/>
    <n v="1000"/>
  </r>
  <r>
    <x v="26"/>
    <s v="Dishani Bera"/>
    <x v="2"/>
    <x v="0"/>
    <x v="2"/>
    <d v="2025-02-10T00:00:00"/>
    <d v="2025-03-10T00:00:00"/>
    <n v="2500"/>
    <n v="28"/>
    <x v="3"/>
    <m/>
    <n v="28"/>
    <n v="0.93333333333333335"/>
    <n v="2333.3333333333335"/>
  </r>
  <r>
    <x v="27"/>
    <s v="Indrans Grover"/>
    <x v="20"/>
    <x v="0"/>
    <x v="1"/>
    <d v="2024-11-18T00:00:00"/>
    <d v="2024-12-19T00:00:00"/>
    <n v="1200"/>
    <n v="23"/>
    <x v="1"/>
    <m/>
    <n v="31"/>
    <n v="1.0333333333333334"/>
    <n v="1240.0000000000002"/>
  </r>
  <r>
    <x v="28"/>
    <s v="Kismat Edwin"/>
    <x v="21"/>
    <x v="1"/>
    <x v="2"/>
    <d v="2024-04-19T00:00:00"/>
    <d v="2024-04-26T00:00:00"/>
    <n v="2500"/>
    <n v="8"/>
    <x v="2"/>
    <m/>
    <n v="7"/>
    <n v="0.23333333333333334"/>
    <n v="583.33333333333337"/>
  </r>
  <r>
    <x v="29"/>
    <s v="Taran Vyas"/>
    <x v="3"/>
    <x v="1"/>
    <x v="2"/>
    <d v="2025-01-10T00:00:00"/>
    <d v="2025-03-29T00:00:00"/>
    <n v="2500"/>
    <n v="23"/>
    <x v="4"/>
    <s v="Nakul Balakrishnan"/>
    <n v="78"/>
    <n v="2.6"/>
    <n v="6500"/>
  </r>
  <r>
    <x v="30"/>
    <s v="Jiya Baral"/>
    <x v="22"/>
    <x v="1"/>
    <x v="0"/>
    <d v="2023-06-11T00:00:00"/>
    <d v="2024-12-30T00:00:00"/>
    <n v="800"/>
    <n v="9"/>
    <x v="5"/>
    <s v="Darshit Sidhu"/>
    <n v="568"/>
    <n v="18.933333333333334"/>
    <n v="15146.666666666666"/>
  </r>
  <r>
    <x v="31"/>
    <s v="Gokul Sahni"/>
    <x v="23"/>
    <x v="0"/>
    <x v="1"/>
    <d v="2024-04-09T00:00:00"/>
    <d v="2024-11-08T00:00:00"/>
    <n v="1200"/>
    <n v="2"/>
    <x v="3"/>
    <m/>
    <n v="213"/>
    <n v="7.1"/>
    <n v="8520"/>
  </r>
  <r>
    <x v="32"/>
    <s v="Prerak Lalla"/>
    <x v="24"/>
    <x v="0"/>
    <x v="0"/>
    <d v="2025-02-11T00:00:00"/>
    <d v="2025-03-24T00:00:00"/>
    <n v="800"/>
    <n v="30"/>
    <x v="3"/>
    <m/>
    <n v="41"/>
    <n v="1.3666666666666667"/>
    <n v="1093.3333333333333"/>
  </r>
  <r>
    <x v="33"/>
    <s v="Hrishita Shroff"/>
    <x v="25"/>
    <x v="0"/>
    <x v="3"/>
    <d v="2024-10-23T00:00:00"/>
    <d v="2025-03-05T00:00:00"/>
    <n v="1800"/>
    <n v="23"/>
    <x v="1"/>
    <s v="Riya Dugal"/>
    <n v="133"/>
    <n v="4.4333333333333336"/>
    <n v="7980"/>
  </r>
  <r>
    <x v="34"/>
    <s v="Oorja Sachar"/>
    <x v="1"/>
    <x v="1"/>
    <x v="1"/>
    <d v="2024-01-21T00:00:00"/>
    <d v="2024-12-26T00:00:00"/>
    <n v="1200"/>
    <n v="27"/>
    <x v="1"/>
    <m/>
    <n v="340"/>
    <n v="11.333333333333334"/>
    <n v="136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x v="0"/>
    <d v="2023-11-05T00:00:00"/>
    <d v="2024-05-13T00:00:00"/>
    <n v="800"/>
    <n v="25"/>
    <s v="Bengaluru"/>
    <s v="Hiran Shan"/>
    <n v="190"/>
    <n v="6.333333333333333"/>
    <n v="5066.6666666666661"/>
  </r>
  <r>
    <s v="M002"/>
    <s v="Parinaaz Shanker"/>
    <n v="27"/>
    <s v="Male"/>
    <x v="1"/>
    <x v="0"/>
    <d v="2025-02-26T00:00:00"/>
    <d v="2025-03-24T00:00:00"/>
    <n v="800"/>
    <n v="20"/>
    <s v="Pune"/>
    <s v="Kiara Kakar"/>
    <n v="26"/>
    <n v="0.8666666666666667"/>
    <n v="693.33333333333337"/>
  </r>
  <r>
    <s v="M003"/>
    <s v="Aniruddh Batra"/>
    <n v="24"/>
    <s v="Male"/>
    <x v="1"/>
    <x v="1"/>
    <d v="2023-09-22T00:00:00"/>
    <d v="2024-03-20T00:00:00"/>
    <n v="1200"/>
    <n v="18"/>
    <s v="Hyderabad"/>
    <s v="Jhanvi Chaudhary"/>
    <n v="180"/>
    <n v="6"/>
    <n v="7200"/>
  </r>
  <r>
    <s v="M004"/>
    <s v="Madhup Kapur"/>
    <n v="31"/>
    <s v="Female"/>
    <x v="2"/>
    <x v="1"/>
    <d v="2024-07-06T00:00:00"/>
    <d v="2024-10-22T00:00:00"/>
    <n v="1200"/>
    <n v="16"/>
    <s v="Hyderabad"/>
    <s v="Tara Swaminathan"/>
    <n v="108"/>
    <n v="3.6"/>
    <n v="4320"/>
  </r>
  <r>
    <s v="M005"/>
    <s v="Rasha Kakar"/>
    <n v="19"/>
    <s v="Male"/>
    <x v="1"/>
    <x v="2"/>
    <d v="2023-12-26T00:00:00"/>
    <d v="2024-07-28T00:00:00"/>
    <n v="2500"/>
    <n v="12"/>
    <s v="Bengaluru"/>
    <s v="Madhav Singh"/>
    <n v="215"/>
    <n v="7.166666666666667"/>
    <n v="17916.666666666668"/>
  </r>
  <r>
    <s v="M006"/>
    <s v="Ehsaan Batra"/>
    <n v="40"/>
    <s v="Male"/>
    <x v="2"/>
    <x v="0"/>
    <d v="2024-01-26T00:00:00"/>
    <d v="2024-04-10T00:00:00"/>
    <n v="800"/>
    <n v="14"/>
    <s v="Mumbai"/>
    <s v="Shray Ramakrishnan"/>
    <n v="75"/>
    <n v="2.5"/>
    <n v="2000"/>
  </r>
  <r>
    <s v="M007"/>
    <s v="Zara Bains"/>
    <n v="41"/>
    <s v="Female"/>
    <x v="2"/>
    <x v="0"/>
    <d v="2024-10-23T00:00:00"/>
    <d v="2025-01-20T00:00:00"/>
    <n v="800"/>
    <n v="25"/>
    <s v="Pune"/>
    <m/>
    <n v="89"/>
    <n v="2.9666666666666668"/>
    <n v="2373.3333333333335"/>
  </r>
  <r>
    <s v="M008"/>
    <s v="Uthkarsh Baral"/>
    <n v="43"/>
    <s v="Male"/>
    <x v="2"/>
    <x v="3"/>
    <d v="2024-06-07T00:00:00"/>
    <d v="2024-09-28T00:00:00"/>
    <n v="1800"/>
    <n v="28"/>
    <s v="Kolkata"/>
    <m/>
    <n v="113"/>
    <n v="3.7666666666666666"/>
    <n v="6780"/>
  </r>
  <r>
    <s v="M009"/>
    <s v="Kashvi Char"/>
    <n v="42"/>
    <s v="Male"/>
    <x v="2"/>
    <x v="0"/>
    <d v="2024-10-04T00:00:00"/>
    <d v="2024-10-17T00:00:00"/>
    <n v="800"/>
    <n v="3"/>
    <s v="Kolkata"/>
    <s v="Nitara Comar"/>
    <n v="13"/>
    <n v="0.43333333333333335"/>
    <n v="346.66666666666669"/>
  </r>
  <r>
    <s v="M010"/>
    <s v="Dhanush Varma"/>
    <n v="37"/>
    <s v="Male"/>
    <x v="2"/>
    <x v="1"/>
    <d v="2023-10-03T00:00:00"/>
    <d v="2023-12-20T00:00:00"/>
    <n v="1200"/>
    <n v="29"/>
    <s v="Mumbai"/>
    <s v="Ranbir Karan"/>
    <n v="78"/>
    <n v="2.6"/>
    <n v="3120"/>
  </r>
  <r>
    <s v="M011"/>
    <s v="Ishaan Goyal"/>
    <n v="48"/>
    <s v="Female"/>
    <x v="0"/>
    <x v="1"/>
    <d v="2024-01-06T00:00:00"/>
    <d v="2024-06-16T00:00:00"/>
    <n v="1200"/>
    <n v="13"/>
    <s v="Bengaluru"/>
    <s v="Rati Sanghvi"/>
    <n v="162"/>
    <n v="5.4"/>
    <n v="6480"/>
  </r>
  <r>
    <s v="M012"/>
    <s v="Mahika Ravi"/>
    <n v="36"/>
    <s v="Male"/>
    <x v="2"/>
    <x v="1"/>
    <d v="2023-08-16T00:00:00"/>
    <d v="2024-10-03T00:00:00"/>
    <n v="1200"/>
    <n v="19"/>
    <s v="Kolkata"/>
    <s v="Ishaan Kashyap"/>
    <n v="414"/>
    <n v="13.8"/>
    <n v="16560"/>
  </r>
  <r>
    <s v="M013"/>
    <s v="Purab Reddy"/>
    <n v="48"/>
    <s v="Female"/>
    <x v="0"/>
    <x v="3"/>
    <d v="2024-09-21T00:00:00"/>
    <d v="2024-12-15T00:00:00"/>
    <n v="1800"/>
    <n v="22"/>
    <s v="Kolkata"/>
    <m/>
    <n v="85"/>
    <n v="2.8333333333333335"/>
    <n v="5100"/>
  </r>
  <r>
    <s v="M014"/>
    <s v="Tiya Soni"/>
    <n v="39"/>
    <s v="Male"/>
    <x v="2"/>
    <x v="1"/>
    <d v="2023-05-19T00:00:00"/>
    <d v="2023-11-12T00:00:00"/>
    <n v="1200"/>
    <n v="28"/>
    <s v="Mumbai"/>
    <m/>
    <n v="177"/>
    <n v="5.9"/>
    <n v="7080"/>
  </r>
  <r>
    <s v="M015"/>
    <s v="Zara Dugar"/>
    <n v="44"/>
    <s v="Female"/>
    <x v="2"/>
    <x v="0"/>
    <d v="2024-02-11T00:00:00"/>
    <d v="2024-09-05T00:00:00"/>
    <n v="800"/>
    <n v="8"/>
    <s v="Hyderabad"/>
    <m/>
    <n v="207"/>
    <n v="6.9"/>
    <n v="5520"/>
  </r>
  <r>
    <s v="M016"/>
    <s v="Lakshit Mander"/>
    <n v="39"/>
    <s v="Male"/>
    <x v="2"/>
    <x v="2"/>
    <d v="2025-02-14T00:00:00"/>
    <d v="2025-03-16T00:00:00"/>
    <n v="2500"/>
    <n v="14"/>
    <s v="Kolkata"/>
    <m/>
    <n v="30"/>
    <n v="1"/>
    <n v="2500"/>
  </r>
  <r>
    <s v="M017"/>
    <s v="Neysa Krish"/>
    <n v="35"/>
    <s v="Male"/>
    <x v="2"/>
    <x v="1"/>
    <d v="2024-02-07T00:00:00"/>
    <d v="2025-01-28T00:00:00"/>
    <n v="1200"/>
    <n v="25"/>
    <s v="Hyderabad"/>
    <m/>
    <n v="356"/>
    <n v="11.866666666666667"/>
    <n v="14240"/>
  </r>
  <r>
    <s v="M018"/>
    <s v="Prerak Boase"/>
    <n v="56"/>
    <s v="Female"/>
    <x v="0"/>
    <x v="2"/>
    <d v="2023-10-14T00:00:00"/>
    <d v="2024-12-23T00:00:00"/>
    <n v="2500"/>
    <n v="13"/>
    <s v="Delhi"/>
    <m/>
    <n v="436"/>
    <n v="14.533333333333333"/>
    <n v="36333.333333333336"/>
  </r>
  <r>
    <s v="M019"/>
    <s v="Siya Master"/>
    <n v="27"/>
    <s v="Female"/>
    <x v="1"/>
    <x v="0"/>
    <d v="2024-03-03T00:00:00"/>
    <d v="2025-01-07T00:00:00"/>
    <n v="800"/>
    <n v="26"/>
    <s v="Mumbai"/>
    <m/>
    <n v="310"/>
    <n v="10.333333333333334"/>
    <n v="8266.6666666666679"/>
  </r>
  <r>
    <s v="M020"/>
    <s v="Madhup Biswas"/>
    <n v="28"/>
    <s v="Male"/>
    <x v="1"/>
    <x v="2"/>
    <d v="2024-05-05T00:00:00"/>
    <d v="2024-11-12T00:00:00"/>
    <n v="2500"/>
    <n v="21"/>
    <s v="Mumbai"/>
    <s v="Tanya Bajwa"/>
    <n v="191"/>
    <n v="6.3666666666666663"/>
    <n v="15916.666666666666"/>
  </r>
  <r>
    <s v="M021"/>
    <s v="Indrans Ratti"/>
    <n v="57"/>
    <s v="Female"/>
    <x v="0"/>
    <x v="3"/>
    <d v="2023-08-08T00:00:00"/>
    <d v="2025-01-17T00:00:00"/>
    <n v="1800"/>
    <n v="19"/>
    <s v="Mumbai"/>
    <m/>
    <n v="528"/>
    <n v="17.600000000000001"/>
    <n v="31680.000000000004"/>
  </r>
  <r>
    <s v="M022"/>
    <s v="Kimaya Balay"/>
    <n v="26"/>
    <s v="Female"/>
    <x v="1"/>
    <x v="3"/>
    <d v="2024-01-29T00:00:00"/>
    <d v="2024-11-20T00:00:00"/>
    <n v="1800"/>
    <n v="5"/>
    <s v="Bengaluru"/>
    <m/>
    <n v="296"/>
    <n v="9.8666666666666671"/>
    <n v="17760"/>
  </r>
  <r>
    <s v="M023"/>
    <s v="Eva Dass"/>
    <n v="48"/>
    <s v="Male"/>
    <x v="0"/>
    <x v="3"/>
    <d v="2024-06-08T00:00:00"/>
    <d v="2024-06-12T00:00:00"/>
    <n v="1800"/>
    <n v="18"/>
    <s v="Delhi"/>
    <m/>
    <n v="4"/>
    <n v="0.13333333333333333"/>
    <n v="240"/>
  </r>
  <r>
    <s v="M024"/>
    <s v="Pihu Wali"/>
    <n v="25"/>
    <s v="Female"/>
    <x v="1"/>
    <x v="1"/>
    <d v="2024-05-27T00:00:00"/>
    <d v="2025-03-14T00:00:00"/>
    <n v="1200"/>
    <n v="6"/>
    <s v="Bengaluru"/>
    <m/>
    <n v="291"/>
    <n v="9.6999999999999993"/>
    <n v="11640"/>
  </r>
  <r>
    <s v="M025"/>
    <s v="Tiya Rege"/>
    <n v="53"/>
    <s v="Male"/>
    <x v="0"/>
    <x v="3"/>
    <d v="2023-12-26T00:00:00"/>
    <d v="2024-03-21T00:00:00"/>
    <n v="1800"/>
    <n v="17"/>
    <s v="Mumbai"/>
    <s v="Adira Brar"/>
    <n v="86"/>
    <n v="2.8666666666666667"/>
    <n v="5160"/>
  </r>
  <r>
    <s v="M026"/>
    <s v="Aarav Sen"/>
    <n v="42"/>
    <s v="Female"/>
    <x v="2"/>
    <x v="1"/>
    <d v="2025-02-14T00:00:00"/>
    <d v="2025-03-11T00:00:00"/>
    <n v="1200"/>
    <n v="3"/>
    <s v="Delhi"/>
    <m/>
    <n v="25"/>
    <n v="0.83333333333333337"/>
    <n v="1000"/>
  </r>
  <r>
    <s v="M027"/>
    <s v="Dishani Bera"/>
    <n v="24"/>
    <s v="Male"/>
    <x v="1"/>
    <x v="2"/>
    <d v="2025-02-10T00:00:00"/>
    <d v="2025-03-10T00:00:00"/>
    <n v="2500"/>
    <n v="28"/>
    <s v="Mumbai"/>
    <m/>
    <n v="28"/>
    <n v="0.93333333333333335"/>
    <n v="2333.3333333333335"/>
  </r>
  <r>
    <s v="M028"/>
    <s v="Indrans Grover"/>
    <n v="53"/>
    <s v="Male"/>
    <x v="0"/>
    <x v="1"/>
    <d v="2024-11-18T00:00:00"/>
    <d v="2024-12-19T00:00:00"/>
    <n v="1200"/>
    <n v="23"/>
    <s v="Pune"/>
    <m/>
    <n v="31"/>
    <n v="1.0333333333333334"/>
    <n v="1240.0000000000002"/>
  </r>
  <r>
    <s v="M029"/>
    <s v="Kismat Edwin"/>
    <n v="29"/>
    <s v="Female"/>
    <x v="1"/>
    <x v="2"/>
    <d v="2024-04-19T00:00:00"/>
    <d v="2024-04-26T00:00:00"/>
    <n v="2500"/>
    <n v="8"/>
    <s v="Hyderabad"/>
    <m/>
    <n v="7"/>
    <n v="0.23333333333333334"/>
    <n v="583.33333333333337"/>
  </r>
  <r>
    <s v="M030"/>
    <s v="Taran Vyas"/>
    <n v="31"/>
    <s v="Female"/>
    <x v="2"/>
    <x v="2"/>
    <d v="2025-01-10T00:00:00"/>
    <d v="2025-03-29T00:00:00"/>
    <n v="2500"/>
    <n v="23"/>
    <s v="Kolkata"/>
    <s v="Nakul Balakrishnan"/>
    <n v="78"/>
    <n v="2.6"/>
    <n v="6500"/>
  </r>
  <r>
    <s v="M031"/>
    <s v="Jiya Baral"/>
    <n v="52"/>
    <s v="Female"/>
    <x v="0"/>
    <x v="0"/>
    <d v="2023-06-11T00:00:00"/>
    <d v="2024-12-30T00:00:00"/>
    <n v="800"/>
    <n v="9"/>
    <s v="Delhi"/>
    <s v="Darshit Sidhu"/>
    <n v="568"/>
    <n v="18.933333333333334"/>
    <n v="15146.666666666666"/>
  </r>
  <r>
    <s v="M032"/>
    <s v="Gokul Sahni"/>
    <n v="20"/>
    <s v="Male"/>
    <x v="1"/>
    <x v="1"/>
    <d v="2024-04-09T00:00:00"/>
    <d v="2024-11-08T00:00:00"/>
    <n v="1200"/>
    <n v="2"/>
    <s v="Mumbai"/>
    <m/>
    <n v="213"/>
    <n v="7.1"/>
    <n v="8520"/>
  </r>
  <r>
    <s v="M033"/>
    <s v="Prerak Lalla"/>
    <n v="22"/>
    <s v="Male"/>
    <x v="1"/>
    <x v="0"/>
    <d v="2025-02-11T00:00:00"/>
    <d v="2025-03-24T00:00:00"/>
    <n v="800"/>
    <n v="30"/>
    <s v="Mumbai"/>
    <m/>
    <n v="41"/>
    <n v="1.3666666666666667"/>
    <n v="1093.3333333333333"/>
  </r>
  <r>
    <s v="M034"/>
    <s v="Hrishita Shroff"/>
    <n v="23"/>
    <s v="Male"/>
    <x v="1"/>
    <x v="3"/>
    <d v="2024-10-23T00:00:00"/>
    <d v="2025-03-05T00:00:00"/>
    <n v="1800"/>
    <n v="23"/>
    <s v="Pune"/>
    <s v="Riya Dugal"/>
    <n v="133"/>
    <n v="4.4333333333333336"/>
    <n v="7980"/>
  </r>
  <r>
    <s v="M035"/>
    <s v="Oorja Sachar"/>
    <n v="27"/>
    <s v="Female"/>
    <x v="1"/>
    <x v="1"/>
    <d v="2024-01-21T00:00:00"/>
    <d v="2024-12-26T00:00:00"/>
    <n v="1200"/>
    <n v="27"/>
    <s v="Pune"/>
    <m/>
    <n v="340"/>
    <n v="11.333333333333334"/>
    <n v="13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C72D88-DA2E-4EEC-B95B-906BB1A693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Refered">
  <location ref="N6:O8" firstHeaderRow="1" firstDataRow="1" firstDataCol="1"/>
  <pivotFields count="12">
    <pivotField showAll="0"/>
    <pivotField showAll="0"/>
    <pivotField showAll="0"/>
    <pivotField showAll="0"/>
    <pivotField showAll="0"/>
    <pivotField numFmtId="164" showAll="0"/>
    <pivotField numFmtId="164" showAll="0"/>
    <pivotField dataField="1" showAll="0"/>
    <pivotField showAll="0"/>
    <pivotField showAll="0"/>
    <pivotField showAll="0"/>
    <pivotField axis="axisRow" showAll="0" sortType="descending">
      <items count="3">
        <item x="0"/>
        <item x="1"/>
        <item t="default"/>
      </items>
    </pivotField>
  </pivotFields>
  <rowFields count="1">
    <field x="11"/>
  </rowFields>
  <rowItems count="2">
    <i>
      <x/>
    </i>
    <i>
      <x v="1"/>
    </i>
  </rowItems>
  <colItems count="1">
    <i/>
  </colItems>
  <dataFields count="1">
    <dataField name="Average of Monthly_Fee" fld="7" subtotal="average" baseField="11" baseItem="0"/>
  </dataFields>
  <formats count="8">
    <format dxfId="133">
      <pivotArea collapsedLevelsAreSubtotals="1" fieldPosition="0">
        <references count="1">
          <reference field="11" count="0"/>
        </references>
      </pivotArea>
    </format>
    <format dxfId="132">
      <pivotArea grandRow="1" outline="0" collapsedLevelsAreSubtotals="1" fieldPosition="0"/>
    </format>
    <format dxfId="131">
      <pivotArea type="all" dataOnly="0" outline="0" fieldPosition="0"/>
    </format>
    <format dxfId="130">
      <pivotArea outline="0" collapsedLevelsAreSubtotals="1" fieldPosition="0"/>
    </format>
    <format dxfId="129">
      <pivotArea field="11" type="button" dataOnly="0" labelOnly="1" outline="0" axis="axisRow" fieldPosition="0"/>
    </format>
    <format dxfId="128">
      <pivotArea dataOnly="0" labelOnly="1" fieldPosition="0">
        <references count="1">
          <reference field="11" count="0"/>
        </references>
      </pivotArea>
    </format>
    <format dxfId="127">
      <pivotArea dataOnly="0" labelOnly="1" grandRow="1" outline="0" fieldPosition="0"/>
    </format>
    <format dxfId="1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42228-0C29-41FA-B4A0-585C9549AA56}"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Total City wise Revenue">
  <location ref="Q15:R22" firstHeaderRow="1" firstDataRow="1" firstDataCol="1"/>
  <pivotFields count="14">
    <pivotField showAll="0"/>
    <pivotField showAll="0"/>
    <pivotField showAll="0"/>
    <pivotField showAll="0"/>
    <pivotField showAll="0">
      <items count="5">
        <item h="1" x="0"/>
        <item x="2"/>
        <item x="3"/>
        <item h="1"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numFmtId="1" showAll="0"/>
    <pivotField dataField="1" numFmtId="1" showAll="0"/>
  </pivotFields>
  <rowFields count="1">
    <field x="9"/>
  </rowFields>
  <rowItems count="7">
    <i>
      <x/>
    </i>
    <i>
      <x v="1"/>
    </i>
    <i>
      <x v="2"/>
    </i>
    <i>
      <x v="3"/>
    </i>
    <i>
      <x v="4"/>
    </i>
    <i>
      <x v="5"/>
    </i>
    <i t="grand">
      <x/>
    </i>
  </rowItems>
  <colItems count="1">
    <i/>
  </colItems>
  <dataFields count="1">
    <dataField name="Sum of Total Revenue" fld="13" baseField="0" baseItem="0" numFmtId="1"/>
  </dataFields>
  <formats count="6">
    <format dxfId="102">
      <pivotArea type="all" dataOnly="0" outline="0" fieldPosition="0"/>
    </format>
    <format dxfId="101">
      <pivotArea outline="0" collapsedLevelsAreSubtotals="1" fieldPosition="0"/>
    </format>
    <format dxfId="100">
      <pivotArea field="9" type="button" dataOnly="0" labelOnly="1" outline="0" axis="axisRow" fieldPosition="0"/>
    </format>
    <format dxfId="99">
      <pivotArea dataOnly="0" labelOnly="1" fieldPosition="0">
        <references count="1">
          <reference field="9" count="0"/>
        </references>
      </pivotArea>
    </format>
    <format dxfId="98">
      <pivotArea dataOnly="0" labelOnly="1" grandRow="1" outline="0" fieldPosition="0"/>
    </format>
    <format dxfId="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60E955-1212-4DDB-A07B-F5D5A060EFD9}"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 Wise Total Revenue">
  <location ref="Q5:R8" firstHeaderRow="1" firstDataRow="1" firstDataCol="1"/>
  <pivotFields count="14">
    <pivotField showAll="0"/>
    <pivotField showAll="0"/>
    <pivotField showAll="0"/>
    <pivotField showAll="0"/>
    <pivotField axis="axisRow" showAll="0">
      <items count="5">
        <item h="1" x="0"/>
        <item x="2"/>
        <item x="3"/>
        <item h="1" x="1"/>
        <item t="default"/>
      </items>
    </pivotField>
    <pivotField numFmtId="164" showAll="0"/>
    <pivotField numFmtId="164" showAll="0"/>
    <pivotField showAll="0"/>
    <pivotField showAll="0"/>
    <pivotField showAll="0"/>
    <pivotField showAll="0"/>
    <pivotField showAll="0"/>
    <pivotField numFmtId="1" showAll="0"/>
    <pivotField dataField="1" numFmtId="1" showAll="0"/>
  </pivotFields>
  <rowFields count="1">
    <field x="4"/>
  </rowFields>
  <rowItems count="3">
    <i>
      <x v="1"/>
    </i>
    <i>
      <x v="2"/>
    </i>
    <i t="grand">
      <x/>
    </i>
  </rowItems>
  <colItems count="1">
    <i/>
  </colItems>
  <dataFields count="1">
    <dataField name="Sum of Total Revenue" fld="13" baseField="0" baseItem="0" numFmtId="1"/>
  </dataFields>
  <formats count="6">
    <format dxfId="108">
      <pivotArea type="all" dataOnly="0" outline="0" fieldPosition="0"/>
    </format>
    <format dxfId="107">
      <pivotArea outline="0" collapsedLevelsAreSubtotals="1" fieldPosition="0"/>
    </format>
    <format dxfId="106">
      <pivotArea field="4" type="button" dataOnly="0" labelOnly="1" outline="0" axis="axisRow" fieldPosition="0"/>
    </format>
    <format dxfId="105">
      <pivotArea dataOnly="0" labelOnly="1" fieldPosition="0">
        <references count="1">
          <reference field="4" count="0"/>
        </references>
      </pivotArea>
    </format>
    <format dxfId="104">
      <pivotArea dataOnly="0" labelOnly="1" grandRow="1" outline="0"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D12246-ED66-4F54-AB47-0FC2DB5851C7}"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5">
  <location ref="R5:AD14" firstHeaderRow="1" firstDataRow="3" firstDataCol="1"/>
  <pivotFields count="15">
    <pivotField subtotalTop="0" showAll="0" insertBlankRow="1"/>
    <pivotField subtotalTop="0" showAll="0" insertBlankRow="1"/>
    <pivotField subtotalTop="0" showAll="0" insertBlankRow="1"/>
    <pivotField subtotalTop="0" showAll="0" insertBlankRow="1"/>
    <pivotField axis="axisCol" subtotalTop="0" showAll="0" insertBlankRow="1" sortType="descending">
      <items count="5">
        <item x="1"/>
        <item x="3"/>
        <item x="2"/>
        <item x="0"/>
        <item t="default"/>
      </items>
    </pivotField>
    <pivotField numFmtId="164" subtotalTop="0" showAll="0" insertBlankRow="1"/>
    <pivotField numFmtId="164" subtotalTop="0" showAll="0" insertBlankRow="1"/>
    <pivotField subtotalTop="0" showAll="0" insertBlankRow="1"/>
    <pivotField subtotalTop="0" showAll="0" insertBlankRow="1"/>
    <pivotField axis="axisRow" subtotalTop="0" showAll="0" insertBlankRow="1" sortType="descending">
      <items count="7">
        <item x="0"/>
        <item x="5"/>
        <item x="2"/>
        <item x="4"/>
        <item x="3"/>
        <item x="1"/>
        <item t="default"/>
      </items>
      <autoSortScope>
        <pivotArea dataOnly="0" outline="0" fieldPosition="0">
          <references count="2">
            <reference field="4294967294" count="1" selected="0">
              <x v="0"/>
            </reference>
            <reference field="4" count="1" selected="0" defaultSubtotal="1">
              <x v="0"/>
            </reference>
          </references>
        </pivotArea>
      </autoSortScope>
    </pivotField>
    <pivotField subtotalTop="0" showAll="0" insertBlankRow="1"/>
    <pivotField axis="axisCol" subtotalTop="0" showAll="0" insertBlankRow="1">
      <items count="3">
        <item x="1"/>
        <item x="0"/>
        <item t="default"/>
      </items>
    </pivotField>
    <pivotField subtotalTop="0" showAll="0" insertBlankRow="1"/>
    <pivotField numFmtId="1" subtotalTop="0" showAll="0" insertBlankRow="1"/>
    <pivotField dataField="1" numFmtId="1" subtotalTop="0" showAll="0" insertBlankRow="1"/>
  </pivotFields>
  <rowFields count="1">
    <field x="9"/>
  </rowFields>
  <rowItems count="7">
    <i>
      <x v="2"/>
    </i>
    <i>
      <x v="4"/>
    </i>
    <i>
      <x/>
    </i>
    <i>
      <x v="3"/>
    </i>
    <i>
      <x v="5"/>
    </i>
    <i>
      <x v="1"/>
    </i>
    <i t="grand">
      <x/>
    </i>
  </rowItems>
  <colFields count="2">
    <field x="4"/>
    <field x="11"/>
  </colFields>
  <colItems count="12">
    <i>
      <x/>
      <x/>
    </i>
    <i r="1">
      <x v="1"/>
    </i>
    <i t="default">
      <x/>
    </i>
    <i>
      <x v="1"/>
      <x/>
    </i>
    <i r="1">
      <x v="1"/>
    </i>
    <i t="default">
      <x v="1"/>
    </i>
    <i>
      <x v="2"/>
      <x/>
    </i>
    <i r="1">
      <x v="1"/>
    </i>
    <i t="default">
      <x v="2"/>
    </i>
    <i>
      <x v="3"/>
      <x/>
    </i>
    <i r="1">
      <x v="1"/>
    </i>
    <i t="default">
      <x v="3"/>
    </i>
  </colItems>
  <dataFields count="1">
    <dataField name="Sum of Revenue" fld="14" baseField="0" baseItem="0" numFmtId="1"/>
  </dataFields>
  <chartFormats count="16">
    <chartFormat chart="0" format="0" series="1">
      <pivotArea type="data" outline="0" fieldPosition="0">
        <references count="3">
          <reference field="4294967294" count="1" selected="0">
            <x v="0"/>
          </reference>
          <reference field="4" count="1" selected="0">
            <x v="0"/>
          </reference>
          <reference field="11" count="1" selected="0">
            <x v="0"/>
          </reference>
        </references>
      </pivotArea>
    </chartFormat>
    <chartFormat chart="0" format="1" series="1">
      <pivotArea type="data" outline="0" fieldPosition="0">
        <references count="3">
          <reference field="4294967294" count="1" selected="0">
            <x v="0"/>
          </reference>
          <reference field="4" count="1" selected="0">
            <x v="0"/>
          </reference>
          <reference field="11" count="1" selected="0">
            <x v="1"/>
          </reference>
        </references>
      </pivotArea>
    </chartFormat>
    <chartFormat chart="0" format="2" series="1">
      <pivotArea type="data" outline="0" fieldPosition="0">
        <references count="3">
          <reference field="4294967294" count="1" selected="0">
            <x v="0"/>
          </reference>
          <reference field="4" count="1" selected="0">
            <x v="2"/>
          </reference>
          <reference field="11" count="1" selected="0">
            <x v="0"/>
          </reference>
        </references>
      </pivotArea>
    </chartFormat>
    <chartFormat chart="0" format="3" series="1">
      <pivotArea type="data" outline="0" fieldPosition="0">
        <references count="3">
          <reference field="4294967294" count="1" selected="0">
            <x v="0"/>
          </reference>
          <reference field="4" count="1" selected="0">
            <x v="2"/>
          </reference>
          <reference field="11" count="1" selected="0">
            <x v="1"/>
          </reference>
        </references>
      </pivotArea>
    </chartFormat>
    <chartFormat chart="0" format="4" series="1">
      <pivotArea type="data" outline="0" fieldPosition="0">
        <references count="3">
          <reference field="4294967294" count="1" selected="0">
            <x v="0"/>
          </reference>
          <reference field="4" count="1" selected="0">
            <x v="1"/>
          </reference>
          <reference field="11" count="1" selected="0">
            <x v="0"/>
          </reference>
        </references>
      </pivotArea>
    </chartFormat>
    <chartFormat chart="0" format="5" series="1">
      <pivotArea type="data" outline="0" fieldPosition="0">
        <references count="3">
          <reference field="4294967294" count="1" selected="0">
            <x v="0"/>
          </reference>
          <reference field="4" count="1" selected="0">
            <x v="1"/>
          </reference>
          <reference field="11" count="1" selected="0">
            <x v="1"/>
          </reference>
        </references>
      </pivotArea>
    </chartFormat>
    <chartFormat chart="0" format="6" series="1">
      <pivotArea type="data" outline="0" fieldPosition="0">
        <references count="3">
          <reference field="4294967294" count="1" selected="0">
            <x v="0"/>
          </reference>
          <reference field="4" count="1" selected="0">
            <x v="3"/>
          </reference>
          <reference field="11" count="1" selected="0">
            <x v="0"/>
          </reference>
        </references>
      </pivotArea>
    </chartFormat>
    <chartFormat chart="0" format="7" series="1">
      <pivotArea type="data" outline="0" fieldPosition="0">
        <references count="3">
          <reference field="4294967294" count="1" selected="0">
            <x v="0"/>
          </reference>
          <reference field="4" count="1" selected="0">
            <x v="3"/>
          </reference>
          <reference field="11" count="1" selected="0">
            <x v="1"/>
          </reference>
        </references>
      </pivotArea>
    </chartFormat>
    <chartFormat chart="2" format="16" series="1">
      <pivotArea type="data" outline="0" fieldPosition="0">
        <references count="3">
          <reference field="4294967294" count="1" selected="0">
            <x v="0"/>
          </reference>
          <reference field="4" count="1" selected="0">
            <x v="0"/>
          </reference>
          <reference field="11" count="1" selected="0">
            <x v="0"/>
          </reference>
        </references>
      </pivotArea>
    </chartFormat>
    <chartFormat chart="2" format="17" series="1">
      <pivotArea type="data" outline="0" fieldPosition="0">
        <references count="3">
          <reference field="4294967294" count="1" selected="0">
            <x v="0"/>
          </reference>
          <reference field="4" count="1" selected="0">
            <x v="0"/>
          </reference>
          <reference field="11" count="1" selected="0">
            <x v="1"/>
          </reference>
        </references>
      </pivotArea>
    </chartFormat>
    <chartFormat chart="2" format="18" series="1">
      <pivotArea type="data" outline="0" fieldPosition="0">
        <references count="3">
          <reference field="4294967294" count="1" selected="0">
            <x v="0"/>
          </reference>
          <reference field="4" count="1" selected="0">
            <x v="1"/>
          </reference>
          <reference field="11" count="1" selected="0">
            <x v="0"/>
          </reference>
        </references>
      </pivotArea>
    </chartFormat>
    <chartFormat chart="2" format="19" series="1">
      <pivotArea type="data" outline="0" fieldPosition="0">
        <references count="3">
          <reference field="4294967294" count="1" selected="0">
            <x v="0"/>
          </reference>
          <reference field="4" count="1" selected="0">
            <x v="1"/>
          </reference>
          <reference field="11" count="1" selected="0">
            <x v="1"/>
          </reference>
        </references>
      </pivotArea>
    </chartFormat>
    <chartFormat chart="2" format="20" series="1">
      <pivotArea type="data" outline="0" fieldPosition="0">
        <references count="3">
          <reference field="4294967294" count="1" selected="0">
            <x v="0"/>
          </reference>
          <reference field="4" count="1" selected="0">
            <x v="2"/>
          </reference>
          <reference field="11" count="1" selected="0">
            <x v="0"/>
          </reference>
        </references>
      </pivotArea>
    </chartFormat>
    <chartFormat chart="2" format="21" series="1">
      <pivotArea type="data" outline="0" fieldPosition="0">
        <references count="3">
          <reference field="4294967294" count="1" selected="0">
            <x v="0"/>
          </reference>
          <reference field="4" count="1" selected="0">
            <x v="2"/>
          </reference>
          <reference field="11" count="1" selected="0">
            <x v="1"/>
          </reference>
        </references>
      </pivotArea>
    </chartFormat>
    <chartFormat chart="2" format="22" series="1">
      <pivotArea type="data" outline="0" fieldPosition="0">
        <references count="3">
          <reference field="4294967294" count="1" selected="0">
            <x v="0"/>
          </reference>
          <reference field="4" count="1" selected="0">
            <x v="3"/>
          </reference>
          <reference field="11" count="1" selected="0">
            <x v="0"/>
          </reference>
        </references>
      </pivotArea>
    </chartFormat>
    <chartFormat chart="2" format="23" series="1">
      <pivotArea type="data" outline="0" fieldPosition="0">
        <references count="3">
          <reference field="4294967294" count="1" selected="0">
            <x v="0"/>
          </reference>
          <reference field="4" count="1" selected="0">
            <x v="3"/>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C56BDC-BF07-42E4-BEC0-536709FAC1C3}"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9">
  <location ref="R17:AD26" firstHeaderRow="1" firstDataRow="3" firstDataCol="1"/>
  <pivotFields count="15">
    <pivotField subtotalTop="0" showAll="0" insertBlankRow="1"/>
    <pivotField subtotalTop="0" showAll="0" insertBlankRow="1"/>
    <pivotField subtotalTop="0" showAll="0" insertBlankRow="1"/>
    <pivotField subtotalTop="0" showAll="0" insertBlankRow="1"/>
    <pivotField axis="axisCol" subtotalTop="0" showAll="0" insertBlankRow="1" sortType="descending">
      <items count="5">
        <item x="1"/>
        <item x="3"/>
        <item x="2"/>
        <item x="0"/>
        <item t="default"/>
      </items>
      <autoSortScope>
        <pivotArea dataOnly="0" outline="0" fieldPosition="0">
          <references count="1">
            <reference field="4294967294" count="1" selected="0">
              <x v="0"/>
            </reference>
          </references>
        </pivotArea>
      </autoSortScope>
    </pivotField>
    <pivotField numFmtId="164" subtotalTop="0" showAll="0" insertBlankRow="1"/>
    <pivotField numFmtId="164" subtotalTop="0" showAll="0" insertBlankRow="1"/>
    <pivotField subtotalTop="0" showAll="0" insertBlankRow="1"/>
    <pivotField subtotalTop="0" showAll="0" insertBlankRow="1"/>
    <pivotField axis="axisRow" subtotalTop="0" showAll="0" insertBlankRow="1" sortType="descending">
      <items count="7">
        <item x="0"/>
        <item x="5"/>
        <item x="2"/>
        <item x="4"/>
        <item x="3"/>
        <item x="1"/>
        <item t="default"/>
      </items>
      <autoSortScope>
        <pivotArea dataOnly="0" outline="0" fieldPosition="0">
          <references count="2">
            <reference field="4294967294" count="1" selected="0">
              <x v="0"/>
            </reference>
            <reference field="4" count="1" selected="0" defaultSubtotal="1">
              <x v="2"/>
            </reference>
          </references>
        </pivotArea>
      </autoSortScope>
    </pivotField>
    <pivotField subtotalTop="0" showAll="0" insertBlankRow="1"/>
    <pivotField axis="axisCol" subtotalTop="0" showAll="0" insertBlankRow="1">
      <items count="3">
        <item x="1"/>
        <item x="0"/>
        <item t="default"/>
      </items>
    </pivotField>
    <pivotField subtotalTop="0" showAll="0" insertBlankRow="1"/>
    <pivotField numFmtId="1" subtotalTop="0" showAll="0" insertBlankRow="1"/>
    <pivotField dataField="1" numFmtId="1" subtotalTop="0" showAll="0" insertBlankRow="1"/>
  </pivotFields>
  <rowFields count="1">
    <field x="9"/>
  </rowFields>
  <rowItems count="7">
    <i>
      <x v="1"/>
    </i>
    <i>
      <x/>
    </i>
    <i>
      <x v="4"/>
    </i>
    <i>
      <x v="3"/>
    </i>
    <i>
      <x v="2"/>
    </i>
    <i>
      <x v="5"/>
    </i>
    <i t="grand">
      <x/>
    </i>
  </rowItems>
  <colFields count="2">
    <field x="4"/>
    <field x="11"/>
  </colFields>
  <colItems count="12">
    <i>
      <x v="2"/>
      <x/>
    </i>
    <i r="1">
      <x v="1"/>
    </i>
    <i t="default">
      <x v="2"/>
    </i>
    <i>
      <x v="1"/>
      <x/>
    </i>
    <i r="1">
      <x v="1"/>
    </i>
    <i t="default">
      <x v="1"/>
    </i>
    <i>
      <x/>
      <x/>
    </i>
    <i r="1">
      <x v="1"/>
    </i>
    <i t="default">
      <x/>
    </i>
    <i>
      <x v="3"/>
      <x/>
    </i>
    <i r="1">
      <x v="1"/>
    </i>
    <i t="default">
      <x v="3"/>
    </i>
  </colItems>
  <dataFields count="1">
    <dataField name="Average of Revenue" fld="14" subtotal="average" baseField="9" baseItem="0" numFmtId="1"/>
  </dataFields>
  <chartFormats count="24">
    <chartFormat chart="5" format="0" series="1">
      <pivotArea type="data" outline="0" fieldPosition="0">
        <references count="3">
          <reference field="4294967294" count="1" selected="0">
            <x v="0"/>
          </reference>
          <reference field="4" count="1" selected="0">
            <x v="2"/>
          </reference>
          <reference field="11" count="1" selected="0">
            <x v="0"/>
          </reference>
        </references>
      </pivotArea>
    </chartFormat>
    <chartFormat chart="5" format="1" series="1">
      <pivotArea type="data" outline="0" fieldPosition="0">
        <references count="3">
          <reference field="4294967294" count="1" selected="0">
            <x v="0"/>
          </reference>
          <reference field="4" count="1" selected="0">
            <x v="2"/>
          </reference>
          <reference field="11" count="1" selected="0">
            <x v="1"/>
          </reference>
        </references>
      </pivotArea>
    </chartFormat>
    <chartFormat chart="5" format="2" series="1">
      <pivotArea type="data" outline="0" fieldPosition="0">
        <references count="3">
          <reference field="4294967294" count="1" selected="0">
            <x v="0"/>
          </reference>
          <reference field="4" count="1" selected="0">
            <x v="1"/>
          </reference>
          <reference field="11" count="1" selected="0">
            <x v="0"/>
          </reference>
        </references>
      </pivotArea>
    </chartFormat>
    <chartFormat chart="5" format="3" series="1">
      <pivotArea type="data" outline="0" fieldPosition="0">
        <references count="3">
          <reference field="4294967294" count="1" selected="0">
            <x v="0"/>
          </reference>
          <reference field="4" count="1" selected="0">
            <x v="1"/>
          </reference>
          <reference field="11" count="1" selected="0">
            <x v="1"/>
          </reference>
        </references>
      </pivotArea>
    </chartFormat>
    <chartFormat chart="5" format="4" series="1">
      <pivotArea type="data" outline="0" fieldPosition="0">
        <references count="3">
          <reference field="4294967294" count="1" selected="0">
            <x v="0"/>
          </reference>
          <reference field="4" count="1" selected="0">
            <x v="0"/>
          </reference>
          <reference field="11" count="1" selected="0">
            <x v="0"/>
          </reference>
        </references>
      </pivotArea>
    </chartFormat>
    <chartFormat chart="5" format="5" series="1">
      <pivotArea type="data" outline="0" fieldPosition="0">
        <references count="3">
          <reference field="4294967294" count="1" selected="0">
            <x v="0"/>
          </reference>
          <reference field="4" count="1" selected="0">
            <x v="0"/>
          </reference>
          <reference field="11" count="1" selected="0">
            <x v="1"/>
          </reference>
        </references>
      </pivotArea>
    </chartFormat>
    <chartFormat chart="5" format="6" series="1">
      <pivotArea type="data" outline="0" fieldPosition="0">
        <references count="3">
          <reference field="4294967294" count="1" selected="0">
            <x v="0"/>
          </reference>
          <reference field="4" count="1" selected="0">
            <x v="3"/>
          </reference>
          <reference field="11" count="1" selected="0">
            <x v="0"/>
          </reference>
        </references>
      </pivotArea>
    </chartFormat>
    <chartFormat chart="5" format="7" series="1">
      <pivotArea type="data" outline="0" fieldPosition="0">
        <references count="3">
          <reference field="4294967294" count="1" selected="0">
            <x v="0"/>
          </reference>
          <reference field="4" count="1" selected="0">
            <x v="3"/>
          </reference>
          <reference field="11" count="1" selected="0">
            <x v="1"/>
          </reference>
        </references>
      </pivotArea>
    </chartFormat>
    <chartFormat chart="6" format="8" series="1">
      <pivotArea type="data" outline="0" fieldPosition="0">
        <references count="3">
          <reference field="4294967294" count="1" selected="0">
            <x v="0"/>
          </reference>
          <reference field="4" count="1" selected="0">
            <x v="2"/>
          </reference>
          <reference field="11" count="1" selected="0">
            <x v="0"/>
          </reference>
        </references>
      </pivotArea>
    </chartFormat>
    <chartFormat chart="6" format="9" series="1">
      <pivotArea type="data" outline="0" fieldPosition="0">
        <references count="3">
          <reference field="4294967294" count="1" selected="0">
            <x v="0"/>
          </reference>
          <reference field="4" count="1" selected="0">
            <x v="2"/>
          </reference>
          <reference field="11" count="1" selected="0">
            <x v="1"/>
          </reference>
        </references>
      </pivotArea>
    </chartFormat>
    <chartFormat chart="6" format="10" series="1">
      <pivotArea type="data" outline="0" fieldPosition="0">
        <references count="3">
          <reference field="4294967294" count="1" selected="0">
            <x v="0"/>
          </reference>
          <reference field="4" count="1" selected="0">
            <x v="1"/>
          </reference>
          <reference field="11" count="1" selected="0">
            <x v="0"/>
          </reference>
        </references>
      </pivotArea>
    </chartFormat>
    <chartFormat chart="6" format="11" series="1">
      <pivotArea type="data" outline="0" fieldPosition="0">
        <references count="3">
          <reference field="4294967294" count="1" selected="0">
            <x v="0"/>
          </reference>
          <reference field="4" count="1" selected="0">
            <x v="1"/>
          </reference>
          <reference field="11" count="1" selected="0">
            <x v="1"/>
          </reference>
        </references>
      </pivotArea>
    </chartFormat>
    <chartFormat chart="6" format="12" series="1">
      <pivotArea type="data" outline="0" fieldPosition="0">
        <references count="3">
          <reference field="4294967294" count="1" selected="0">
            <x v="0"/>
          </reference>
          <reference field="4" count="1" selected="0">
            <x v="0"/>
          </reference>
          <reference field="11" count="1" selected="0">
            <x v="0"/>
          </reference>
        </references>
      </pivotArea>
    </chartFormat>
    <chartFormat chart="6" format="13" series="1">
      <pivotArea type="data" outline="0" fieldPosition="0">
        <references count="3">
          <reference field="4294967294" count="1" selected="0">
            <x v="0"/>
          </reference>
          <reference field="4" count="1" selected="0">
            <x v="0"/>
          </reference>
          <reference field="11" count="1" selected="0">
            <x v="1"/>
          </reference>
        </references>
      </pivotArea>
    </chartFormat>
    <chartFormat chart="6" format="14" series="1">
      <pivotArea type="data" outline="0" fieldPosition="0">
        <references count="3">
          <reference field="4294967294" count="1" selected="0">
            <x v="0"/>
          </reference>
          <reference field="4" count="1" selected="0">
            <x v="3"/>
          </reference>
          <reference field="11" count="1" selected="0">
            <x v="0"/>
          </reference>
        </references>
      </pivotArea>
    </chartFormat>
    <chartFormat chart="6" format="15" series="1">
      <pivotArea type="data" outline="0" fieldPosition="0">
        <references count="3">
          <reference field="4294967294" count="1" selected="0">
            <x v="0"/>
          </reference>
          <reference field="4" count="1" selected="0">
            <x v="3"/>
          </reference>
          <reference field="11" count="1" selected="0">
            <x v="1"/>
          </reference>
        </references>
      </pivotArea>
    </chartFormat>
    <chartFormat chart="7" format="16" series="1">
      <pivotArea type="data" outline="0" fieldPosition="0">
        <references count="3">
          <reference field="4294967294" count="1" selected="0">
            <x v="0"/>
          </reference>
          <reference field="4" count="1" selected="0">
            <x v="2"/>
          </reference>
          <reference field="11" count="1" selected="0">
            <x v="0"/>
          </reference>
        </references>
      </pivotArea>
    </chartFormat>
    <chartFormat chart="7" format="17" series="1">
      <pivotArea type="data" outline="0" fieldPosition="0">
        <references count="3">
          <reference field="4294967294" count="1" selected="0">
            <x v="0"/>
          </reference>
          <reference field="4" count="1" selected="0">
            <x v="2"/>
          </reference>
          <reference field="11" count="1" selected="0">
            <x v="1"/>
          </reference>
        </references>
      </pivotArea>
    </chartFormat>
    <chartFormat chart="7" format="18" series="1">
      <pivotArea type="data" outline="0" fieldPosition="0">
        <references count="3">
          <reference field="4294967294" count="1" selected="0">
            <x v="0"/>
          </reference>
          <reference field="4" count="1" selected="0">
            <x v="1"/>
          </reference>
          <reference field="11" count="1" selected="0">
            <x v="0"/>
          </reference>
        </references>
      </pivotArea>
    </chartFormat>
    <chartFormat chart="7" format="19" series="1">
      <pivotArea type="data" outline="0" fieldPosition="0">
        <references count="3">
          <reference field="4294967294" count="1" selected="0">
            <x v="0"/>
          </reference>
          <reference field="4" count="1" selected="0">
            <x v="1"/>
          </reference>
          <reference field="11" count="1" selected="0">
            <x v="1"/>
          </reference>
        </references>
      </pivotArea>
    </chartFormat>
    <chartFormat chart="7" format="20" series="1">
      <pivotArea type="data" outline="0" fieldPosition="0">
        <references count="3">
          <reference field="4294967294" count="1" selected="0">
            <x v="0"/>
          </reference>
          <reference field="4" count="1" selected="0">
            <x v="0"/>
          </reference>
          <reference field="11" count="1" selected="0">
            <x v="0"/>
          </reference>
        </references>
      </pivotArea>
    </chartFormat>
    <chartFormat chart="7" format="21" series="1">
      <pivotArea type="data" outline="0" fieldPosition="0">
        <references count="3">
          <reference field="4294967294" count="1" selected="0">
            <x v="0"/>
          </reference>
          <reference field="4" count="1" selected="0">
            <x v="0"/>
          </reference>
          <reference field="11" count="1" selected="0">
            <x v="1"/>
          </reference>
        </references>
      </pivotArea>
    </chartFormat>
    <chartFormat chart="7" format="22" series="1">
      <pivotArea type="data" outline="0" fieldPosition="0">
        <references count="3">
          <reference field="4294967294" count="1" selected="0">
            <x v="0"/>
          </reference>
          <reference field="4" count="1" selected="0">
            <x v="3"/>
          </reference>
          <reference field="11" count="1" selected="0">
            <x v="0"/>
          </reference>
        </references>
      </pivotArea>
    </chartFormat>
    <chartFormat chart="7" format="23" series="1">
      <pivotArea type="data" outline="0" fieldPosition="0">
        <references count="3">
          <reference field="4294967294" count="1" selected="0">
            <x v="0"/>
          </reference>
          <reference field="4" count="1" selected="0">
            <x v="3"/>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5115B2-7D54-4A34-8DF4-4C3D3F2AA381}" name="PivotTable6" cacheId="1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R13:V19" firstHeaderRow="1" firstDataRow="2" firstDataCol="1"/>
  <pivotFields count="15">
    <pivotField showAll="0"/>
    <pivotField showAll="0"/>
    <pivotField showAll="0"/>
    <pivotField showAll="0"/>
    <pivotField axis="axisCol" dataField="1" showAll="0">
      <items count="4">
        <item x="2"/>
        <item x="0"/>
        <item x="1"/>
        <item t="default"/>
      </items>
    </pivotField>
    <pivotField axis="axisRow" showAll="0">
      <items count="5">
        <item x="0"/>
        <item x="2"/>
        <item x="3"/>
        <item x="1"/>
        <item t="default"/>
      </items>
    </pivotField>
    <pivotField numFmtId="164" showAll="0"/>
    <pivotField numFmtId="164" showAll="0"/>
    <pivotField showAll="0"/>
    <pivotField showAll="0"/>
    <pivotField showAll="0"/>
    <pivotField showAll="0"/>
    <pivotField showAll="0"/>
    <pivotField numFmtId="1" showAll="0"/>
    <pivotField numFmtId="1" showAll="0"/>
  </pivotFields>
  <rowFields count="1">
    <field x="5"/>
  </rowFields>
  <rowItems count="5">
    <i>
      <x/>
    </i>
    <i>
      <x v="1"/>
    </i>
    <i>
      <x v="2"/>
    </i>
    <i>
      <x v="3"/>
    </i>
    <i t="grand">
      <x/>
    </i>
  </rowItems>
  <colFields count="1">
    <field x="4"/>
  </colFields>
  <colItems count="4">
    <i>
      <x/>
    </i>
    <i>
      <x v="1"/>
    </i>
    <i>
      <x v="2"/>
    </i>
    <i t="grand">
      <x/>
    </i>
  </colItems>
  <dataFields count="1">
    <dataField name="Count of Age Group" fld="4" subtotal="count" baseField="0" baseItem="0"/>
  </dataFields>
  <formats count="1">
    <format dxfId="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CCA80F-44FF-450C-87B4-D4EED1756F33}"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Gender-wise ">
  <location ref="R5:Y9" firstHeaderRow="1" firstDataRow="2" firstDataCol="1"/>
  <pivotFields count="14">
    <pivotField dataField="1"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axis="axisRow" showAll="0">
      <items count="3">
        <item x="1"/>
        <item x="0"/>
        <item t="default"/>
      </items>
    </pivotField>
    <pivotField showAll="0"/>
    <pivotField numFmtId="164" showAll="0"/>
    <pivotField numFmtId="164" showAll="0"/>
    <pivotField showAll="0"/>
    <pivotField showAll="0"/>
    <pivotField axis="axisCol" showAll="0">
      <items count="7">
        <item x="0"/>
        <item x="5"/>
        <item x="2"/>
        <item x="4"/>
        <item x="3"/>
        <item x="1"/>
        <item t="default"/>
      </items>
    </pivotField>
    <pivotField showAll="0"/>
    <pivotField showAll="0"/>
    <pivotField numFmtId="1" showAll="0"/>
    <pivotField numFmtId="1" showAll="0"/>
  </pivotFields>
  <rowFields count="1">
    <field x="3"/>
  </rowFields>
  <rowItems count="3">
    <i>
      <x/>
    </i>
    <i>
      <x v="1"/>
    </i>
    <i t="grand">
      <x/>
    </i>
  </rowItems>
  <colFields count="1">
    <field x="9"/>
  </colFields>
  <colItems count="7">
    <i>
      <x/>
    </i>
    <i>
      <x v="1"/>
    </i>
    <i>
      <x v="2"/>
    </i>
    <i>
      <x v="3"/>
    </i>
    <i>
      <x v="4"/>
    </i>
    <i>
      <x v="5"/>
    </i>
    <i t="grand">
      <x/>
    </i>
  </colItems>
  <dataFields count="1">
    <dataField name="Count of  Member_ID" fld="0" subtotal="count" baseField="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1CECC6D-BB9A-4E75-985C-DC79BDB9875E}" sourceName="City">
  <pivotTables>
    <pivotTable tabId="8" name="PivotTable4"/>
    <pivotTable tabId="8" name="PivotTable5"/>
  </pivotTables>
  <data>
    <tabular pivotCacheId="285994821">
      <items count="6">
        <i x="0" s="1"/>
        <i x="5"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d_Yes_No" xr10:uid="{FAEB8901-6EB5-4A9D-AE03-96018433831F}" sourceName="Refered Yes/No">
  <pivotTables>
    <pivotTable tabId="8" name="PivotTable4"/>
    <pivotTable tabId="8" name="PivotTable5"/>
  </pivotTables>
  <data>
    <tabular pivotCacheId="2859948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3296720-8773-4E60-8E87-F8FA7C8BDDA2}" cache="Slicer_City" caption="City" rowHeight="241300"/>
  <slicer name="Refered Yes/No" xr10:uid="{355FB699-D53E-466B-8F04-E08B29513F1B}" cache="Slicer_Refered_Yes_No" caption="Refered Yes/N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A51A4D-43A3-4A02-8AB0-A5CCC80CEBA2}" name="Table1" displayName="Table1" ref="A1:M36" totalsRowShown="0" headerRowDxfId="151" dataDxfId="149" headerRowBorderDxfId="150" tableBorderDxfId="148" totalsRowBorderDxfId="147">
  <autoFilter ref="A1:M36" xr:uid="{FEA51A4D-43A3-4A02-8AB0-A5CCC80CEBA2}"/>
  <tableColumns count="13">
    <tableColumn id="1" xr3:uid="{1F887435-BC14-4725-B0C5-65DD933F1FF5}" name=" Member_ID" dataDxfId="146"/>
    <tableColumn id="2" xr3:uid="{EE2AC9A9-9E24-4A55-BEAE-07BCE43A58E2}" name="Full_Name" dataDxfId="145"/>
    <tableColumn id="3" xr3:uid="{D693973E-E902-4845-BC41-B50D3CBF97C0}" name="Age" dataDxfId="144"/>
    <tableColumn id="4" xr3:uid="{74A47CD6-BCA5-4E5E-A733-AB80E3534C68}" name="Gender" dataDxfId="143"/>
    <tableColumn id="5" xr3:uid="{A7F923FE-1DBC-4F40-BC89-E591CDECC6C2}" name="Membership_Type" dataDxfId="142"/>
    <tableColumn id="6" xr3:uid="{AA83EC71-0B5B-4F72-A4CA-C390331E6128}" name="Start_Date" dataDxfId="141"/>
    <tableColumn id="7" xr3:uid="{5B75699E-DF48-4D30-B616-04FAC515611A}" name="End_Date" dataDxfId="140"/>
    <tableColumn id="8" xr3:uid="{D0FD3EF7-EC28-489B-B366-6BDC5D8B12B7}" name="Monthly_Fee" dataDxfId="139"/>
    <tableColumn id="9" xr3:uid="{C0243CB0-3F6F-4583-835C-FF0C4AE59423}" name="Attendance" dataDxfId="138"/>
    <tableColumn id="10" xr3:uid="{0FC71CA3-1C29-439D-8472-6F29545B71CB}" name="City" dataDxfId="137"/>
    <tableColumn id="11" xr3:uid="{840F8629-8472-4B67-AD57-710FE9DA59D3}" name="Referred_By" dataDxfId="136"/>
    <tableColumn id="13" xr3:uid="{68F1B92D-DDA0-4168-95A5-D8DFBFF9611E}" name="Total Days" dataDxfId="135" dataCellStyle="40% - Accent6">
      <calculatedColumnFormula>Table1[[#This Row],[End_Date]]-Table1[[#This Row],[Start_Date]]</calculatedColumnFormula>
    </tableColumn>
    <tableColumn id="12" xr3:uid="{AC71AF3A-8154-4505-84BD-88D4BDF1E404}" name="Membership_Duration_Months" dataDxfId="134" dataCellStyle="Accent4">
      <calculatedColumnFormula>Table1[[#This Row],[Total Days]]/30</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048DE4-1D38-483F-A02C-7EFFAAC42986}" name="Table13" displayName="Table13" ref="A1:L36" totalsRowShown="0" headerRowDxfId="125" dataDxfId="123" headerRowBorderDxfId="124" tableBorderDxfId="122" totalsRowBorderDxfId="121">
  <autoFilter ref="A1:L36" xr:uid="{5C048DE4-1D38-483F-A02C-7EFFAAC42986}"/>
  <tableColumns count="12">
    <tableColumn id="1" xr3:uid="{E9F17164-BE42-4136-9784-38415B32FB0B}" name=" Member_ID" dataDxfId="120"/>
    <tableColumn id="2" xr3:uid="{0F3305DE-D9DB-4538-BA56-801B83128B5D}" name="Full_Name" dataDxfId="119"/>
    <tableColumn id="3" xr3:uid="{044F9F5C-4D01-4EE4-8783-5688C25BF46F}" name="Age" dataDxfId="118"/>
    <tableColumn id="4" xr3:uid="{BDC522E3-E570-420A-A86A-89823E5B10FC}" name="Gender" dataDxfId="117"/>
    <tableColumn id="5" xr3:uid="{F0317479-684C-4229-AABF-BA4899A7445C}" name="Membership_Type" dataDxfId="116"/>
    <tableColumn id="6" xr3:uid="{EB98A3AC-0075-4525-9190-D51F96551339}" name="Start_Date" dataDxfId="115"/>
    <tableColumn id="7" xr3:uid="{1B258230-E3A5-4621-BBD3-A01A6581A289}" name="End_Date" dataDxfId="114"/>
    <tableColumn id="8" xr3:uid="{48AF5C38-C861-4BB0-9B85-170C11AFBF7E}" name="Monthly_Fee" dataDxfId="113"/>
    <tableColumn id="9" xr3:uid="{5C023A7C-64E6-42DA-87C8-3E473BD13FC8}" name="Attendance" dataDxfId="112"/>
    <tableColumn id="10" xr3:uid="{387E8A84-28C9-4EF2-914F-4B074D9B33BE}" name="City" dataDxfId="111"/>
    <tableColumn id="11" xr3:uid="{07BAD320-98B8-45A6-BA54-D3F39FDC2A31}" name="Referred_By" dataDxfId="110"/>
    <tableColumn id="14" xr3:uid="{659672CB-B735-4192-8554-C7C451983A34}" name="Refered Yes/No" dataDxfId="109">
      <calculatedColumnFormula>IF(ISBLANK(Table13[[#This Row],[Referred_By]]),"No","Yes")</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8386A4-6493-4BAE-A95D-2E27FC68E910}" name="Table15" displayName="Table15" ref="A1:N36" totalsRowShown="0" headerRowDxfId="96" dataDxfId="94" headerRowBorderDxfId="95" tableBorderDxfId="93" totalsRowBorderDxfId="92">
  <autoFilter ref="A1:N36" xr:uid="{0B8386A4-6493-4BAE-A95D-2E27FC68E910}"/>
  <tableColumns count="14">
    <tableColumn id="1" xr3:uid="{7BC3BE7F-E3AA-4AF3-B9C1-59813B0A9AAA}" name=" Member_ID" dataDxfId="91"/>
    <tableColumn id="2" xr3:uid="{57E12CE5-815C-4D8F-ADD2-09FAC8E9A710}" name="Full_Name" dataDxfId="90"/>
    <tableColumn id="3" xr3:uid="{21D98C97-B3B6-485D-BA26-97EB4D9A268C}" name="Age" dataDxfId="89"/>
    <tableColumn id="4" xr3:uid="{83DA2609-F392-41AF-A979-4103E266B344}" name="Gender" dataDxfId="88"/>
    <tableColumn id="5" xr3:uid="{5D3923CA-8EDE-4E38-A4E8-8048BBDB57FA}" name="Membership_Type" dataDxfId="87"/>
    <tableColumn id="6" xr3:uid="{C6E9119E-0B17-4625-8B9D-CA7DED81E39C}" name="Start_Date" dataDxfId="86"/>
    <tableColumn id="7" xr3:uid="{9531614D-BAFF-4B35-875E-068313172ABA}" name="End_Date" dataDxfId="85"/>
    <tableColumn id="8" xr3:uid="{C18DA2C2-D0F6-43A8-87CB-0F994B66CFD8}" name="Monthly_Fee" dataDxfId="84"/>
    <tableColumn id="9" xr3:uid="{5A2753DE-6045-4C7E-9EC4-5CFF3E03B64E}" name="Attendance" dataDxfId="83"/>
    <tableColumn id="10" xr3:uid="{8253635F-6944-41C8-895C-006DDFEAC3B0}" name="City" dataDxfId="82"/>
    <tableColumn id="11" xr3:uid="{2EC3D541-71EF-4255-A419-5BBBF24C5660}" name="Referred_By" dataDxfId="81"/>
    <tableColumn id="13" xr3:uid="{A4B89429-19C8-4FBF-9179-AEC5A69F1F48}" name="Total Days" dataDxfId="80" dataCellStyle="40% - Accent6">
      <calculatedColumnFormula>Table15[[#This Row],[End_Date]]-Table15[[#This Row],[Start_Date]]</calculatedColumnFormula>
    </tableColumn>
    <tableColumn id="12" xr3:uid="{0F0A59BC-038D-44C8-81F0-47B54D48B76F}" name="Membership_Duration_Months" dataDxfId="79" dataCellStyle="Accent4">
      <calculatedColumnFormula>Table15[[#This Row],[Total Days]]/30</calculatedColumnFormula>
    </tableColumn>
    <tableColumn id="14" xr3:uid="{C73A85CD-EE01-4741-8843-D7736DF56E1F}" name="Total Revenue" dataDxfId="78">
      <calculatedColumnFormula>Table15[[#This Row],[Monthly_Fee]]*Table15[[#This Row],[Membership_Duration_Months]]</calculatedColumnFormula>
    </tableColumn>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094B18-55FC-4998-8C51-E0A077A13319}" name="Table157" displayName="Table157" ref="A1:N36" totalsRowShown="0" headerRowDxfId="77" dataDxfId="75" headerRowBorderDxfId="76" tableBorderDxfId="74" totalsRowBorderDxfId="73">
  <autoFilter ref="A1:N36" xr:uid="{E8094B18-55FC-4998-8C51-E0A077A13319}"/>
  <tableColumns count="14">
    <tableColumn id="1" xr3:uid="{97D8B1CA-DB07-43EE-AD06-9A2B2E29BAAE}" name=" Member_ID" dataDxfId="72"/>
    <tableColumn id="2" xr3:uid="{204EAB53-04A6-4670-8658-9CB58A434368}" name="Full_Name" dataDxfId="71"/>
    <tableColumn id="3" xr3:uid="{184115C6-861E-4764-B8FF-66BF4DE59B5C}" name="Age" dataDxfId="70"/>
    <tableColumn id="4" xr3:uid="{7ACAAB93-1913-4400-B72A-0D300AA366CB}" name="Gender" dataDxfId="69"/>
    <tableColumn id="5" xr3:uid="{F3C8BC92-A46F-44F8-8A3C-A79E08597381}" name="Membership_Type" dataDxfId="68"/>
    <tableColumn id="6" xr3:uid="{E181823A-A5BA-4596-9F07-224A81F65BA8}" name="Start_Date" dataDxfId="67"/>
    <tableColumn id="7" xr3:uid="{0405D237-7446-4D79-88C8-74F17DF8D91D}" name="End_Date" dataDxfId="66"/>
    <tableColumn id="8" xr3:uid="{0D65AC04-4EFD-4CCA-8153-D5F3D8E892E9}" name="Monthly_Fee" dataDxfId="65"/>
    <tableColumn id="9" xr3:uid="{6175CF55-92B9-467F-8CA8-761036BE9E4C}" name="Attendance" dataDxfId="64"/>
    <tableColumn id="10" xr3:uid="{01340693-A8E3-4404-A96D-FBB31A2C4448}" name="City" dataDxfId="63"/>
    <tableColumn id="11" xr3:uid="{B51F8462-7D5D-4280-8F19-DADE42DE97EA}" name="Referred_By" dataDxfId="62"/>
    <tableColumn id="13" xr3:uid="{ABA3342D-9AD6-47E5-B325-150607BE76E2}" name="Total Days" dataDxfId="61" dataCellStyle="40% - Accent6">
      <calculatedColumnFormula>Table157[[#This Row],[End_Date]]-Table157[[#This Row],[Start_Date]]</calculatedColumnFormula>
    </tableColumn>
    <tableColumn id="12" xr3:uid="{70E9BD56-6725-49B2-9C43-4C2F261015F6}" name="Membership_Duration_Months" dataDxfId="60" dataCellStyle="Accent4">
      <calculatedColumnFormula>Table157[[#This Row],[Total Days]]/30</calculatedColumnFormula>
    </tableColumn>
    <tableColumn id="14" xr3:uid="{739FAA5C-ACA6-45A5-94CB-53B806EF623D}" name="Total Revenue" dataDxfId="59">
      <calculatedColumnFormula>Table157[[#This Row],[Monthly_Fee]]*Table157[[#This Row],[Membership_Duration_Months]]</calculatedColumnFormula>
    </tableColumn>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374855-BB45-4ABB-B630-22852D025BE0}" name="Table138" displayName="Table138" ref="A1:O36" totalsRowShown="0" headerRowDxfId="58" dataDxfId="56" headerRowBorderDxfId="57" tableBorderDxfId="55" totalsRowBorderDxfId="54">
  <autoFilter ref="A1:O36" xr:uid="{A9374855-BB45-4ABB-B630-22852D025BE0}"/>
  <tableColumns count="15">
    <tableColumn id="1" xr3:uid="{4FC50050-1891-48E0-8CA3-89F673D3F4E3}" name=" Member_ID" dataDxfId="53"/>
    <tableColumn id="2" xr3:uid="{D4292B01-5731-4AE2-8EB4-955EE33BEB94}" name="Full_Name" dataDxfId="52"/>
    <tableColumn id="3" xr3:uid="{4E6053FF-6B2A-4D33-895F-15BEA06C3547}" name="Age" dataDxfId="51"/>
    <tableColumn id="4" xr3:uid="{10310090-8625-4661-800A-0A69D0FDA75F}" name="Gender" dataDxfId="50"/>
    <tableColumn id="5" xr3:uid="{85B8C8EE-FA93-4B43-A816-674B95E6AFBB}" name="Membership_Type" dataDxfId="49"/>
    <tableColumn id="6" xr3:uid="{22DC6AB9-A417-4C81-8DC0-940FE4EAAD5D}" name="Start_Date" dataDxfId="48"/>
    <tableColumn id="7" xr3:uid="{AB0504D9-E2CE-432C-A7E6-078E94FEA9EF}" name="End_Date" dataDxfId="47"/>
    <tableColumn id="8" xr3:uid="{880EF6FE-D2BA-4572-A80E-06A7183364D5}" name="Monthly_Fee" dataDxfId="46"/>
    <tableColumn id="9" xr3:uid="{0136D557-F081-4667-9F9C-5F0289C69931}" name="Attendance" dataDxfId="45"/>
    <tableColumn id="10" xr3:uid="{DC2E9128-1459-4F31-A2E7-713C5EF5564D}" name="City" dataDxfId="44"/>
    <tableColumn id="11" xr3:uid="{CAA3C4D9-B857-4365-B02D-623A9F8939CD}" name="Referred_By" dataDxfId="43"/>
    <tableColumn id="14" xr3:uid="{E486A032-E886-49BB-B693-7991EE4CC2C7}" name="Refered Yes/No" dataDxfId="42">
      <calculatedColumnFormula>IF(ISBLANK(Table138[[#This Row],[Referred_By]]),"No","Yes")</calculatedColumnFormula>
    </tableColumn>
    <tableColumn id="12" xr3:uid="{E9D650EC-875E-451D-813D-5A1AB86C5874}" name="Days" dataDxfId="41">
      <calculatedColumnFormula>Table138[[#This Row],[End_Date]]-Table138[[#This Row],[Start_Date]]</calculatedColumnFormula>
    </tableColumn>
    <tableColumn id="13" xr3:uid="{AA0A213C-B589-4A4A-AB64-872DB9350911}" name="Months" dataDxfId="40">
      <calculatedColumnFormula>Table138[[#This Row],[Days]]/30</calculatedColumnFormula>
    </tableColumn>
    <tableColumn id="15" xr3:uid="{EF5A2C2E-24B3-42C4-8C4F-7F240DBEB574}" name="Revenue" dataDxfId="39">
      <calculatedColumnFormula>Table138[[#This Row],[Monthly_Fee]]*Table138[[#This Row],[Months]]</calculatedColumnFormula>
    </tableColumn>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DCFE2D-B30F-4717-9691-5DE5DD099BDF}" name="Table8" displayName="Table8" ref="A1:O36" totalsRowShown="0" headerRowDxfId="2" tableBorderDxfId="18">
  <autoFilter ref="A1:O36" xr:uid="{31DCFE2D-B30F-4717-9691-5DE5DD099BDF}"/>
  <tableColumns count="15">
    <tableColumn id="1" xr3:uid="{4A7A378F-764D-4ADD-BB07-3B6DFDE0BC2B}" name=" Member_ID" dataDxfId="17"/>
    <tableColumn id="2" xr3:uid="{00F7D554-87B5-4D15-9502-D928158DE64C}" name="Full_Name" dataDxfId="16"/>
    <tableColumn id="3" xr3:uid="{2A276BEA-9DD8-4B05-9323-BAE98FEEBFC8}" name="Age" dataDxfId="15"/>
    <tableColumn id="4" xr3:uid="{B409C942-315C-412B-9035-ADDFD7CAD6D4}" name="Gender" dataDxfId="14"/>
    <tableColumn id="5" xr3:uid="{EC9F4DA0-4EA9-4CE9-8C01-1B841D6CD7BF}" name="Age Group" dataDxfId="13">
      <calculatedColumnFormula>IF(AND('6. Gender &amp; Age Distribution'!$C2&gt;=18,'6. Gender &amp; Age Distribution'!$C2&lt;=30),"Youth",IF(AND('6. Gender &amp; Age Distribution'!$C2&gt;=31,'6. Gender &amp; Age Distribution'!$C2&lt;=45),"Adults",IF('6. Gender &amp; Age Distribution'!$C2&gt;45,"Senior")))</calculatedColumnFormula>
    </tableColumn>
    <tableColumn id="6" xr3:uid="{12229CA0-0668-49BF-B9AD-988A82D749D1}" name="Membership_Type" dataDxfId="12"/>
    <tableColumn id="7" xr3:uid="{D0307F39-1DCC-423A-977E-39E620F4CF54}" name="Start_Date" dataDxfId="11"/>
    <tableColumn id="8" xr3:uid="{0EEB4999-360C-471D-9F49-25882AC52D4B}" name="End_Date" dataDxfId="10"/>
    <tableColumn id="9" xr3:uid="{313F7F00-2417-49A2-95B3-D2E9CB666D22}" name="Monthly_Fee" dataDxfId="9"/>
    <tableColumn id="10" xr3:uid="{585A993C-4A26-4DDA-BF91-B049BCB1D53B}" name="Attendance" dataDxfId="8"/>
    <tableColumn id="11" xr3:uid="{F5024707-A21B-446A-8CA6-44B46061CB4D}" name="City" dataDxfId="7"/>
    <tableColumn id="12" xr3:uid="{B3A5AB4D-3FC9-4814-9615-E1C20E1DD349}" name="Referred_By" dataDxfId="6"/>
    <tableColumn id="13" xr3:uid="{306EB838-C127-4FA4-B1DC-D8C6127E7670}" name="Total Days" dataDxfId="5" dataCellStyle="40% - Accent6">
      <calculatedColumnFormula>'6. Gender &amp; Age Distribution'!$H2-'6. Gender &amp; Age Distribution'!$G2</calculatedColumnFormula>
    </tableColumn>
    <tableColumn id="14" xr3:uid="{4201767E-FA7A-4939-BF1A-B446665922A2}" name="Membership_Duration_Months" dataDxfId="4" dataCellStyle="Accent4">
      <calculatedColumnFormula>'6. Gender &amp; Age Distribution'!$M2/30</calculatedColumnFormula>
    </tableColumn>
    <tableColumn id="15" xr3:uid="{9B14D4D4-B64D-477F-8C4C-AD6951F4A097}" name="Total Revenue" dataDxfId="3">
      <calculatedColumnFormula>'6. Gender &amp; Age Distribution'!$I2*'6. Gender &amp; Age Distribution'!$N2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2BF72D-C087-459E-BF9C-94D9A7C21E52}" name="Table156" displayName="Table156" ref="A1:N36" totalsRowShown="0" headerRowDxfId="38" dataDxfId="36" headerRowBorderDxfId="37" tableBorderDxfId="35" totalsRowBorderDxfId="34">
  <autoFilter ref="A1:N36" xr:uid="{642BF72D-C087-459E-BF9C-94D9A7C21E52}"/>
  <tableColumns count="14">
    <tableColumn id="1" xr3:uid="{8FD2337F-7084-4CFA-B023-B326F0CEF992}" name=" Member_ID" dataDxfId="33"/>
    <tableColumn id="2" xr3:uid="{5F20DE4B-0905-4C46-8C91-B5A8D4CB4AA6}" name="Full_Name" dataDxfId="32"/>
    <tableColumn id="3" xr3:uid="{D7DA37A1-702D-44FE-85A5-C4FBD806D280}" name="Age" dataDxfId="31"/>
    <tableColumn id="4" xr3:uid="{EC2F343E-E240-4EFA-A42A-93D0A58E41B0}" name="Gender" dataDxfId="30"/>
    <tableColumn id="5" xr3:uid="{9A5CF4EA-84D8-42A9-9BAF-286D710E6470}" name="Membership_Type" dataDxfId="29"/>
    <tableColumn id="6" xr3:uid="{1EF47171-6CE6-447C-82C3-01259C64449F}" name="Start_Date" dataDxfId="28"/>
    <tableColumn id="7" xr3:uid="{4599593B-6C11-47DD-B6FC-5AB0F89F47BB}" name="End_Date" dataDxfId="27"/>
    <tableColumn id="8" xr3:uid="{F0E47094-AD51-4069-A50A-1E686FA55C2C}" name="Monthly_Fee" dataDxfId="26"/>
    <tableColumn id="9" xr3:uid="{4A7A7853-6F7C-4B7E-AC25-625052A06015}" name="Attendance" dataDxfId="25"/>
    <tableColumn id="10" xr3:uid="{F21A6F54-A000-4CDE-B1CE-69A7C8BAA3A8}" name="City" dataDxfId="24"/>
    <tableColumn id="11" xr3:uid="{9CEA0A0E-0EC3-4799-876C-DFEC445A5182}" name="Referred_By" dataDxfId="23"/>
    <tableColumn id="13" xr3:uid="{026C7326-FE80-4800-8DB1-8E67C92952EA}" name="Total Days" dataDxfId="22" dataCellStyle="40% - Accent6">
      <calculatedColumnFormula>Table156[[#This Row],[End_Date]]-Table156[[#This Row],[Start_Date]]</calculatedColumnFormula>
    </tableColumn>
    <tableColumn id="12" xr3:uid="{BA80DB3E-0EAB-4190-9873-6144F8C8E8E9}" name="Membership_Duration_Months" dataDxfId="21" dataCellStyle="Accent4">
      <calculatedColumnFormula>Table156[[#This Row],[Total Days]]/30</calculatedColumnFormula>
    </tableColumn>
    <tableColumn id="14" xr3:uid="{7906D131-CCBE-41C2-8600-BAC945D5ED3F}" name="Total Revenue" dataDxfId="20">
      <calculatedColumnFormula>Table156[[#This Row],[Monthly_Fee]]*Table156[[#This Row],[Membership_Duration_Months]]</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
  <sheetViews>
    <sheetView topLeftCell="N1" workbookViewId="0">
      <selection activeCell="N19" sqref="N19"/>
    </sheetView>
  </sheetViews>
  <sheetFormatPr defaultRowHeight="14.5" x14ac:dyDescent="0.35"/>
  <cols>
    <col min="1" max="1" width="11.26953125" bestFit="1" customWidth="1"/>
    <col min="2" max="2" width="15.1796875" bestFit="1" customWidth="1"/>
    <col min="3" max="3" width="3.90625" bestFit="1" customWidth="1"/>
    <col min="4" max="4" width="7" bestFit="1" customWidth="1"/>
    <col min="5" max="5" width="16.54296875" bestFit="1" customWidth="1"/>
    <col min="6" max="7" width="10.08984375" bestFit="1" customWidth="1"/>
    <col min="8" max="8" width="11.81640625" bestFit="1" customWidth="1"/>
    <col min="9" max="9" width="10.54296875" bestFit="1" customWidth="1"/>
    <col min="10" max="10" width="10" bestFit="1" customWidth="1"/>
    <col min="11" max="11" width="18" bestFit="1" customWidth="1"/>
    <col min="14" max="14" width="249.26953125" bestFit="1" customWidth="1"/>
  </cols>
  <sheetData>
    <row r="1" spans="1:14" x14ac:dyDescent="0.35">
      <c r="A1" s="1" t="s">
        <v>107</v>
      </c>
      <c r="B1" s="1" t="s">
        <v>0</v>
      </c>
      <c r="C1" s="1" t="s">
        <v>1</v>
      </c>
      <c r="D1" s="1" t="s">
        <v>2</v>
      </c>
      <c r="E1" s="1" t="s">
        <v>3</v>
      </c>
      <c r="F1" s="1" t="s">
        <v>4</v>
      </c>
      <c r="G1" s="1" t="s">
        <v>5</v>
      </c>
      <c r="H1" s="1" t="s">
        <v>6</v>
      </c>
      <c r="I1" s="1" t="s">
        <v>7</v>
      </c>
      <c r="J1" s="1" t="s">
        <v>8</v>
      </c>
      <c r="K1" s="1" t="s">
        <v>9</v>
      </c>
      <c r="M1" s="50" t="s">
        <v>108</v>
      </c>
      <c r="N1" s="51"/>
    </row>
    <row r="2" spans="1:14" x14ac:dyDescent="0.35">
      <c r="A2" s="2" t="s">
        <v>10</v>
      </c>
      <c r="B2" s="2" t="s">
        <v>11</v>
      </c>
      <c r="C2" s="2">
        <v>59</v>
      </c>
      <c r="D2" s="2" t="s">
        <v>12</v>
      </c>
      <c r="E2" s="2" t="s">
        <v>13</v>
      </c>
      <c r="F2" s="3">
        <v>45235</v>
      </c>
      <c r="G2" s="3">
        <v>45425</v>
      </c>
      <c r="H2" s="2">
        <v>800</v>
      </c>
      <c r="I2" s="2">
        <v>25</v>
      </c>
      <c r="J2" s="2" t="s">
        <v>14</v>
      </c>
      <c r="K2" s="2" t="s">
        <v>15</v>
      </c>
    </row>
    <row r="3" spans="1:14" x14ac:dyDescent="0.35">
      <c r="A3" s="2" t="s">
        <v>16</v>
      </c>
      <c r="B3" s="2" t="s">
        <v>17</v>
      </c>
      <c r="C3" s="2">
        <v>27</v>
      </c>
      <c r="D3" s="2" t="s">
        <v>12</v>
      </c>
      <c r="E3" s="2" t="s">
        <v>13</v>
      </c>
      <c r="F3" s="3">
        <v>45714</v>
      </c>
      <c r="G3" s="3">
        <v>45740</v>
      </c>
      <c r="H3" s="2">
        <v>800</v>
      </c>
      <c r="I3" s="2">
        <v>20</v>
      </c>
      <c r="J3" s="2" t="s">
        <v>18</v>
      </c>
      <c r="K3" s="2" t="s">
        <v>19</v>
      </c>
      <c r="M3">
        <v>1</v>
      </c>
      <c r="N3" t="s">
        <v>109</v>
      </c>
    </row>
    <row r="4" spans="1:14" x14ac:dyDescent="0.35">
      <c r="A4" s="2" t="s">
        <v>20</v>
      </c>
      <c r="B4" s="2" t="s">
        <v>21</v>
      </c>
      <c r="C4" s="2">
        <v>24</v>
      </c>
      <c r="D4" s="2" t="s">
        <v>12</v>
      </c>
      <c r="E4" s="2" t="s">
        <v>22</v>
      </c>
      <c r="F4" s="3">
        <v>45191</v>
      </c>
      <c r="G4" s="3">
        <v>45371</v>
      </c>
      <c r="H4" s="2">
        <v>1200</v>
      </c>
      <c r="I4" s="2">
        <v>18</v>
      </c>
      <c r="J4" s="2" t="s">
        <v>23</v>
      </c>
      <c r="K4" s="2" t="s">
        <v>24</v>
      </c>
      <c r="N4" t="s">
        <v>110</v>
      </c>
    </row>
    <row r="5" spans="1:14" x14ac:dyDescent="0.35">
      <c r="A5" s="2" t="s">
        <v>25</v>
      </c>
      <c r="B5" s="2" t="s">
        <v>26</v>
      </c>
      <c r="C5" s="2">
        <v>31</v>
      </c>
      <c r="D5" s="2" t="s">
        <v>27</v>
      </c>
      <c r="E5" s="2" t="s">
        <v>22</v>
      </c>
      <c r="F5" s="3">
        <v>45479</v>
      </c>
      <c r="G5" s="3">
        <v>45587</v>
      </c>
      <c r="H5" s="2">
        <v>1200</v>
      </c>
      <c r="I5" s="2">
        <v>16</v>
      </c>
      <c r="J5" s="2" t="s">
        <v>23</v>
      </c>
      <c r="K5" s="2" t="s">
        <v>28</v>
      </c>
    </row>
    <row r="6" spans="1:14" x14ac:dyDescent="0.35">
      <c r="A6" s="2" t="s">
        <v>29</v>
      </c>
      <c r="B6" s="2" t="s">
        <v>30</v>
      </c>
      <c r="C6" s="2">
        <v>19</v>
      </c>
      <c r="D6" s="2" t="s">
        <v>12</v>
      </c>
      <c r="E6" s="2" t="s">
        <v>31</v>
      </c>
      <c r="F6" s="3">
        <v>45286</v>
      </c>
      <c r="G6" s="3">
        <v>45501</v>
      </c>
      <c r="H6" s="2">
        <v>2500</v>
      </c>
      <c r="I6" s="2">
        <v>12</v>
      </c>
      <c r="J6" s="2" t="s">
        <v>14</v>
      </c>
      <c r="K6" s="2" t="s">
        <v>32</v>
      </c>
      <c r="M6">
        <v>2</v>
      </c>
      <c r="N6" t="s">
        <v>113</v>
      </c>
    </row>
    <row r="7" spans="1:14" x14ac:dyDescent="0.35">
      <c r="A7" s="2" t="s">
        <v>33</v>
      </c>
      <c r="B7" s="2" t="s">
        <v>34</v>
      </c>
      <c r="C7" s="2">
        <v>40</v>
      </c>
      <c r="D7" s="2" t="s">
        <v>12</v>
      </c>
      <c r="E7" s="2" t="s">
        <v>13</v>
      </c>
      <c r="F7" s="3">
        <v>45317</v>
      </c>
      <c r="G7" s="3">
        <v>45392</v>
      </c>
      <c r="H7" s="2">
        <v>800</v>
      </c>
      <c r="I7" s="2">
        <v>14</v>
      </c>
      <c r="J7" s="2" t="s">
        <v>35</v>
      </c>
      <c r="K7" s="2" t="s">
        <v>36</v>
      </c>
    </row>
    <row r="8" spans="1:14" x14ac:dyDescent="0.35">
      <c r="A8" s="2" t="s">
        <v>37</v>
      </c>
      <c r="B8" s="2" t="s">
        <v>38</v>
      </c>
      <c r="C8" s="2">
        <v>41</v>
      </c>
      <c r="D8" s="2" t="s">
        <v>27</v>
      </c>
      <c r="E8" s="2" t="s">
        <v>13</v>
      </c>
      <c r="F8" s="3">
        <v>45588</v>
      </c>
      <c r="G8" s="3">
        <v>45677</v>
      </c>
      <c r="H8" s="2">
        <v>800</v>
      </c>
      <c r="I8" s="2">
        <v>25</v>
      </c>
      <c r="J8" s="2" t="s">
        <v>18</v>
      </c>
      <c r="K8" s="4"/>
    </row>
    <row r="9" spans="1:14" x14ac:dyDescent="0.35">
      <c r="A9" s="2" t="s">
        <v>39</v>
      </c>
      <c r="B9" s="2" t="s">
        <v>40</v>
      </c>
      <c r="C9" s="2">
        <v>43</v>
      </c>
      <c r="D9" s="2" t="s">
        <v>12</v>
      </c>
      <c r="E9" s="2" t="s">
        <v>41</v>
      </c>
      <c r="F9" s="3">
        <v>45450</v>
      </c>
      <c r="G9" s="3">
        <v>45563</v>
      </c>
      <c r="H9" s="2">
        <v>1800</v>
      </c>
      <c r="I9" s="2">
        <v>28</v>
      </c>
      <c r="J9" s="2" t="s">
        <v>42</v>
      </c>
      <c r="K9" s="4"/>
      <c r="M9">
        <v>3</v>
      </c>
      <c r="N9" t="s">
        <v>122</v>
      </c>
    </row>
    <row r="10" spans="1:14" x14ac:dyDescent="0.35">
      <c r="A10" s="2" t="s">
        <v>43</v>
      </c>
      <c r="B10" s="2" t="s">
        <v>44</v>
      </c>
      <c r="C10" s="2">
        <v>42</v>
      </c>
      <c r="D10" s="2" t="s">
        <v>12</v>
      </c>
      <c r="E10" s="2" t="s">
        <v>13</v>
      </c>
      <c r="F10" s="3">
        <v>45569</v>
      </c>
      <c r="G10" s="3">
        <v>45582</v>
      </c>
      <c r="H10" s="2">
        <v>800</v>
      </c>
      <c r="I10" s="2">
        <v>3</v>
      </c>
      <c r="J10" s="2" t="s">
        <v>42</v>
      </c>
      <c r="K10" s="2" t="s">
        <v>45</v>
      </c>
    </row>
    <row r="11" spans="1:14" x14ac:dyDescent="0.35">
      <c r="A11" s="2" t="s">
        <v>46</v>
      </c>
      <c r="B11" s="2" t="s">
        <v>47</v>
      </c>
      <c r="C11" s="2">
        <v>37</v>
      </c>
      <c r="D11" s="2" t="s">
        <v>12</v>
      </c>
      <c r="E11" s="2" t="s">
        <v>22</v>
      </c>
      <c r="F11" s="3">
        <v>45202</v>
      </c>
      <c r="G11" s="3">
        <v>45280</v>
      </c>
      <c r="H11" s="2">
        <v>1200</v>
      </c>
      <c r="I11" s="2">
        <v>29</v>
      </c>
      <c r="J11" s="2" t="s">
        <v>35</v>
      </c>
      <c r="K11" s="2" t="s">
        <v>48</v>
      </c>
      <c r="M11">
        <v>4</v>
      </c>
      <c r="N11" t="s">
        <v>129</v>
      </c>
    </row>
    <row r="12" spans="1:14" x14ac:dyDescent="0.35">
      <c r="A12" s="2" t="s">
        <v>49</v>
      </c>
      <c r="B12" s="2" t="s">
        <v>50</v>
      </c>
      <c r="C12" s="2">
        <v>48</v>
      </c>
      <c r="D12" s="2" t="s">
        <v>27</v>
      </c>
      <c r="E12" s="2" t="s">
        <v>22</v>
      </c>
      <c r="F12" s="3">
        <v>45297</v>
      </c>
      <c r="G12" s="3">
        <v>45459</v>
      </c>
      <c r="H12" s="2">
        <v>1200</v>
      </c>
      <c r="I12" s="2">
        <v>13</v>
      </c>
      <c r="J12" s="2" t="s">
        <v>14</v>
      </c>
      <c r="K12" s="2" t="s">
        <v>51</v>
      </c>
    </row>
    <row r="13" spans="1:14" x14ac:dyDescent="0.35">
      <c r="A13" s="2" t="s">
        <v>52</v>
      </c>
      <c r="B13" s="2" t="s">
        <v>53</v>
      </c>
      <c r="C13" s="2">
        <v>36</v>
      </c>
      <c r="D13" s="2" t="s">
        <v>12</v>
      </c>
      <c r="E13" s="2" t="s">
        <v>22</v>
      </c>
      <c r="F13" s="3">
        <v>45154</v>
      </c>
      <c r="G13" s="3">
        <v>45568</v>
      </c>
      <c r="H13" s="2">
        <v>1200</v>
      </c>
      <c r="I13" s="2">
        <v>19</v>
      </c>
      <c r="J13" s="2" t="s">
        <v>42</v>
      </c>
      <c r="K13" s="2" t="s">
        <v>54</v>
      </c>
      <c r="M13">
        <v>5</v>
      </c>
      <c r="N13" t="s">
        <v>130</v>
      </c>
    </row>
    <row r="14" spans="1:14" x14ac:dyDescent="0.35">
      <c r="A14" s="2" t="s">
        <v>55</v>
      </c>
      <c r="B14" s="2" t="s">
        <v>56</v>
      </c>
      <c r="C14" s="2">
        <v>48</v>
      </c>
      <c r="D14" s="2" t="s">
        <v>27</v>
      </c>
      <c r="E14" s="2" t="s">
        <v>41</v>
      </c>
      <c r="F14" s="3">
        <v>45556</v>
      </c>
      <c r="G14" s="3">
        <v>45641</v>
      </c>
      <c r="H14" s="2">
        <v>1800</v>
      </c>
      <c r="I14" s="2">
        <v>22</v>
      </c>
      <c r="J14" s="2" t="s">
        <v>42</v>
      </c>
      <c r="K14" s="4"/>
    </row>
    <row r="15" spans="1:14" x14ac:dyDescent="0.35">
      <c r="A15" s="2" t="s">
        <v>57</v>
      </c>
      <c r="B15" s="2" t="s">
        <v>58</v>
      </c>
      <c r="C15" s="2">
        <v>39</v>
      </c>
      <c r="D15" s="2" t="s">
        <v>12</v>
      </c>
      <c r="E15" s="2" t="s">
        <v>22</v>
      </c>
      <c r="F15" s="3">
        <v>45065</v>
      </c>
      <c r="G15" s="3">
        <v>45242</v>
      </c>
      <c r="H15" s="2">
        <v>1200</v>
      </c>
      <c r="I15" s="2">
        <v>28</v>
      </c>
      <c r="J15" s="2" t="s">
        <v>35</v>
      </c>
      <c r="K15" s="4"/>
    </row>
    <row r="16" spans="1:14" x14ac:dyDescent="0.35">
      <c r="A16" s="2" t="s">
        <v>59</v>
      </c>
      <c r="B16" s="2" t="s">
        <v>60</v>
      </c>
      <c r="C16" s="2">
        <v>44</v>
      </c>
      <c r="D16" s="2" t="s">
        <v>27</v>
      </c>
      <c r="E16" s="2" t="s">
        <v>13</v>
      </c>
      <c r="F16" s="3">
        <v>45333</v>
      </c>
      <c r="G16" s="3">
        <v>45540</v>
      </c>
      <c r="H16" s="2">
        <v>800</v>
      </c>
      <c r="I16" s="2">
        <v>8</v>
      </c>
      <c r="J16" s="2" t="s">
        <v>23</v>
      </c>
      <c r="K16" s="4"/>
      <c r="M16">
        <v>6</v>
      </c>
      <c r="N16" t="s">
        <v>144</v>
      </c>
    </row>
    <row r="17" spans="1:11" x14ac:dyDescent="0.35">
      <c r="A17" s="2" t="s">
        <v>61</v>
      </c>
      <c r="B17" s="2" t="s">
        <v>62</v>
      </c>
      <c r="C17" s="2">
        <v>39</v>
      </c>
      <c r="D17" s="2" t="s">
        <v>12</v>
      </c>
      <c r="E17" s="2" t="s">
        <v>31</v>
      </c>
      <c r="F17" s="3">
        <v>45702</v>
      </c>
      <c r="G17" s="3">
        <v>45732</v>
      </c>
      <c r="H17" s="2">
        <v>2500</v>
      </c>
      <c r="I17" s="2">
        <v>14</v>
      </c>
      <c r="J17" s="2" t="s">
        <v>42</v>
      </c>
      <c r="K17" s="4"/>
    </row>
    <row r="18" spans="1:11" x14ac:dyDescent="0.35">
      <c r="A18" s="2" t="s">
        <v>63</v>
      </c>
      <c r="B18" s="2" t="s">
        <v>64</v>
      </c>
      <c r="C18" s="2">
        <v>35</v>
      </c>
      <c r="D18" s="2" t="s">
        <v>12</v>
      </c>
      <c r="E18" s="2" t="s">
        <v>22</v>
      </c>
      <c r="F18" s="3">
        <v>45329</v>
      </c>
      <c r="G18" s="3">
        <v>45685</v>
      </c>
      <c r="H18" s="2">
        <v>1200</v>
      </c>
      <c r="I18" s="2">
        <v>25</v>
      </c>
      <c r="J18" s="2" t="s">
        <v>23</v>
      </c>
      <c r="K18" s="4"/>
    </row>
    <row r="19" spans="1:11" x14ac:dyDescent="0.35">
      <c r="A19" s="2" t="s">
        <v>65</v>
      </c>
      <c r="B19" s="2" t="s">
        <v>66</v>
      </c>
      <c r="C19" s="2">
        <v>56</v>
      </c>
      <c r="D19" s="2" t="s">
        <v>27</v>
      </c>
      <c r="E19" s="2" t="s">
        <v>31</v>
      </c>
      <c r="F19" s="3">
        <v>45213</v>
      </c>
      <c r="G19" s="3">
        <v>45649</v>
      </c>
      <c r="H19" s="2">
        <v>2500</v>
      </c>
      <c r="I19" s="2">
        <v>13</v>
      </c>
      <c r="J19" s="2" t="s">
        <v>67</v>
      </c>
      <c r="K19" s="4"/>
    </row>
    <row r="20" spans="1:11" x14ac:dyDescent="0.35">
      <c r="A20" s="2" t="s">
        <v>68</v>
      </c>
      <c r="B20" s="2" t="s">
        <v>69</v>
      </c>
      <c r="C20" s="2">
        <v>27</v>
      </c>
      <c r="D20" s="2" t="s">
        <v>27</v>
      </c>
      <c r="E20" s="2" t="s">
        <v>13</v>
      </c>
      <c r="F20" s="3">
        <v>45354</v>
      </c>
      <c r="G20" s="3">
        <v>45664</v>
      </c>
      <c r="H20" s="2">
        <v>800</v>
      </c>
      <c r="I20" s="2">
        <v>26</v>
      </c>
      <c r="J20" s="2" t="s">
        <v>35</v>
      </c>
      <c r="K20" s="4"/>
    </row>
    <row r="21" spans="1:11" x14ac:dyDescent="0.35">
      <c r="A21" s="2" t="s">
        <v>70</v>
      </c>
      <c r="B21" s="2" t="s">
        <v>71</v>
      </c>
      <c r="C21" s="2">
        <v>28</v>
      </c>
      <c r="D21" s="2" t="s">
        <v>12</v>
      </c>
      <c r="E21" s="2" t="s">
        <v>31</v>
      </c>
      <c r="F21" s="3">
        <v>45417</v>
      </c>
      <c r="G21" s="3">
        <v>45608</v>
      </c>
      <c r="H21" s="2">
        <v>2500</v>
      </c>
      <c r="I21" s="2">
        <v>21</v>
      </c>
      <c r="J21" s="2" t="s">
        <v>35</v>
      </c>
      <c r="K21" s="2" t="s">
        <v>72</v>
      </c>
    </row>
    <row r="22" spans="1:11" x14ac:dyDescent="0.35">
      <c r="A22" s="2" t="s">
        <v>73</v>
      </c>
      <c r="B22" s="2" t="s">
        <v>74</v>
      </c>
      <c r="C22" s="2">
        <v>57</v>
      </c>
      <c r="D22" s="2" t="s">
        <v>27</v>
      </c>
      <c r="E22" s="2" t="s">
        <v>41</v>
      </c>
      <c r="F22" s="3">
        <v>45146</v>
      </c>
      <c r="G22" s="3">
        <v>45674</v>
      </c>
      <c r="H22" s="2">
        <v>1800</v>
      </c>
      <c r="I22" s="2">
        <v>19</v>
      </c>
      <c r="J22" s="2" t="s">
        <v>35</v>
      </c>
      <c r="K22" s="4"/>
    </row>
    <row r="23" spans="1:11" x14ac:dyDescent="0.35">
      <c r="A23" s="2" t="s">
        <v>75</v>
      </c>
      <c r="B23" s="2" t="s">
        <v>76</v>
      </c>
      <c r="C23" s="2">
        <v>26</v>
      </c>
      <c r="D23" s="2" t="s">
        <v>27</v>
      </c>
      <c r="E23" s="2" t="s">
        <v>41</v>
      </c>
      <c r="F23" s="3">
        <v>45320</v>
      </c>
      <c r="G23" s="3">
        <v>45616</v>
      </c>
      <c r="H23" s="2">
        <v>1800</v>
      </c>
      <c r="I23" s="2">
        <v>5</v>
      </c>
      <c r="J23" s="2" t="s">
        <v>14</v>
      </c>
      <c r="K23" s="4"/>
    </row>
    <row r="24" spans="1:11" x14ac:dyDescent="0.35">
      <c r="A24" s="2" t="s">
        <v>77</v>
      </c>
      <c r="B24" s="2" t="s">
        <v>78</v>
      </c>
      <c r="C24" s="2">
        <v>48</v>
      </c>
      <c r="D24" s="2" t="s">
        <v>12</v>
      </c>
      <c r="E24" s="2" t="s">
        <v>41</v>
      </c>
      <c r="F24" s="3">
        <v>45451</v>
      </c>
      <c r="G24" s="3">
        <v>45455</v>
      </c>
      <c r="H24" s="2">
        <v>1800</v>
      </c>
      <c r="I24" s="2">
        <v>18</v>
      </c>
      <c r="J24" s="2" t="s">
        <v>67</v>
      </c>
      <c r="K24" s="4"/>
    </row>
    <row r="25" spans="1:11" x14ac:dyDescent="0.35">
      <c r="A25" s="2" t="s">
        <v>79</v>
      </c>
      <c r="B25" s="2" t="s">
        <v>80</v>
      </c>
      <c r="C25" s="2">
        <v>25</v>
      </c>
      <c r="D25" s="2" t="s">
        <v>27</v>
      </c>
      <c r="E25" s="2" t="s">
        <v>22</v>
      </c>
      <c r="F25" s="3">
        <v>45439</v>
      </c>
      <c r="G25" s="3">
        <v>45730</v>
      </c>
      <c r="H25" s="2">
        <v>1200</v>
      </c>
      <c r="I25" s="2">
        <v>6</v>
      </c>
      <c r="J25" s="2" t="s">
        <v>14</v>
      </c>
      <c r="K25" s="4"/>
    </row>
    <row r="26" spans="1:11" x14ac:dyDescent="0.35">
      <c r="A26" s="2" t="s">
        <v>81</v>
      </c>
      <c r="B26" s="2" t="s">
        <v>82</v>
      </c>
      <c r="C26" s="2">
        <v>53</v>
      </c>
      <c r="D26" s="2" t="s">
        <v>12</v>
      </c>
      <c r="E26" s="2" t="s">
        <v>41</v>
      </c>
      <c r="F26" s="3">
        <v>45286</v>
      </c>
      <c r="G26" s="3">
        <v>45372</v>
      </c>
      <c r="H26" s="2">
        <v>1800</v>
      </c>
      <c r="I26" s="2">
        <v>17</v>
      </c>
      <c r="J26" s="2" t="s">
        <v>35</v>
      </c>
      <c r="K26" s="2" t="s">
        <v>83</v>
      </c>
    </row>
    <row r="27" spans="1:11" x14ac:dyDescent="0.35">
      <c r="A27" s="2" t="s">
        <v>84</v>
      </c>
      <c r="B27" s="2" t="s">
        <v>85</v>
      </c>
      <c r="C27" s="2">
        <v>42</v>
      </c>
      <c r="D27" s="2" t="s">
        <v>27</v>
      </c>
      <c r="E27" s="2" t="s">
        <v>22</v>
      </c>
      <c r="F27" s="3">
        <v>45702</v>
      </c>
      <c r="G27" s="3">
        <v>45727</v>
      </c>
      <c r="H27" s="2">
        <v>1200</v>
      </c>
      <c r="I27" s="2">
        <v>3</v>
      </c>
      <c r="J27" s="2" t="s">
        <v>67</v>
      </c>
      <c r="K27" s="4"/>
    </row>
    <row r="28" spans="1:11" x14ac:dyDescent="0.35">
      <c r="A28" s="2" t="s">
        <v>86</v>
      </c>
      <c r="B28" s="2" t="s">
        <v>87</v>
      </c>
      <c r="C28" s="2">
        <v>24</v>
      </c>
      <c r="D28" s="2" t="s">
        <v>12</v>
      </c>
      <c r="E28" s="2" t="s">
        <v>31</v>
      </c>
      <c r="F28" s="3">
        <v>45698</v>
      </c>
      <c r="G28" s="3">
        <v>45726</v>
      </c>
      <c r="H28" s="2">
        <v>2500</v>
      </c>
      <c r="I28" s="2">
        <v>28</v>
      </c>
      <c r="J28" s="2" t="s">
        <v>35</v>
      </c>
      <c r="K28" s="4"/>
    </row>
    <row r="29" spans="1:11" x14ac:dyDescent="0.35">
      <c r="A29" s="2" t="s">
        <v>88</v>
      </c>
      <c r="B29" s="2" t="s">
        <v>89</v>
      </c>
      <c r="C29" s="2">
        <v>53</v>
      </c>
      <c r="D29" s="2" t="s">
        <v>12</v>
      </c>
      <c r="E29" s="2" t="s">
        <v>22</v>
      </c>
      <c r="F29" s="3">
        <v>45614</v>
      </c>
      <c r="G29" s="3">
        <v>45645</v>
      </c>
      <c r="H29" s="2">
        <v>1200</v>
      </c>
      <c r="I29" s="2">
        <v>23</v>
      </c>
      <c r="J29" s="2" t="s">
        <v>18</v>
      </c>
      <c r="K29" s="4"/>
    </row>
    <row r="30" spans="1:11" x14ac:dyDescent="0.35">
      <c r="A30" s="2" t="s">
        <v>90</v>
      </c>
      <c r="B30" s="2" t="s">
        <v>91</v>
      </c>
      <c r="C30" s="2">
        <v>29</v>
      </c>
      <c r="D30" s="2" t="s">
        <v>27</v>
      </c>
      <c r="E30" s="2" t="s">
        <v>31</v>
      </c>
      <c r="F30" s="3">
        <v>45401</v>
      </c>
      <c r="G30" s="3">
        <v>45408</v>
      </c>
      <c r="H30" s="2">
        <v>2500</v>
      </c>
      <c r="I30" s="2">
        <v>8</v>
      </c>
      <c r="J30" s="2" t="s">
        <v>23</v>
      </c>
      <c r="K30" s="4"/>
    </row>
    <row r="31" spans="1:11" x14ac:dyDescent="0.35">
      <c r="A31" s="2" t="s">
        <v>92</v>
      </c>
      <c r="B31" s="2" t="s">
        <v>93</v>
      </c>
      <c r="C31" s="2">
        <v>31</v>
      </c>
      <c r="D31" s="2" t="s">
        <v>27</v>
      </c>
      <c r="E31" s="2" t="s">
        <v>31</v>
      </c>
      <c r="F31" s="3">
        <v>45667</v>
      </c>
      <c r="G31" s="3">
        <v>45745</v>
      </c>
      <c r="H31" s="2">
        <v>2500</v>
      </c>
      <c r="I31" s="2">
        <v>23</v>
      </c>
      <c r="J31" s="2" t="s">
        <v>42</v>
      </c>
      <c r="K31" s="2" t="s">
        <v>94</v>
      </c>
    </row>
    <row r="32" spans="1:11" x14ac:dyDescent="0.35">
      <c r="A32" s="2" t="s">
        <v>95</v>
      </c>
      <c r="B32" s="2" t="s">
        <v>96</v>
      </c>
      <c r="C32" s="2">
        <v>52</v>
      </c>
      <c r="D32" s="2" t="s">
        <v>27</v>
      </c>
      <c r="E32" s="2" t="s">
        <v>13</v>
      </c>
      <c r="F32" s="3">
        <v>45088</v>
      </c>
      <c r="G32" s="3">
        <v>45656</v>
      </c>
      <c r="H32" s="2">
        <v>800</v>
      </c>
      <c r="I32" s="2">
        <v>9</v>
      </c>
      <c r="J32" s="2" t="s">
        <v>67</v>
      </c>
      <c r="K32" s="2" t="s">
        <v>97</v>
      </c>
    </row>
    <row r="33" spans="1:11" x14ac:dyDescent="0.35">
      <c r="A33" s="2" t="s">
        <v>98</v>
      </c>
      <c r="B33" s="2" t="s">
        <v>99</v>
      </c>
      <c r="C33" s="2">
        <v>20</v>
      </c>
      <c r="D33" s="2" t="s">
        <v>12</v>
      </c>
      <c r="E33" s="2" t="s">
        <v>22</v>
      </c>
      <c r="F33" s="3">
        <v>45391</v>
      </c>
      <c r="G33" s="3">
        <v>45604</v>
      </c>
      <c r="H33" s="2">
        <v>1200</v>
      </c>
      <c r="I33" s="2">
        <v>2</v>
      </c>
      <c r="J33" s="2" t="s">
        <v>35</v>
      </c>
      <c r="K33" s="4"/>
    </row>
    <row r="34" spans="1:11" x14ac:dyDescent="0.35">
      <c r="A34" s="2" t="s">
        <v>100</v>
      </c>
      <c r="B34" s="2" t="s">
        <v>101</v>
      </c>
      <c r="C34" s="2">
        <v>22</v>
      </c>
      <c r="D34" s="2" t="s">
        <v>12</v>
      </c>
      <c r="E34" s="2" t="s">
        <v>13</v>
      </c>
      <c r="F34" s="3">
        <v>45699</v>
      </c>
      <c r="G34" s="3">
        <v>45740</v>
      </c>
      <c r="H34" s="2">
        <v>800</v>
      </c>
      <c r="I34" s="2">
        <v>30</v>
      </c>
      <c r="J34" s="2" t="s">
        <v>35</v>
      </c>
      <c r="K34" s="4"/>
    </row>
    <row r="35" spans="1:11" x14ac:dyDescent="0.35">
      <c r="A35" s="2" t="s">
        <v>102</v>
      </c>
      <c r="B35" s="2" t="s">
        <v>103</v>
      </c>
      <c r="C35" s="2">
        <v>23</v>
      </c>
      <c r="D35" s="2" t="s">
        <v>12</v>
      </c>
      <c r="E35" s="2" t="s">
        <v>41</v>
      </c>
      <c r="F35" s="3">
        <v>45588</v>
      </c>
      <c r="G35" s="3">
        <v>45721</v>
      </c>
      <c r="H35" s="2">
        <v>1800</v>
      </c>
      <c r="I35" s="2">
        <v>23</v>
      </c>
      <c r="J35" s="2" t="s">
        <v>18</v>
      </c>
      <c r="K35" s="2" t="s">
        <v>104</v>
      </c>
    </row>
    <row r="36" spans="1:11" x14ac:dyDescent="0.35">
      <c r="A36" s="2" t="s">
        <v>105</v>
      </c>
      <c r="B36" s="2" t="s">
        <v>106</v>
      </c>
      <c r="C36" s="2">
        <v>27</v>
      </c>
      <c r="D36" s="2" t="s">
        <v>27</v>
      </c>
      <c r="E36" s="2" t="s">
        <v>22</v>
      </c>
      <c r="F36" s="3">
        <v>45312</v>
      </c>
      <c r="G36" s="3">
        <v>45652</v>
      </c>
      <c r="H36" s="2">
        <v>1200</v>
      </c>
      <c r="I36" s="2">
        <v>27</v>
      </c>
      <c r="J36" s="2" t="s">
        <v>18</v>
      </c>
      <c r="K36" s="4"/>
    </row>
  </sheetData>
  <mergeCells count="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3DF6-F37F-4EAB-88E5-F2CDC1874820}">
  <dimension ref="A1:M36"/>
  <sheetViews>
    <sheetView topLeftCell="K18" workbookViewId="0">
      <selection sqref="A1:M36"/>
    </sheetView>
  </sheetViews>
  <sheetFormatPr defaultRowHeight="14.5" x14ac:dyDescent="0.35"/>
  <cols>
    <col min="1" max="1" width="15.81640625" bestFit="1" customWidth="1"/>
    <col min="2" max="2" width="15.1796875" bestFit="1" customWidth="1"/>
    <col min="3" max="3" width="8.453125" bestFit="1" customWidth="1"/>
    <col min="4" max="4" width="11.54296875" bestFit="1" customWidth="1"/>
    <col min="5" max="5" width="21.08984375" bestFit="1" customWidth="1"/>
    <col min="6" max="6" width="14.453125" bestFit="1" customWidth="1"/>
    <col min="7" max="7" width="13.54296875" bestFit="1" customWidth="1"/>
    <col min="8" max="8" width="16.36328125" bestFit="1" customWidth="1"/>
    <col min="9" max="9" width="15.08984375" bestFit="1" customWidth="1"/>
    <col min="10" max="10" width="10" bestFit="1" customWidth="1"/>
    <col min="11" max="11" width="18" bestFit="1" customWidth="1"/>
    <col min="12" max="12" width="18" customWidth="1"/>
    <col min="13" max="13" width="34.90625" customWidth="1"/>
  </cols>
  <sheetData>
    <row r="1" spans="1:13" x14ac:dyDescent="0.35">
      <c r="A1" s="8" t="s">
        <v>107</v>
      </c>
      <c r="B1" s="9" t="s">
        <v>0</v>
      </c>
      <c r="C1" s="9" t="s">
        <v>1</v>
      </c>
      <c r="D1" s="9" t="s">
        <v>2</v>
      </c>
      <c r="E1" s="9" t="s">
        <v>3</v>
      </c>
      <c r="F1" s="9" t="s">
        <v>4</v>
      </c>
      <c r="G1" s="9" t="s">
        <v>5</v>
      </c>
      <c r="H1" s="9" t="s">
        <v>6</v>
      </c>
      <c r="I1" s="9" t="s">
        <v>7</v>
      </c>
      <c r="J1" s="9" t="s">
        <v>8</v>
      </c>
      <c r="K1" s="10" t="s">
        <v>9</v>
      </c>
      <c r="L1" s="24" t="s">
        <v>111</v>
      </c>
      <c r="M1" s="25" t="s">
        <v>112</v>
      </c>
    </row>
    <row r="2" spans="1:13" x14ac:dyDescent="0.35">
      <c r="A2" s="5" t="s">
        <v>10</v>
      </c>
      <c r="B2" s="2" t="s">
        <v>11</v>
      </c>
      <c r="C2" s="2">
        <v>59</v>
      </c>
      <c r="D2" s="2" t="s">
        <v>12</v>
      </c>
      <c r="E2" s="2" t="s">
        <v>13</v>
      </c>
      <c r="F2" s="3">
        <v>45235</v>
      </c>
      <c r="G2" s="3">
        <v>45425</v>
      </c>
      <c r="H2" s="2">
        <v>800</v>
      </c>
      <c r="I2" s="2">
        <v>25</v>
      </c>
      <c r="J2" s="2" t="s">
        <v>14</v>
      </c>
      <c r="K2" s="6" t="s">
        <v>15</v>
      </c>
      <c r="L2" s="18">
        <f>Table1[[#This Row],[End_Date]]-Table1[[#This Row],[Start_Date]]</f>
        <v>190</v>
      </c>
      <c r="M2" s="21">
        <f>Table1[[#This Row],[Total Days]]/30</f>
        <v>6.333333333333333</v>
      </c>
    </row>
    <row r="3" spans="1:13" x14ac:dyDescent="0.35">
      <c r="A3" s="5" t="s">
        <v>16</v>
      </c>
      <c r="B3" s="2" t="s">
        <v>17</v>
      </c>
      <c r="C3" s="2">
        <v>27</v>
      </c>
      <c r="D3" s="2" t="s">
        <v>12</v>
      </c>
      <c r="E3" s="2" t="s">
        <v>13</v>
      </c>
      <c r="F3" s="3">
        <v>45714</v>
      </c>
      <c r="G3" s="3">
        <v>45740</v>
      </c>
      <c r="H3" s="2">
        <v>800</v>
      </c>
      <c r="I3" s="2">
        <v>20</v>
      </c>
      <c r="J3" s="2" t="s">
        <v>18</v>
      </c>
      <c r="K3" s="6" t="s">
        <v>19</v>
      </c>
      <c r="L3" s="19">
        <f>Table1[[#This Row],[End_Date]]-Table1[[#This Row],[Start_Date]]</f>
        <v>26</v>
      </c>
      <c r="M3" s="22">
        <f>Table1[[#This Row],[Total Days]]/30</f>
        <v>0.8666666666666667</v>
      </c>
    </row>
    <row r="4" spans="1:13" x14ac:dyDescent="0.35">
      <c r="A4" s="5" t="s">
        <v>20</v>
      </c>
      <c r="B4" s="2" t="s">
        <v>21</v>
      </c>
      <c r="C4" s="2">
        <v>24</v>
      </c>
      <c r="D4" s="2" t="s">
        <v>12</v>
      </c>
      <c r="E4" s="2" t="s">
        <v>22</v>
      </c>
      <c r="F4" s="3">
        <v>45191</v>
      </c>
      <c r="G4" s="3">
        <v>45371</v>
      </c>
      <c r="H4" s="2">
        <v>1200</v>
      </c>
      <c r="I4" s="2">
        <v>18</v>
      </c>
      <c r="J4" s="2" t="s">
        <v>23</v>
      </c>
      <c r="K4" s="6" t="s">
        <v>24</v>
      </c>
      <c r="L4" s="19">
        <f>Table1[[#This Row],[End_Date]]-Table1[[#This Row],[Start_Date]]</f>
        <v>180</v>
      </c>
      <c r="M4" s="22">
        <f>Table1[[#This Row],[Total Days]]/30</f>
        <v>6</v>
      </c>
    </row>
    <row r="5" spans="1:13" x14ac:dyDescent="0.35">
      <c r="A5" s="5" t="s">
        <v>25</v>
      </c>
      <c r="B5" s="2" t="s">
        <v>26</v>
      </c>
      <c r="C5" s="2">
        <v>31</v>
      </c>
      <c r="D5" s="2" t="s">
        <v>27</v>
      </c>
      <c r="E5" s="2" t="s">
        <v>22</v>
      </c>
      <c r="F5" s="3">
        <v>45479</v>
      </c>
      <c r="G5" s="3">
        <v>45587</v>
      </c>
      <c r="H5" s="2">
        <v>1200</v>
      </c>
      <c r="I5" s="2">
        <v>16</v>
      </c>
      <c r="J5" s="2" t="s">
        <v>23</v>
      </c>
      <c r="K5" s="6" t="s">
        <v>28</v>
      </c>
      <c r="L5" s="19">
        <f>Table1[[#This Row],[End_Date]]-Table1[[#This Row],[Start_Date]]</f>
        <v>108</v>
      </c>
      <c r="M5" s="22">
        <f>Table1[[#This Row],[Total Days]]/30</f>
        <v>3.6</v>
      </c>
    </row>
    <row r="6" spans="1:13" x14ac:dyDescent="0.35">
      <c r="A6" s="5" t="s">
        <v>29</v>
      </c>
      <c r="B6" s="2" t="s">
        <v>30</v>
      </c>
      <c r="C6" s="2">
        <v>19</v>
      </c>
      <c r="D6" s="2" t="s">
        <v>12</v>
      </c>
      <c r="E6" s="2" t="s">
        <v>31</v>
      </c>
      <c r="F6" s="3">
        <v>45286</v>
      </c>
      <c r="G6" s="3">
        <v>45501</v>
      </c>
      <c r="H6" s="2">
        <v>2500</v>
      </c>
      <c r="I6" s="2">
        <v>12</v>
      </c>
      <c r="J6" s="2" t="s">
        <v>14</v>
      </c>
      <c r="K6" s="6" t="s">
        <v>32</v>
      </c>
      <c r="L6" s="19">
        <f>Table1[[#This Row],[End_Date]]-Table1[[#This Row],[Start_Date]]</f>
        <v>215</v>
      </c>
      <c r="M6" s="22">
        <f>Table1[[#This Row],[Total Days]]/30</f>
        <v>7.166666666666667</v>
      </c>
    </row>
    <row r="7" spans="1:13" x14ac:dyDescent="0.35">
      <c r="A7" s="5" t="s">
        <v>33</v>
      </c>
      <c r="B7" s="2" t="s">
        <v>34</v>
      </c>
      <c r="C7" s="2">
        <v>40</v>
      </c>
      <c r="D7" s="2" t="s">
        <v>12</v>
      </c>
      <c r="E7" s="2" t="s">
        <v>13</v>
      </c>
      <c r="F7" s="3">
        <v>45317</v>
      </c>
      <c r="G7" s="3">
        <v>45392</v>
      </c>
      <c r="H7" s="2">
        <v>800</v>
      </c>
      <c r="I7" s="2">
        <v>14</v>
      </c>
      <c r="J7" s="2" t="s">
        <v>35</v>
      </c>
      <c r="K7" s="6" t="s">
        <v>36</v>
      </c>
      <c r="L7" s="19">
        <f>Table1[[#This Row],[End_Date]]-Table1[[#This Row],[Start_Date]]</f>
        <v>75</v>
      </c>
      <c r="M7" s="22">
        <f>Table1[[#This Row],[Total Days]]/30</f>
        <v>2.5</v>
      </c>
    </row>
    <row r="8" spans="1:13" x14ac:dyDescent="0.35">
      <c r="A8" s="5" t="s">
        <v>37</v>
      </c>
      <c r="B8" s="2" t="s">
        <v>38</v>
      </c>
      <c r="C8" s="2">
        <v>41</v>
      </c>
      <c r="D8" s="2" t="s">
        <v>27</v>
      </c>
      <c r="E8" s="2" t="s">
        <v>13</v>
      </c>
      <c r="F8" s="3">
        <v>45588</v>
      </c>
      <c r="G8" s="3">
        <v>45677</v>
      </c>
      <c r="H8" s="2">
        <v>800</v>
      </c>
      <c r="I8" s="2">
        <v>25</v>
      </c>
      <c r="J8" s="2" t="s">
        <v>18</v>
      </c>
      <c r="K8" s="7"/>
      <c r="L8" s="19">
        <f>Table1[[#This Row],[End_Date]]-Table1[[#This Row],[Start_Date]]</f>
        <v>89</v>
      </c>
      <c r="M8" s="22">
        <f>Table1[[#This Row],[Total Days]]/30</f>
        <v>2.9666666666666668</v>
      </c>
    </row>
    <row r="9" spans="1:13" x14ac:dyDescent="0.35">
      <c r="A9" s="5" t="s">
        <v>39</v>
      </c>
      <c r="B9" s="2" t="s">
        <v>40</v>
      </c>
      <c r="C9" s="2">
        <v>43</v>
      </c>
      <c r="D9" s="2" t="s">
        <v>12</v>
      </c>
      <c r="E9" s="2" t="s">
        <v>41</v>
      </c>
      <c r="F9" s="3">
        <v>45450</v>
      </c>
      <c r="G9" s="3">
        <v>45563</v>
      </c>
      <c r="H9" s="2">
        <v>1800</v>
      </c>
      <c r="I9" s="2">
        <v>28</v>
      </c>
      <c r="J9" s="2" t="s">
        <v>42</v>
      </c>
      <c r="K9" s="7"/>
      <c r="L9" s="19">
        <f>Table1[[#This Row],[End_Date]]-Table1[[#This Row],[Start_Date]]</f>
        <v>113</v>
      </c>
      <c r="M9" s="22">
        <f>Table1[[#This Row],[Total Days]]/30</f>
        <v>3.7666666666666666</v>
      </c>
    </row>
    <row r="10" spans="1:13" x14ac:dyDescent="0.35">
      <c r="A10" s="5" t="s">
        <v>43</v>
      </c>
      <c r="B10" s="2" t="s">
        <v>44</v>
      </c>
      <c r="C10" s="2">
        <v>42</v>
      </c>
      <c r="D10" s="2" t="s">
        <v>12</v>
      </c>
      <c r="E10" s="2" t="s">
        <v>13</v>
      </c>
      <c r="F10" s="3">
        <v>45569</v>
      </c>
      <c r="G10" s="3">
        <v>45582</v>
      </c>
      <c r="H10" s="2">
        <v>800</v>
      </c>
      <c r="I10" s="2">
        <v>3</v>
      </c>
      <c r="J10" s="2" t="s">
        <v>42</v>
      </c>
      <c r="K10" s="6" t="s">
        <v>45</v>
      </c>
      <c r="L10" s="19">
        <f>Table1[[#This Row],[End_Date]]-Table1[[#This Row],[Start_Date]]</f>
        <v>13</v>
      </c>
      <c r="M10" s="22">
        <f>Table1[[#This Row],[Total Days]]/30</f>
        <v>0.43333333333333335</v>
      </c>
    </row>
    <row r="11" spans="1:13" x14ac:dyDescent="0.35">
      <c r="A11" s="5" t="s">
        <v>46</v>
      </c>
      <c r="B11" s="2" t="s">
        <v>47</v>
      </c>
      <c r="C11" s="2">
        <v>37</v>
      </c>
      <c r="D11" s="2" t="s">
        <v>12</v>
      </c>
      <c r="E11" s="2" t="s">
        <v>22</v>
      </c>
      <c r="F11" s="3">
        <v>45202</v>
      </c>
      <c r="G11" s="3">
        <v>45280</v>
      </c>
      <c r="H11" s="2">
        <v>1200</v>
      </c>
      <c r="I11" s="2">
        <v>29</v>
      </c>
      <c r="J11" s="2" t="s">
        <v>35</v>
      </c>
      <c r="K11" s="6" t="s">
        <v>48</v>
      </c>
      <c r="L11" s="19">
        <f>Table1[[#This Row],[End_Date]]-Table1[[#This Row],[Start_Date]]</f>
        <v>78</v>
      </c>
      <c r="M11" s="22">
        <f>Table1[[#This Row],[Total Days]]/30</f>
        <v>2.6</v>
      </c>
    </row>
    <row r="12" spans="1:13" x14ac:dyDescent="0.35">
      <c r="A12" s="5" t="s">
        <v>49</v>
      </c>
      <c r="B12" s="2" t="s">
        <v>50</v>
      </c>
      <c r="C12" s="2">
        <v>48</v>
      </c>
      <c r="D12" s="2" t="s">
        <v>27</v>
      </c>
      <c r="E12" s="2" t="s">
        <v>22</v>
      </c>
      <c r="F12" s="3">
        <v>45297</v>
      </c>
      <c r="G12" s="3">
        <v>45459</v>
      </c>
      <c r="H12" s="2">
        <v>1200</v>
      </c>
      <c r="I12" s="2">
        <v>13</v>
      </c>
      <c r="J12" s="2" t="s">
        <v>14</v>
      </c>
      <c r="K12" s="6" t="s">
        <v>51</v>
      </c>
      <c r="L12" s="19">
        <f>Table1[[#This Row],[End_Date]]-Table1[[#This Row],[Start_Date]]</f>
        <v>162</v>
      </c>
      <c r="M12" s="22">
        <f>Table1[[#This Row],[Total Days]]/30</f>
        <v>5.4</v>
      </c>
    </row>
    <row r="13" spans="1:13" x14ac:dyDescent="0.35">
      <c r="A13" s="5" t="s">
        <v>52</v>
      </c>
      <c r="B13" s="2" t="s">
        <v>53</v>
      </c>
      <c r="C13" s="2">
        <v>36</v>
      </c>
      <c r="D13" s="2" t="s">
        <v>12</v>
      </c>
      <c r="E13" s="2" t="s">
        <v>22</v>
      </c>
      <c r="F13" s="3">
        <v>45154</v>
      </c>
      <c r="G13" s="3">
        <v>45568</v>
      </c>
      <c r="H13" s="2">
        <v>1200</v>
      </c>
      <c r="I13" s="2">
        <v>19</v>
      </c>
      <c r="J13" s="2" t="s">
        <v>42</v>
      </c>
      <c r="K13" s="6" t="s">
        <v>54</v>
      </c>
      <c r="L13" s="19">
        <f>Table1[[#This Row],[End_Date]]-Table1[[#This Row],[Start_Date]]</f>
        <v>414</v>
      </c>
      <c r="M13" s="22">
        <f>Table1[[#This Row],[Total Days]]/30</f>
        <v>13.8</v>
      </c>
    </row>
    <row r="14" spans="1:13" x14ac:dyDescent="0.35">
      <c r="A14" s="5" t="s">
        <v>55</v>
      </c>
      <c r="B14" s="2" t="s">
        <v>56</v>
      </c>
      <c r="C14" s="2">
        <v>48</v>
      </c>
      <c r="D14" s="2" t="s">
        <v>27</v>
      </c>
      <c r="E14" s="2" t="s">
        <v>41</v>
      </c>
      <c r="F14" s="3">
        <v>45556</v>
      </c>
      <c r="G14" s="3">
        <v>45641</v>
      </c>
      <c r="H14" s="2">
        <v>1800</v>
      </c>
      <c r="I14" s="2">
        <v>22</v>
      </c>
      <c r="J14" s="2" t="s">
        <v>42</v>
      </c>
      <c r="K14" s="7"/>
      <c r="L14" s="19">
        <f>Table1[[#This Row],[End_Date]]-Table1[[#This Row],[Start_Date]]</f>
        <v>85</v>
      </c>
      <c r="M14" s="22">
        <f>Table1[[#This Row],[Total Days]]/30</f>
        <v>2.8333333333333335</v>
      </c>
    </row>
    <row r="15" spans="1:13" x14ac:dyDescent="0.35">
      <c r="A15" s="5" t="s">
        <v>57</v>
      </c>
      <c r="B15" s="2" t="s">
        <v>58</v>
      </c>
      <c r="C15" s="2">
        <v>39</v>
      </c>
      <c r="D15" s="2" t="s">
        <v>12</v>
      </c>
      <c r="E15" s="2" t="s">
        <v>22</v>
      </c>
      <c r="F15" s="3">
        <v>45065</v>
      </c>
      <c r="G15" s="3">
        <v>45242</v>
      </c>
      <c r="H15" s="2">
        <v>1200</v>
      </c>
      <c r="I15" s="2">
        <v>28</v>
      </c>
      <c r="J15" s="2" t="s">
        <v>35</v>
      </c>
      <c r="K15" s="7"/>
      <c r="L15" s="19">
        <f>Table1[[#This Row],[End_Date]]-Table1[[#This Row],[Start_Date]]</f>
        <v>177</v>
      </c>
      <c r="M15" s="22">
        <f>Table1[[#This Row],[Total Days]]/30</f>
        <v>5.9</v>
      </c>
    </row>
    <row r="16" spans="1:13" x14ac:dyDescent="0.35">
      <c r="A16" s="5" t="s">
        <v>59</v>
      </c>
      <c r="B16" s="2" t="s">
        <v>60</v>
      </c>
      <c r="C16" s="2">
        <v>44</v>
      </c>
      <c r="D16" s="2" t="s">
        <v>27</v>
      </c>
      <c r="E16" s="2" t="s">
        <v>13</v>
      </c>
      <c r="F16" s="3">
        <v>45333</v>
      </c>
      <c r="G16" s="3">
        <v>45540</v>
      </c>
      <c r="H16" s="2">
        <v>800</v>
      </c>
      <c r="I16" s="2">
        <v>8</v>
      </c>
      <c r="J16" s="2" t="s">
        <v>23</v>
      </c>
      <c r="K16" s="7"/>
      <c r="L16" s="19">
        <f>Table1[[#This Row],[End_Date]]-Table1[[#This Row],[Start_Date]]</f>
        <v>207</v>
      </c>
      <c r="M16" s="22">
        <f>Table1[[#This Row],[Total Days]]/30</f>
        <v>6.9</v>
      </c>
    </row>
    <row r="17" spans="1:13" x14ac:dyDescent="0.35">
      <c r="A17" s="5" t="s">
        <v>61</v>
      </c>
      <c r="B17" s="2" t="s">
        <v>62</v>
      </c>
      <c r="C17" s="2">
        <v>39</v>
      </c>
      <c r="D17" s="2" t="s">
        <v>12</v>
      </c>
      <c r="E17" s="2" t="s">
        <v>31</v>
      </c>
      <c r="F17" s="3">
        <v>45702</v>
      </c>
      <c r="G17" s="3">
        <v>45732</v>
      </c>
      <c r="H17" s="2">
        <v>2500</v>
      </c>
      <c r="I17" s="2">
        <v>14</v>
      </c>
      <c r="J17" s="2" t="s">
        <v>42</v>
      </c>
      <c r="K17" s="7"/>
      <c r="L17" s="19">
        <f>Table1[[#This Row],[End_Date]]-Table1[[#This Row],[Start_Date]]</f>
        <v>30</v>
      </c>
      <c r="M17" s="22">
        <f>Table1[[#This Row],[Total Days]]/30</f>
        <v>1</v>
      </c>
    </row>
    <row r="18" spans="1:13" x14ac:dyDescent="0.35">
      <c r="A18" s="5" t="s">
        <v>63</v>
      </c>
      <c r="B18" s="2" t="s">
        <v>64</v>
      </c>
      <c r="C18" s="2">
        <v>35</v>
      </c>
      <c r="D18" s="2" t="s">
        <v>12</v>
      </c>
      <c r="E18" s="2" t="s">
        <v>22</v>
      </c>
      <c r="F18" s="3">
        <v>45329</v>
      </c>
      <c r="G18" s="3">
        <v>45685</v>
      </c>
      <c r="H18" s="2">
        <v>1200</v>
      </c>
      <c r="I18" s="2">
        <v>25</v>
      </c>
      <c r="J18" s="2" t="s">
        <v>23</v>
      </c>
      <c r="K18" s="7"/>
      <c r="L18" s="19">
        <f>Table1[[#This Row],[End_Date]]-Table1[[#This Row],[Start_Date]]</f>
        <v>356</v>
      </c>
      <c r="M18" s="22">
        <f>Table1[[#This Row],[Total Days]]/30</f>
        <v>11.866666666666667</v>
      </c>
    </row>
    <row r="19" spans="1:13" x14ac:dyDescent="0.35">
      <c r="A19" s="5" t="s">
        <v>65</v>
      </c>
      <c r="B19" s="2" t="s">
        <v>66</v>
      </c>
      <c r="C19" s="2">
        <v>56</v>
      </c>
      <c r="D19" s="2" t="s">
        <v>27</v>
      </c>
      <c r="E19" s="2" t="s">
        <v>31</v>
      </c>
      <c r="F19" s="3">
        <v>45213</v>
      </c>
      <c r="G19" s="3">
        <v>45649</v>
      </c>
      <c r="H19" s="2">
        <v>2500</v>
      </c>
      <c r="I19" s="2">
        <v>13</v>
      </c>
      <c r="J19" s="2" t="s">
        <v>67</v>
      </c>
      <c r="K19" s="7"/>
      <c r="L19" s="19">
        <f>Table1[[#This Row],[End_Date]]-Table1[[#This Row],[Start_Date]]</f>
        <v>436</v>
      </c>
      <c r="M19" s="22">
        <f>Table1[[#This Row],[Total Days]]/30</f>
        <v>14.533333333333333</v>
      </c>
    </row>
    <row r="20" spans="1:13" x14ac:dyDescent="0.35">
      <c r="A20" s="5" t="s">
        <v>68</v>
      </c>
      <c r="B20" s="2" t="s">
        <v>69</v>
      </c>
      <c r="C20" s="2">
        <v>27</v>
      </c>
      <c r="D20" s="2" t="s">
        <v>27</v>
      </c>
      <c r="E20" s="2" t="s">
        <v>13</v>
      </c>
      <c r="F20" s="3">
        <v>45354</v>
      </c>
      <c r="G20" s="3">
        <v>45664</v>
      </c>
      <c r="H20" s="2">
        <v>800</v>
      </c>
      <c r="I20" s="2">
        <v>26</v>
      </c>
      <c r="J20" s="2" t="s">
        <v>35</v>
      </c>
      <c r="K20" s="7"/>
      <c r="L20" s="19">
        <f>Table1[[#This Row],[End_Date]]-Table1[[#This Row],[Start_Date]]</f>
        <v>310</v>
      </c>
      <c r="M20" s="22">
        <f>Table1[[#This Row],[Total Days]]/30</f>
        <v>10.333333333333334</v>
      </c>
    </row>
    <row r="21" spans="1:13" x14ac:dyDescent="0.35">
      <c r="A21" s="5" t="s">
        <v>70</v>
      </c>
      <c r="B21" s="2" t="s">
        <v>71</v>
      </c>
      <c r="C21" s="2">
        <v>28</v>
      </c>
      <c r="D21" s="2" t="s">
        <v>12</v>
      </c>
      <c r="E21" s="2" t="s">
        <v>31</v>
      </c>
      <c r="F21" s="3">
        <v>45417</v>
      </c>
      <c r="G21" s="3">
        <v>45608</v>
      </c>
      <c r="H21" s="2">
        <v>2500</v>
      </c>
      <c r="I21" s="2">
        <v>21</v>
      </c>
      <c r="J21" s="2" t="s">
        <v>35</v>
      </c>
      <c r="K21" s="6" t="s">
        <v>72</v>
      </c>
      <c r="L21" s="19">
        <f>Table1[[#This Row],[End_Date]]-Table1[[#This Row],[Start_Date]]</f>
        <v>191</v>
      </c>
      <c r="M21" s="22">
        <f>Table1[[#This Row],[Total Days]]/30</f>
        <v>6.3666666666666663</v>
      </c>
    </row>
    <row r="22" spans="1:13" x14ac:dyDescent="0.35">
      <c r="A22" s="5" t="s">
        <v>73</v>
      </c>
      <c r="B22" s="2" t="s">
        <v>74</v>
      </c>
      <c r="C22" s="2">
        <v>57</v>
      </c>
      <c r="D22" s="2" t="s">
        <v>27</v>
      </c>
      <c r="E22" s="2" t="s">
        <v>41</v>
      </c>
      <c r="F22" s="3">
        <v>45146</v>
      </c>
      <c r="G22" s="3">
        <v>45674</v>
      </c>
      <c r="H22" s="2">
        <v>1800</v>
      </c>
      <c r="I22" s="2">
        <v>19</v>
      </c>
      <c r="J22" s="2" t="s">
        <v>35</v>
      </c>
      <c r="K22" s="7"/>
      <c r="L22" s="19">
        <f>Table1[[#This Row],[End_Date]]-Table1[[#This Row],[Start_Date]]</f>
        <v>528</v>
      </c>
      <c r="M22" s="22">
        <f>Table1[[#This Row],[Total Days]]/30</f>
        <v>17.600000000000001</v>
      </c>
    </row>
    <row r="23" spans="1:13" x14ac:dyDescent="0.35">
      <c r="A23" s="5" t="s">
        <v>75</v>
      </c>
      <c r="B23" s="2" t="s">
        <v>76</v>
      </c>
      <c r="C23" s="2">
        <v>26</v>
      </c>
      <c r="D23" s="2" t="s">
        <v>27</v>
      </c>
      <c r="E23" s="2" t="s">
        <v>41</v>
      </c>
      <c r="F23" s="3">
        <v>45320</v>
      </c>
      <c r="G23" s="3">
        <v>45616</v>
      </c>
      <c r="H23" s="2">
        <v>1800</v>
      </c>
      <c r="I23" s="2">
        <v>5</v>
      </c>
      <c r="J23" s="2" t="s">
        <v>14</v>
      </c>
      <c r="K23" s="7"/>
      <c r="L23" s="19">
        <f>Table1[[#This Row],[End_Date]]-Table1[[#This Row],[Start_Date]]</f>
        <v>296</v>
      </c>
      <c r="M23" s="22">
        <f>Table1[[#This Row],[Total Days]]/30</f>
        <v>9.8666666666666671</v>
      </c>
    </row>
    <row r="24" spans="1:13" x14ac:dyDescent="0.35">
      <c r="A24" s="5" t="s">
        <v>77</v>
      </c>
      <c r="B24" s="2" t="s">
        <v>78</v>
      </c>
      <c r="C24" s="2">
        <v>48</v>
      </c>
      <c r="D24" s="2" t="s">
        <v>12</v>
      </c>
      <c r="E24" s="2" t="s">
        <v>41</v>
      </c>
      <c r="F24" s="3">
        <v>45451</v>
      </c>
      <c r="G24" s="3">
        <v>45455</v>
      </c>
      <c r="H24" s="2">
        <v>1800</v>
      </c>
      <c r="I24" s="2">
        <v>18</v>
      </c>
      <c r="J24" s="2" t="s">
        <v>67</v>
      </c>
      <c r="K24" s="7"/>
      <c r="L24" s="19">
        <f>Table1[[#This Row],[End_Date]]-Table1[[#This Row],[Start_Date]]</f>
        <v>4</v>
      </c>
      <c r="M24" s="22">
        <f>Table1[[#This Row],[Total Days]]/30</f>
        <v>0.13333333333333333</v>
      </c>
    </row>
    <row r="25" spans="1:13" x14ac:dyDescent="0.35">
      <c r="A25" s="5" t="s">
        <v>79</v>
      </c>
      <c r="B25" s="2" t="s">
        <v>80</v>
      </c>
      <c r="C25" s="2">
        <v>25</v>
      </c>
      <c r="D25" s="2" t="s">
        <v>27</v>
      </c>
      <c r="E25" s="2" t="s">
        <v>22</v>
      </c>
      <c r="F25" s="3">
        <v>45439</v>
      </c>
      <c r="G25" s="3">
        <v>45730</v>
      </c>
      <c r="H25" s="2">
        <v>1200</v>
      </c>
      <c r="I25" s="2">
        <v>6</v>
      </c>
      <c r="J25" s="2" t="s">
        <v>14</v>
      </c>
      <c r="K25" s="7"/>
      <c r="L25" s="19">
        <f>Table1[[#This Row],[End_Date]]-Table1[[#This Row],[Start_Date]]</f>
        <v>291</v>
      </c>
      <c r="M25" s="22">
        <f>Table1[[#This Row],[Total Days]]/30</f>
        <v>9.6999999999999993</v>
      </c>
    </row>
    <row r="26" spans="1:13" x14ac:dyDescent="0.35">
      <c r="A26" s="5" t="s">
        <v>81</v>
      </c>
      <c r="B26" s="2" t="s">
        <v>82</v>
      </c>
      <c r="C26" s="2">
        <v>53</v>
      </c>
      <c r="D26" s="2" t="s">
        <v>12</v>
      </c>
      <c r="E26" s="2" t="s">
        <v>41</v>
      </c>
      <c r="F26" s="3">
        <v>45286</v>
      </c>
      <c r="G26" s="3">
        <v>45372</v>
      </c>
      <c r="H26" s="2">
        <v>1800</v>
      </c>
      <c r="I26" s="2">
        <v>17</v>
      </c>
      <c r="J26" s="2" t="s">
        <v>35</v>
      </c>
      <c r="K26" s="6" t="s">
        <v>83</v>
      </c>
      <c r="L26" s="19">
        <f>Table1[[#This Row],[End_Date]]-Table1[[#This Row],[Start_Date]]</f>
        <v>86</v>
      </c>
      <c r="M26" s="22">
        <f>Table1[[#This Row],[Total Days]]/30</f>
        <v>2.8666666666666667</v>
      </c>
    </row>
    <row r="27" spans="1:13" x14ac:dyDescent="0.35">
      <c r="A27" s="5" t="s">
        <v>84</v>
      </c>
      <c r="B27" s="2" t="s">
        <v>85</v>
      </c>
      <c r="C27" s="2">
        <v>42</v>
      </c>
      <c r="D27" s="2" t="s">
        <v>27</v>
      </c>
      <c r="E27" s="2" t="s">
        <v>22</v>
      </c>
      <c r="F27" s="3">
        <v>45702</v>
      </c>
      <c r="G27" s="3">
        <v>45727</v>
      </c>
      <c r="H27" s="2">
        <v>1200</v>
      </c>
      <c r="I27" s="2">
        <v>3</v>
      </c>
      <c r="J27" s="2" t="s">
        <v>67</v>
      </c>
      <c r="K27" s="7"/>
      <c r="L27" s="19">
        <f>Table1[[#This Row],[End_Date]]-Table1[[#This Row],[Start_Date]]</f>
        <v>25</v>
      </c>
      <c r="M27" s="22">
        <f>Table1[[#This Row],[Total Days]]/30</f>
        <v>0.83333333333333337</v>
      </c>
    </row>
    <row r="28" spans="1:13" x14ac:dyDescent="0.35">
      <c r="A28" s="5" t="s">
        <v>86</v>
      </c>
      <c r="B28" s="2" t="s">
        <v>87</v>
      </c>
      <c r="C28" s="2">
        <v>24</v>
      </c>
      <c r="D28" s="2" t="s">
        <v>12</v>
      </c>
      <c r="E28" s="2" t="s">
        <v>31</v>
      </c>
      <c r="F28" s="3">
        <v>45698</v>
      </c>
      <c r="G28" s="3">
        <v>45726</v>
      </c>
      <c r="H28" s="2">
        <v>2500</v>
      </c>
      <c r="I28" s="2">
        <v>28</v>
      </c>
      <c r="J28" s="2" t="s">
        <v>35</v>
      </c>
      <c r="K28" s="7"/>
      <c r="L28" s="19">
        <f>Table1[[#This Row],[End_Date]]-Table1[[#This Row],[Start_Date]]</f>
        <v>28</v>
      </c>
      <c r="M28" s="22">
        <f>Table1[[#This Row],[Total Days]]/30</f>
        <v>0.93333333333333335</v>
      </c>
    </row>
    <row r="29" spans="1:13" x14ac:dyDescent="0.35">
      <c r="A29" s="5" t="s">
        <v>88</v>
      </c>
      <c r="B29" s="2" t="s">
        <v>89</v>
      </c>
      <c r="C29" s="2">
        <v>53</v>
      </c>
      <c r="D29" s="2" t="s">
        <v>12</v>
      </c>
      <c r="E29" s="2" t="s">
        <v>22</v>
      </c>
      <c r="F29" s="3">
        <v>45614</v>
      </c>
      <c r="G29" s="3">
        <v>45645</v>
      </c>
      <c r="H29" s="2">
        <v>1200</v>
      </c>
      <c r="I29" s="2">
        <v>23</v>
      </c>
      <c r="J29" s="2" t="s">
        <v>18</v>
      </c>
      <c r="K29" s="7"/>
      <c r="L29" s="19">
        <f>Table1[[#This Row],[End_Date]]-Table1[[#This Row],[Start_Date]]</f>
        <v>31</v>
      </c>
      <c r="M29" s="22">
        <f>Table1[[#This Row],[Total Days]]/30</f>
        <v>1.0333333333333334</v>
      </c>
    </row>
    <row r="30" spans="1:13" x14ac:dyDescent="0.35">
      <c r="A30" s="5" t="s">
        <v>90</v>
      </c>
      <c r="B30" s="2" t="s">
        <v>91</v>
      </c>
      <c r="C30" s="2">
        <v>29</v>
      </c>
      <c r="D30" s="2" t="s">
        <v>27</v>
      </c>
      <c r="E30" s="2" t="s">
        <v>31</v>
      </c>
      <c r="F30" s="3">
        <v>45401</v>
      </c>
      <c r="G30" s="3">
        <v>45408</v>
      </c>
      <c r="H30" s="2">
        <v>2500</v>
      </c>
      <c r="I30" s="2">
        <v>8</v>
      </c>
      <c r="J30" s="2" t="s">
        <v>23</v>
      </c>
      <c r="K30" s="7"/>
      <c r="L30" s="19">
        <f>Table1[[#This Row],[End_Date]]-Table1[[#This Row],[Start_Date]]</f>
        <v>7</v>
      </c>
      <c r="M30" s="22">
        <f>Table1[[#This Row],[Total Days]]/30</f>
        <v>0.23333333333333334</v>
      </c>
    </row>
    <row r="31" spans="1:13" x14ac:dyDescent="0.35">
      <c r="A31" s="5" t="s">
        <v>92</v>
      </c>
      <c r="B31" s="2" t="s">
        <v>93</v>
      </c>
      <c r="C31" s="2">
        <v>31</v>
      </c>
      <c r="D31" s="2" t="s">
        <v>27</v>
      </c>
      <c r="E31" s="2" t="s">
        <v>31</v>
      </c>
      <c r="F31" s="3">
        <v>45667</v>
      </c>
      <c r="G31" s="3">
        <v>45745</v>
      </c>
      <c r="H31" s="2">
        <v>2500</v>
      </c>
      <c r="I31" s="2">
        <v>23</v>
      </c>
      <c r="J31" s="2" t="s">
        <v>42</v>
      </c>
      <c r="K31" s="6" t="s">
        <v>94</v>
      </c>
      <c r="L31" s="19">
        <f>Table1[[#This Row],[End_Date]]-Table1[[#This Row],[Start_Date]]</f>
        <v>78</v>
      </c>
      <c r="M31" s="22">
        <f>Table1[[#This Row],[Total Days]]/30</f>
        <v>2.6</v>
      </c>
    </row>
    <row r="32" spans="1:13" x14ac:dyDescent="0.35">
      <c r="A32" s="5" t="s">
        <v>95</v>
      </c>
      <c r="B32" s="2" t="s">
        <v>96</v>
      </c>
      <c r="C32" s="2">
        <v>52</v>
      </c>
      <c r="D32" s="2" t="s">
        <v>27</v>
      </c>
      <c r="E32" s="2" t="s">
        <v>13</v>
      </c>
      <c r="F32" s="3">
        <v>45088</v>
      </c>
      <c r="G32" s="3">
        <v>45656</v>
      </c>
      <c r="H32" s="2">
        <v>800</v>
      </c>
      <c r="I32" s="2">
        <v>9</v>
      </c>
      <c r="J32" s="2" t="s">
        <v>67</v>
      </c>
      <c r="K32" s="6" t="s">
        <v>97</v>
      </c>
      <c r="L32" s="19">
        <f>Table1[[#This Row],[End_Date]]-Table1[[#This Row],[Start_Date]]</f>
        <v>568</v>
      </c>
      <c r="M32" s="22">
        <f>Table1[[#This Row],[Total Days]]/30</f>
        <v>18.933333333333334</v>
      </c>
    </row>
    <row r="33" spans="1:13" x14ac:dyDescent="0.35">
      <c r="A33" s="5" t="s">
        <v>98</v>
      </c>
      <c r="B33" s="2" t="s">
        <v>99</v>
      </c>
      <c r="C33" s="2">
        <v>20</v>
      </c>
      <c r="D33" s="2" t="s">
        <v>12</v>
      </c>
      <c r="E33" s="2" t="s">
        <v>22</v>
      </c>
      <c r="F33" s="3">
        <v>45391</v>
      </c>
      <c r="G33" s="3">
        <v>45604</v>
      </c>
      <c r="H33" s="2">
        <v>1200</v>
      </c>
      <c r="I33" s="2">
        <v>2</v>
      </c>
      <c r="J33" s="2" t="s">
        <v>35</v>
      </c>
      <c r="K33" s="7"/>
      <c r="L33" s="19">
        <f>Table1[[#This Row],[End_Date]]-Table1[[#This Row],[Start_Date]]</f>
        <v>213</v>
      </c>
      <c r="M33" s="22">
        <f>Table1[[#This Row],[Total Days]]/30</f>
        <v>7.1</v>
      </c>
    </row>
    <row r="34" spans="1:13" x14ac:dyDescent="0.35">
      <c r="A34" s="5" t="s">
        <v>100</v>
      </c>
      <c r="B34" s="2" t="s">
        <v>101</v>
      </c>
      <c r="C34" s="2">
        <v>22</v>
      </c>
      <c r="D34" s="2" t="s">
        <v>12</v>
      </c>
      <c r="E34" s="2" t="s">
        <v>13</v>
      </c>
      <c r="F34" s="3">
        <v>45699</v>
      </c>
      <c r="G34" s="3">
        <v>45740</v>
      </c>
      <c r="H34" s="2">
        <v>800</v>
      </c>
      <c r="I34" s="2">
        <v>30</v>
      </c>
      <c r="J34" s="2" t="s">
        <v>35</v>
      </c>
      <c r="K34" s="7"/>
      <c r="L34" s="19">
        <f>Table1[[#This Row],[End_Date]]-Table1[[#This Row],[Start_Date]]</f>
        <v>41</v>
      </c>
      <c r="M34" s="22">
        <f>Table1[[#This Row],[Total Days]]/30</f>
        <v>1.3666666666666667</v>
      </c>
    </row>
    <row r="35" spans="1:13" x14ac:dyDescent="0.35">
      <c r="A35" s="5" t="s">
        <v>102</v>
      </c>
      <c r="B35" s="2" t="s">
        <v>103</v>
      </c>
      <c r="C35" s="2">
        <v>23</v>
      </c>
      <c r="D35" s="2" t="s">
        <v>12</v>
      </c>
      <c r="E35" s="2" t="s">
        <v>41</v>
      </c>
      <c r="F35" s="3">
        <v>45588</v>
      </c>
      <c r="G35" s="3">
        <v>45721</v>
      </c>
      <c r="H35" s="2">
        <v>1800</v>
      </c>
      <c r="I35" s="2">
        <v>23</v>
      </c>
      <c r="J35" s="2" t="s">
        <v>18</v>
      </c>
      <c r="K35" s="6" t="s">
        <v>104</v>
      </c>
      <c r="L35" s="19">
        <f>Table1[[#This Row],[End_Date]]-Table1[[#This Row],[Start_Date]]</f>
        <v>133</v>
      </c>
      <c r="M35" s="22">
        <f>Table1[[#This Row],[Total Days]]/30</f>
        <v>4.4333333333333336</v>
      </c>
    </row>
    <row r="36" spans="1:13" x14ac:dyDescent="0.35">
      <c r="A36" s="11" t="s">
        <v>105</v>
      </c>
      <c r="B36" s="12" t="s">
        <v>106</v>
      </c>
      <c r="C36" s="12">
        <v>27</v>
      </c>
      <c r="D36" s="12" t="s">
        <v>27</v>
      </c>
      <c r="E36" s="12" t="s">
        <v>22</v>
      </c>
      <c r="F36" s="13">
        <v>45312</v>
      </c>
      <c r="G36" s="13">
        <v>45652</v>
      </c>
      <c r="H36" s="12">
        <v>1200</v>
      </c>
      <c r="I36" s="12">
        <v>27</v>
      </c>
      <c r="J36" s="12" t="s">
        <v>18</v>
      </c>
      <c r="K36" s="14"/>
      <c r="L36" s="20">
        <f>Table1[[#This Row],[End_Date]]-Table1[[#This Row],[Start_Date]]</f>
        <v>340</v>
      </c>
      <c r="M36" s="23">
        <f>Table1[[#This Row],[Total Days]]/30</f>
        <v>11.333333333333334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1CD65-F0A6-4118-AE5E-5B1AABAB5697}">
  <dimension ref="A1:O36"/>
  <sheetViews>
    <sheetView topLeftCell="B18" workbookViewId="0">
      <selection sqref="A1:L36"/>
    </sheetView>
  </sheetViews>
  <sheetFormatPr defaultRowHeight="14.5" x14ac:dyDescent="0.35"/>
  <cols>
    <col min="1" max="1" width="15.81640625" bestFit="1" customWidth="1"/>
    <col min="2" max="2" width="15.1796875" bestFit="1" customWidth="1"/>
    <col min="3" max="3" width="8.453125" bestFit="1" customWidth="1"/>
    <col min="4" max="4" width="11.54296875" bestFit="1" customWidth="1"/>
    <col min="5" max="5" width="21.08984375" bestFit="1" customWidth="1"/>
    <col min="6" max="6" width="14.453125" bestFit="1" customWidth="1"/>
    <col min="7" max="7" width="13.54296875" bestFit="1" customWidth="1"/>
    <col min="8" max="8" width="16.36328125" bestFit="1" customWidth="1"/>
    <col min="9" max="9" width="15.08984375" bestFit="1" customWidth="1"/>
    <col min="10" max="10" width="10" bestFit="1" customWidth="1"/>
    <col min="11" max="11" width="18" bestFit="1" customWidth="1"/>
    <col min="12" max="12" width="18.453125" bestFit="1" customWidth="1"/>
    <col min="14" max="14" width="11.453125" bestFit="1" customWidth="1"/>
    <col min="15" max="15" width="21.453125" bestFit="1" customWidth="1"/>
  </cols>
  <sheetData>
    <row r="1" spans="1:15" x14ac:dyDescent="0.35">
      <c r="A1" s="31" t="s">
        <v>107</v>
      </c>
      <c r="B1" s="31" t="s">
        <v>0</v>
      </c>
      <c r="C1" s="31" t="s">
        <v>1</v>
      </c>
      <c r="D1" s="31" t="s">
        <v>2</v>
      </c>
      <c r="E1" s="31" t="s">
        <v>3</v>
      </c>
      <c r="F1" s="31" t="s">
        <v>4</v>
      </c>
      <c r="G1" s="31" t="s">
        <v>5</v>
      </c>
      <c r="H1" s="31" t="s">
        <v>6</v>
      </c>
      <c r="I1" s="31" t="s">
        <v>7</v>
      </c>
      <c r="J1" s="31" t="s">
        <v>8</v>
      </c>
      <c r="K1" s="32" t="s">
        <v>9</v>
      </c>
      <c r="L1" s="9" t="s">
        <v>114</v>
      </c>
    </row>
    <row r="2" spans="1:15" x14ac:dyDescent="0.35">
      <c r="A2" s="26" t="s">
        <v>10</v>
      </c>
      <c r="B2" s="26" t="s">
        <v>11</v>
      </c>
      <c r="C2" s="26">
        <v>59</v>
      </c>
      <c r="D2" s="26" t="s">
        <v>12</v>
      </c>
      <c r="E2" s="26" t="s">
        <v>13</v>
      </c>
      <c r="F2" s="27">
        <v>45235</v>
      </c>
      <c r="G2" s="27">
        <v>45425</v>
      </c>
      <c r="H2" s="26">
        <v>800</v>
      </c>
      <c r="I2" s="26">
        <v>25</v>
      </c>
      <c r="J2" s="26" t="s">
        <v>14</v>
      </c>
      <c r="K2" s="28" t="s">
        <v>15</v>
      </c>
      <c r="L2" s="15" t="str">
        <f>IF(ISBLANK(Table13[[#This Row],[Referred_By]]),"No","Yes")</f>
        <v>Yes</v>
      </c>
    </row>
    <row r="3" spans="1:15" x14ac:dyDescent="0.35">
      <c r="A3" s="4" t="s">
        <v>16</v>
      </c>
      <c r="B3" s="4" t="s">
        <v>17</v>
      </c>
      <c r="C3" s="4">
        <v>27</v>
      </c>
      <c r="D3" s="4" t="s">
        <v>12</v>
      </c>
      <c r="E3" s="4" t="s">
        <v>13</v>
      </c>
      <c r="F3" s="3">
        <v>45714</v>
      </c>
      <c r="G3" s="3">
        <v>45740</v>
      </c>
      <c r="H3" s="4">
        <v>800</v>
      </c>
      <c r="I3" s="4">
        <v>20</v>
      </c>
      <c r="J3" s="4" t="s">
        <v>18</v>
      </c>
      <c r="K3" s="7" t="s">
        <v>19</v>
      </c>
      <c r="L3" s="4" t="str">
        <f>IF(ISBLANK(Table13[[#This Row],[Referred_By]]),"No","Yes")</f>
        <v>Yes</v>
      </c>
    </row>
    <row r="4" spans="1:15" x14ac:dyDescent="0.35">
      <c r="A4" s="26" t="s">
        <v>20</v>
      </c>
      <c r="B4" s="26" t="s">
        <v>21</v>
      </c>
      <c r="C4" s="26">
        <v>24</v>
      </c>
      <c r="D4" s="26" t="s">
        <v>12</v>
      </c>
      <c r="E4" s="26" t="s">
        <v>22</v>
      </c>
      <c r="F4" s="27">
        <v>45191</v>
      </c>
      <c r="G4" s="27">
        <v>45371</v>
      </c>
      <c r="H4" s="26">
        <v>1200</v>
      </c>
      <c r="I4" s="26">
        <v>18</v>
      </c>
      <c r="J4" s="26" t="s">
        <v>23</v>
      </c>
      <c r="K4" s="28" t="s">
        <v>24</v>
      </c>
      <c r="L4" s="4" t="str">
        <f>IF(ISBLANK(Table13[[#This Row],[Referred_By]]),"No","Yes")</f>
        <v>Yes</v>
      </c>
    </row>
    <row r="5" spans="1:15" x14ac:dyDescent="0.35">
      <c r="A5" s="4" t="s">
        <v>25</v>
      </c>
      <c r="B5" s="4" t="s">
        <v>26</v>
      </c>
      <c r="C5" s="4">
        <v>31</v>
      </c>
      <c r="D5" s="4" t="s">
        <v>27</v>
      </c>
      <c r="E5" s="4" t="s">
        <v>22</v>
      </c>
      <c r="F5" s="3">
        <v>45479</v>
      </c>
      <c r="G5" s="3">
        <v>45587</v>
      </c>
      <c r="H5" s="4">
        <v>1200</v>
      </c>
      <c r="I5" s="4">
        <v>16</v>
      </c>
      <c r="J5" s="4" t="s">
        <v>23</v>
      </c>
      <c r="K5" s="7" t="s">
        <v>28</v>
      </c>
      <c r="L5" s="4" t="str">
        <f>IF(ISBLANK(Table13[[#This Row],[Referred_By]]),"No","Yes")</f>
        <v>Yes</v>
      </c>
    </row>
    <row r="6" spans="1:15" x14ac:dyDescent="0.35">
      <c r="A6" s="26" t="s">
        <v>29</v>
      </c>
      <c r="B6" s="26" t="s">
        <v>30</v>
      </c>
      <c r="C6" s="26">
        <v>19</v>
      </c>
      <c r="D6" s="26" t="s">
        <v>12</v>
      </c>
      <c r="E6" s="26" t="s">
        <v>31</v>
      </c>
      <c r="F6" s="27">
        <v>45286</v>
      </c>
      <c r="G6" s="27">
        <v>45501</v>
      </c>
      <c r="H6" s="26">
        <v>2500</v>
      </c>
      <c r="I6" s="26">
        <v>12</v>
      </c>
      <c r="J6" s="26" t="s">
        <v>14</v>
      </c>
      <c r="K6" s="28" t="s">
        <v>32</v>
      </c>
      <c r="L6" s="4" t="str">
        <f>IF(ISBLANK(Table13[[#This Row],[Referred_By]]),"No","Yes")</f>
        <v>Yes</v>
      </c>
      <c r="N6" s="35" t="s">
        <v>120</v>
      </c>
      <c r="O6" s="4" t="s">
        <v>118</v>
      </c>
    </row>
    <row r="7" spans="1:15" x14ac:dyDescent="0.35">
      <c r="A7" s="4" t="s">
        <v>33</v>
      </c>
      <c r="B7" s="4" t="s">
        <v>34</v>
      </c>
      <c r="C7" s="4">
        <v>40</v>
      </c>
      <c r="D7" s="4" t="s">
        <v>12</v>
      </c>
      <c r="E7" s="4" t="s">
        <v>13</v>
      </c>
      <c r="F7" s="3">
        <v>45317</v>
      </c>
      <c r="G7" s="3">
        <v>45392</v>
      </c>
      <c r="H7" s="4">
        <v>800</v>
      </c>
      <c r="I7" s="4">
        <v>14</v>
      </c>
      <c r="J7" s="4" t="s">
        <v>35</v>
      </c>
      <c r="K7" s="7" t="s">
        <v>36</v>
      </c>
      <c r="L7" s="4" t="str">
        <f>IF(ISBLANK(Table13[[#This Row],[Referred_By]]),"No","Yes")</f>
        <v>Yes</v>
      </c>
      <c r="N7" s="36" t="s">
        <v>116</v>
      </c>
      <c r="O7" s="17">
        <v>1406.6666666666667</v>
      </c>
    </row>
    <row r="8" spans="1:15" x14ac:dyDescent="0.35">
      <c r="A8" s="26" t="s">
        <v>37</v>
      </c>
      <c r="B8" s="26" t="s">
        <v>38</v>
      </c>
      <c r="C8" s="26">
        <v>41</v>
      </c>
      <c r="D8" s="26" t="s">
        <v>27</v>
      </c>
      <c r="E8" s="26" t="s">
        <v>13</v>
      </c>
      <c r="F8" s="27">
        <v>45588</v>
      </c>
      <c r="G8" s="27">
        <v>45677</v>
      </c>
      <c r="H8" s="26">
        <v>800</v>
      </c>
      <c r="I8" s="26">
        <v>25</v>
      </c>
      <c r="J8" s="26" t="s">
        <v>18</v>
      </c>
      <c r="K8" s="28"/>
      <c r="L8" s="4" t="str">
        <f>IF(ISBLANK(Table13[[#This Row],[Referred_By]]),"No","Yes")</f>
        <v>No</v>
      </c>
      <c r="N8" s="36" t="s">
        <v>115</v>
      </c>
      <c r="O8" s="17">
        <v>1530</v>
      </c>
    </row>
    <row r="9" spans="1:15" x14ac:dyDescent="0.35">
      <c r="A9" s="4" t="s">
        <v>39</v>
      </c>
      <c r="B9" s="4" t="s">
        <v>40</v>
      </c>
      <c r="C9" s="4">
        <v>43</v>
      </c>
      <c r="D9" s="4" t="s">
        <v>12</v>
      </c>
      <c r="E9" s="4" t="s">
        <v>41</v>
      </c>
      <c r="F9" s="3">
        <v>45450</v>
      </c>
      <c r="G9" s="3">
        <v>45563</v>
      </c>
      <c r="H9" s="4">
        <v>1800</v>
      </c>
      <c r="I9" s="4">
        <v>28</v>
      </c>
      <c r="J9" s="4" t="s">
        <v>42</v>
      </c>
      <c r="K9" s="7"/>
      <c r="L9" s="4" t="str">
        <f>IF(ISBLANK(Table13[[#This Row],[Referred_By]]),"No","Yes")</f>
        <v>No</v>
      </c>
    </row>
    <row r="10" spans="1:15" x14ac:dyDescent="0.35">
      <c r="A10" s="26" t="s">
        <v>43</v>
      </c>
      <c r="B10" s="26" t="s">
        <v>44</v>
      </c>
      <c r="C10" s="26">
        <v>42</v>
      </c>
      <c r="D10" s="26" t="s">
        <v>12</v>
      </c>
      <c r="E10" s="26" t="s">
        <v>13</v>
      </c>
      <c r="F10" s="27">
        <v>45569</v>
      </c>
      <c r="G10" s="27">
        <v>45582</v>
      </c>
      <c r="H10" s="26">
        <v>800</v>
      </c>
      <c r="I10" s="26">
        <v>3</v>
      </c>
      <c r="J10" s="26" t="s">
        <v>42</v>
      </c>
      <c r="K10" s="28" t="s">
        <v>45</v>
      </c>
      <c r="L10" s="4" t="str">
        <f>IF(ISBLANK(Table13[[#This Row],[Referred_By]]),"No","Yes")</f>
        <v>Yes</v>
      </c>
    </row>
    <row r="11" spans="1:15" x14ac:dyDescent="0.35">
      <c r="A11" s="4" t="s">
        <v>46</v>
      </c>
      <c r="B11" s="4" t="s">
        <v>47</v>
      </c>
      <c r="C11" s="4">
        <v>37</v>
      </c>
      <c r="D11" s="4" t="s">
        <v>12</v>
      </c>
      <c r="E11" s="4" t="s">
        <v>22</v>
      </c>
      <c r="F11" s="3">
        <v>45202</v>
      </c>
      <c r="G11" s="3">
        <v>45280</v>
      </c>
      <c r="H11" s="4">
        <v>1200</v>
      </c>
      <c r="I11" s="4">
        <v>29</v>
      </c>
      <c r="J11" s="4" t="s">
        <v>35</v>
      </c>
      <c r="K11" s="7" t="s">
        <v>48</v>
      </c>
      <c r="L11" s="4" t="str">
        <f>IF(ISBLANK(Table13[[#This Row],[Referred_By]]),"No","Yes")</f>
        <v>Yes</v>
      </c>
    </row>
    <row r="12" spans="1:15" x14ac:dyDescent="0.35">
      <c r="A12" s="26" t="s">
        <v>49</v>
      </c>
      <c r="B12" s="26" t="s">
        <v>50</v>
      </c>
      <c r="C12" s="26">
        <v>48</v>
      </c>
      <c r="D12" s="26" t="s">
        <v>27</v>
      </c>
      <c r="E12" s="26" t="s">
        <v>22</v>
      </c>
      <c r="F12" s="27">
        <v>45297</v>
      </c>
      <c r="G12" s="27">
        <v>45459</v>
      </c>
      <c r="H12" s="26">
        <v>1200</v>
      </c>
      <c r="I12" s="26">
        <v>13</v>
      </c>
      <c r="J12" s="26" t="s">
        <v>14</v>
      </c>
      <c r="K12" s="28" t="s">
        <v>51</v>
      </c>
      <c r="L12" s="4" t="str">
        <f>IF(ISBLANK(Table13[[#This Row],[Referred_By]]),"No","Yes")</f>
        <v>Yes</v>
      </c>
      <c r="N12" s="52" t="s">
        <v>119</v>
      </c>
      <c r="O12" s="52"/>
    </row>
    <row r="13" spans="1:15" x14ac:dyDescent="0.35">
      <c r="A13" s="4" t="s">
        <v>52</v>
      </c>
      <c r="B13" s="4" t="s">
        <v>53</v>
      </c>
      <c r="C13" s="4">
        <v>36</v>
      </c>
      <c r="D13" s="4" t="s">
        <v>12</v>
      </c>
      <c r="E13" s="4" t="s">
        <v>22</v>
      </c>
      <c r="F13" s="3">
        <v>45154</v>
      </c>
      <c r="G13" s="3">
        <v>45568</v>
      </c>
      <c r="H13" s="4">
        <v>1200</v>
      </c>
      <c r="I13" s="4">
        <v>19</v>
      </c>
      <c r="J13" s="4" t="s">
        <v>42</v>
      </c>
      <c r="K13" s="7" t="s">
        <v>54</v>
      </c>
      <c r="L13" s="4" t="str">
        <f>IF(ISBLANK(Table13[[#This Row],[Referred_By]]),"No","Yes")</f>
        <v>Yes</v>
      </c>
      <c r="N13" s="4" t="s">
        <v>120</v>
      </c>
      <c r="O13" s="17">
        <f>GETPIVOTDATA("Monthly_Fee",$N$6,"Refered Yes/No","Yes")</f>
        <v>1406.6666666666667</v>
      </c>
    </row>
    <row r="14" spans="1:15" x14ac:dyDescent="0.35">
      <c r="A14" s="26" t="s">
        <v>55</v>
      </c>
      <c r="B14" s="26" t="s">
        <v>56</v>
      </c>
      <c r="C14" s="26">
        <v>48</v>
      </c>
      <c r="D14" s="26" t="s">
        <v>27</v>
      </c>
      <c r="E14" s="26" t="s">
        <v>41</v>
      </c>
      <c r="F14" s="27">
        <v>45556</v>
      </c>
      <c r="G14" s="27">
        <v>45641</v>
      </c>
      <c r="H14" s="26">
        <v>1800</v>
      </c>
      <c r="I14" s="26">
        <v>22</v>
      </c>
      <c r="J14" s="26" t="s">
        <v>42</v>
      </c>
      <c r="K14" s="28"/>
      <c r="L14" s="4" t="str">
        <f>IF(ISBLANK(Table13[[#This Row],[Referred_By]]),"No","Yes")</f>
        <v>No</v>
      </c>
      <c r="N14" s="4" t="s">
        <v>121</v>
      </c>
      <c r="O14" s="17">
        <f>GETPIVOTDATA("Monthly_Fee",$N$6,"Refered Yes/No","No")</f>
        <v>1530</v>
      </c>
    </row>
    <row r="15" spans="1:15" x14ac:dyDescent="0.35">
      <c r="A15" s="4" t="s">
        <v>57</v>
      </c>
      <c r="B15" s="4" t="s">
        <v>58</v>
      </c>
      <c r="C15" s="4">
        <v>39</v>
      </c>
      <c r="D15" s="4" t="s">
        <v>12</v>
      </c>
      <c r="E15" s="4" t="s">
        <v>22</v>
      </c>
      <c r="F15" s="3">
        <v>45065</v>
      </c>
      <c r="G15" s="3">
        <v>45242</v>
      </c>
      <c r="H15" s="4">
        <v>1200</v>
      </c>
      <c r="I15" s="4">
        <v>28</v>
      </c>
      <c r="J15" s="4" t="s">
        <v>35</v>
      </c>
      <c r="K15" s="7"/>
      <c r="L15" s="4" t="str">
        <f>IF(ISBLANK(Table13[[#This Row],[Referred_By]]),"No","Yes")</f>
        <v>No</v>
      </c>
    </row>
    <row r="16" spans="1:15" x14ac:dyDescent="0.35">
      <c r="A16" s="26" t="s">
        <v>59</v>
      </c>
      <c r="B16" s="26" t="s">
        <v>60</v>
      </c>
      <c r="C16" s="26">
        <v>44</v>
      </c>
      <c r="D16" s="26" t="s">
        <v>27</v>
      </c>
      <c r="E16" s="26" t="s">
        <v>13</v>
      </c>
      <c r="F16" s="27">
        <v>45333</v>
      </c>
      <c r="G16" s="27">
        <v>45540</v>
      </c>
      <c r="H16" s="26">
        <v>800</v>
      </c>
      <c r="I16" s="26">
        <v>8</v>
      </c>
      <c r="J16" s="26" t="s">
        <v>23</v>
      </c>
      <c r="K16" s="28"/>
      <c r="L16" s="4" t="str">
        <f>IF(ISBLANK(Table13[[#This Row],[Referred_By]]),"No","Yes")</f>
        <v>No</v>
      </c>
    </row>
    <row r="17" spans="1:12" x14ac:dyDescent="0.35">
      <c r="A17" s="4" t="s">
        <v>61</v>
      </c>
      <c r="B17" s="4" t="s">
        <v>62</v>
      </c>
      <c r="C17" s="4">
        <v>39</v>
      </c>
      <c r="D17" s="4" t="s">
        <v>12</v>
      </c>
      <c r="E17" s="4" t="s">
        <v>31</v>
      </c>
      <c r="F17" s="3">
        <v>45702</v>
      </c>
      <c r="G17" s="3">
        <v>45732</v>
      </c>
      <c r="H17" s="4">
        <v>2500</v>
      </c>
      <c r="I17" s="4">
        <v>14</v>
      </c>
      <c r="J17" s="4" t="s">
        <v>42</v>
      </c>
      <c r="K17" s="7"/>
      <c r="L17" s="4" t="str">
        <f>IF(ISBLANK(Table13[[#This Row],[Referred_By]]),"No","Yes")</f>
        <v>No</v>
      </c>
    </row>
    <row r="18" spans="1:12" x14ac:dyDescent="0.35">
      <c r="A18" s="26" t="s">
        <v>63</v>
      </c>
      <c r="B18" s="26" t="s">
        <v>64</v>
      </c>
      <c r="C18" s="26">
        <v>35</v>
      </c>
      <c r="D18" s="26" t="s">
        <v>12</v>
      </c>
      <c r="E18" s="26" t="s">
        <v>22</v>
      </c>
      <c r="F18" s="27">
        <v>45329</v>
      </c>
      <c r="G18" s="27">
        <v>45685</v>
      </c>
      <c r="H18" s="26">
        <v>1200</v>
      </c>
      <c r="I18" s="26">
        <v>25</v>
      </c>
      <c r="J18" s="26" t="s">
        <v>23</v>
      </c>
      <c r="K18" s="28"/>
      <c r="L18" s="4" t="str">
        <f>IF(ISBLANK(Table13[[#This Row],[Referred_By]]),"No","Yes")</f>
        <v>No</v>
      </c>
    </row>
    <row r="19" spans="1:12" x14ac:dyDescent="0.35">
      <c r="A19" s="4" t="s">
        <v>65</v>
      </c>
      <c r="B19" s="4" t="s">
        <v>66</v>
      </c>
      <c r="C19" s="4">
        <v>56</v>
      </c>
      <c r="D19" s="4" t="s">
        <v>27</v>
      </c>
      <c r="E19" s="4" t="s">
        <v>31</v>
      </c>
      <c r="F19" s="3">
        <v>45213</v>
      </c>
      <c r="G19" s="3">
        <v>45649</v>
      </c>
      <c r="H19" s="4">
        <v>2500</v>
      </c>
      <c r="I19" s="4">
        <v>13</v>
      </c>
      <c r="J19" s="4" t="s">
        <v>67</v>
      </c>
      <c r="K19" s="7"/>
      <c r="L19" s="4" t="str">
        <f>IF(ISBLANK(Table13[[#This Row],[Referred_By]]),"No","Yes")</f>
        <v>No</v>
      </c>
    </row>
    <row r="20" spans="1:12" x14ac:dyDescent="0.35">
      <c r="A20" s="26" t="s">
        <v>68</v>
      </c>
      <c r="B20" s="26" t="s">
        <v>69</v>
      </c>
      <c r="C20" s="26">
        <v>27</v>
      </c>
      <c r="D20" s="26" t="s">
        <v>27</v>
      </c>
      <c r="E20" s="26" t="s">
        <v>13</v>
      </c>
      <c r="F20" s="27">
        <v>45354</v>
      </c>
      <c r="G20" s="27">
        <v>45664</v>
      </c>
      <c r="H20" s="26">
        <v>800</v>
      </c>
      <c r="I20" s="26">
        <v>26</v>
      </c>
      <c r="J20" s="26" t="s">
        <v>35</v>
      </c>
      <c r="K20" s="28"/>
      <c r="L20" s="4" t="str">
        <f>IF(ISBLANK(Table13[[#This Row],[Referred_By]]),"No","Yes")</f>
        <v>No</v>
      </c>
    </row>
    <row r="21" spans="1:12" x14ac:dyDescent="0.35">
      <c r="A21" s="4" t="s">
        <v>70</v>
      </c>
      <c r="B21" s="4" t="s">
        <v>71</v>
      </c>
      <c r="C21" s="4">
        <v>28</v>
      </c>
      <c r="D21" s="4" t="s">
        <v>12</v>
      </c>
      <c r="E21" s="4" t="s">
        <v>31</v>
      </c>
      <c r="F21" s="3">
        <v>45417</v>
      </c>
      <c r="G21" s="3">
        <v>45608</v>
      </c>
      <c r="H21" s="4">
        <v>2500</v>
      </c>
      <c r="I21" s="4">
        <v>21</v>
      </c>
      <c r="J21" s="4" t="s">
        <v>35</v>
      </c>
      <c r="K21" s="7" t="s">
        <v>72</v>
      </c>
      <c r="L21" s="4" t="str">
        <f>IF(ISBLANK(Table13[[#This Row],[Referred_By]]),"No","Yes")</f>
        <v>Yes</v>
      </c>
    </row>
    <row r="22" spans="1:12" x14ac:dyDescent="0.35">
      <c r="A22" s="26" t="s">
        <v>73</v>
      </c>
      <c r="B22" s="26" t="s">
        <v>74</v>
      </c>
      <c r="C22" s="26">
        <v>57</v>
      </c>
      <c r="D22" s="26" t="s">
        <v>27</v>
      </c>
      <c r="E22" s="26" t="s">
        <v>41</v>
      </c>
      <c r="F22" s="27">
        <v>45146</v>
      </c>
      <c r="G22" s="27">
        <v>45674</v>
      </c>
      <c r="H22" s="26">
        <v>1800</v>
      </c>
      <c r="I22" s="26">
        <v>19</v>
      </c>
      <c r="J22" s="26" t="s">
        <v>35</v>
      </c>
      <c r="K22" s="28"/>
      <c r="L22" s="4" t="str">
        <f>IF(ISBLANK(Table13[[#This Row],[Referred_By]]),"No","Yes")</f>
        <v>No</v>
      </c>
    </row>
    <row r="23" spans="1:12" x14ac:dyDescent="0.35">
      <c r="A23" s="4" t="s">
        <v>75</v>
      </c>
      <c r="B23" s="4" t="s">
        <v>76</v>
      </c>
      <c r="C23" s="4">
        <v>26</v>
      </c>
      <c r="D23" s="4" t="s">
        <v>27</v>
      </c>
      <c r="E23" s="4" t="s">
        <v>41</v>
      </c>
      <c r="F23" s="3">
        <v>45320</v>
      </c>
      <c r="G23" s="3">
        <v>45616</v>
      </c>
      <c r="H23" s="4">
        <v>1800</v>
      </c>
      <c r="I23" s="4">
        <v>5</v>
      </c>
      <c r="J23" s="4" t="s">
        <v>14</v>
      </c>
      <c r="K23" s="7"/>
      <c r="L23" s="4" t="str">
        <f>IF(ISBLANK(Table13[[#This Row],[Referred_By]]),"No","Yes")</f>
        <v>No</v>
      </c>
    </row>
    <row r="24" spans="1:12" x14ac:dyDescent="0.35">
      <c r="A24" s="26" t="s">
        <v>77</v>
      </c>
      <c r="B24" s="26" t="s">
        <v>78</v>
      </c>
      <c r="C24" s="26">
        <v>48</v>
      </c>
      <c r="D24" s="26" t="s">
        <v>12</v>
      </c>
      <c r="E24" s="26" t="s">
        <v>41</v>
      </c>
      <c r="F24" s="27">
        <v>45451</v>
      </c>
      <c r="G24" s="27">
        <v>45455</v>
      </c>
      <c r="H24" s="26">
        <v>1800</v>
      </c>
      <c r="I24" s="26">
        <v>18</v>
      </c>
      <c r="J24" s="26" t="s">
        <v>67</v>
      </c>
      <c r="K24" s="28"/>
      <c r="L24" s="4" t="str">
        <f>IF(ISBLANK(Table13[[#This Row],[Referred_By]]),"No","Yes")</f>
        <v>No</v>
      </c>
    </row>
    <row r="25" spans="1:12" x14ac:dyDescent="0.35">
      <c r="A25" s="4" t="s">
        <v>79</v>
      </c>
      <c r="B25" s="4" t="s">
        <v>80</v>
      </c>
      <c r="C25" s="4">
        <v>25</v>
      </c>
      <c r="D25" s="4" t="s">
        <v>27</v>
      </c>
      <c r="E25" s="4" t="s">
        <v>22</v>
      </c>
      <c r="F25" s="3">
        <v>45439</v>
      </c>
      <c r="G25" s="3">
        <v>45730</v>
      </c>
      <c r="H25" s="4">
        <v>1200</v>
      </c>
      <c r="I25" s="4">
        <v>6</v>
      </c>
      <c r="J25" s="4" t="s">
        <v>14</v>
      </c>
      <c r="K25" s="7"/>
      <c r="L25" s="4" t="str">
        <f>IF(ISBLANK(Table13[[#This Row],[Referred_By]]),"No","Yes")</f>
        <v>No</v>
      </c>
    </row>
    <row r="26" spans="1:12" x14ac:dyDescent="0.35">
      <c r="A26" s="26" t="s">
        <v>81</v>
      </c>
      <c r="B26" s="26" t="s">
        <v>82</v>
      </c>
      <c r="C26" s="26">
        <v>53</v>
      </c>
      <c r="D26" s="26" t="s">
        <v>12</v>
      </c>
      <c r="E26" s="26" t="s">
        <v>41</v>
      </c>
      <c r="F26" s="27">
        <v>45286</v>
      </c>
      <c r="G26" s="27">
        <v>45372</v>
      </c>
      <c r="H26" s="26">
        <v>1800</v>
      </c>
      <c r="I26" s="26">
        <v>17</v>
      </c>
      <c r="J26" s="26" t="s">
        <v>35</v>
      </c>
      <c r="K26" s="28" t="s">
        <v>83</v>
      </c>
      <c r="L26" s="4" t="str">
        <f>IF(ISBLANK(Table13[[#This Row],[Referred_By]]),"No","Yes")</f>
        <v>Yes</v>
      </c>
    </row>
    <row r="27" spans="1:12" x14ac:dyDescent="0.35">
      <c r="A27" s="4" t="s">
        <v>84</v>
      </c>
      <c r="B27" s="4" t="s">
        <v>85</v>
      </c>
      <c r="C27" s="4">
        <v>42</v>
      </c>
      <c r="D27" s="4" t="s">
        <v>27</v>
      </c>
      <c r="E27" s="4" t="s">
        <v>22</v>
      </c>
      <c r="F27" s="3">
        <v>45702</v>
      </c>
      <c r="G27" s="3">
        <v>45727</v>
      </c>
      <c r="H27" s="4">
        <v>1200</v>
      </c>
      <c r="I27" s="4">
        <v>3</v>
      </c>
      <c r="J27" s="4" t="s">
        <v>67</v>
      </c>
      <c r="K27" s="7"/>
      <c r="L27" s="4" t="str">
        <f>IF(ISBLANK(Table13[[#This Row],[Referred_By]]),"No","Yes")</f>
        <v>No</v>
      </c>
    </row>
    <row r="28" spans="1:12" x14ac:dyDescent="0.35">
      <c r="A28" s="26" t="s">
        <v>86</v>
      </c>
      <c r="B28" s="26" t="s">
        <v>87</v>
      </c>
      <c r="C28" s="26">
        <v>24</v>
      </c>
      <c r="D28" s="26" t="s">
        <v>12</v>
      </c>
      <c r="E28" s="26" t="s">
        <v>31</v>
      </c>
      <c r="F28" s="27">
        <v>45698</v>
      </c>
      <c r="G28" s="27">
        <v>45726</v>
      </c>
      <c r="H28" s="26">
        <v>2500</v>
      </c>
      <c r="I28" s="26">
        <v>28</v>
      </c>
      <c r="J28" s="26" t="s">
        <v>35</v>
      </c>
      <c r="K28" s="28"/>
      <c r="L28" s="4" t="str">
        <f>IF(ISBLANK(Table13[[#This Row],[Referred_By]]),"No","Yes")</f>
        <v>No</v>
      </c>
    </row>
    <row r="29" spans="1:12" x14ac:dyDescent="0.35">
      <c r="A29" s="4" t="s">
        <v>88</v>
      </c>
      <c r="B29" s="4" t="s">
        <v>89</v>
      </c>
      <c r="C29" s="4">
        <v>53</v>
      </c>
      <c r="D29" s="4" t="s">
        <v>12</v>
      </c>
      <c r="E29" s="4" t="s">
        <v>22</v>
      </c>
      <c r="F29" s="3">
        <v>45614</v>
      </c>
      <c r="G29" s="3">
        <v>45645</v>
      </c>
      <c r="H29" s="4">
        <v>1200</v>
      </c>
      <c r="I29" s="4">
        <v>23</v>
      </c>
      <c r="J29" s="4" t="s">
        <v>18</v>
      </c>
      <c r="K29" s="7"/>
      <c r="L29" s="4" t="str">
        <f>IF(ISBLANK(Table13[[#This Row],[Referred_By]]),"No","Yes")</f>
        <v>No</v>
      </c>
    </row>
    <row r="30" spans="1:12" x14ac:dyDescent="0.35">
      <c r="A30" s="26" t="s">
        <v>90</v>
      </c>
      <c r="B30" s="26" t="s">
        <v>91</v>
      </c>
      <c r="C30" s="26">
        <v>29</v>
      </c>
      <c r="D30" s="26" t="s">
        <v>27</v>
      </c>
      <c r="E30" s="26" t="s">
        <v>31</v>
      </c>
      <c r="F30" s="27">
        <v>45401</v>
      </c>
      <c r="G30" s="27">
        <v>45408</v>
      </c>
      <c r="H30" s="26">
        <v>2500</v>
      </c>
      <c r="I30" s="26">
        <v>8</v>
      </c>
      <c r="J30" s="26" t="s">
        <v>23</v>
      </c>
      <c r="K30" s="28"/>
      <c r="L30" s="4" t="str">
        <f>IF(ISBLANK(Table13[[#This Row],[Referred_By]]),"No","Yes")</f>
        <v>No</v>
      </c>
    </row>
    <row r="31" spans="1:12" x14ac:dyDescent="0.35">
      <c r="A31" s="4" t="s">
        <v>92</v>
      </c>
      <c r="B31" s="4" t="s">
        <v>93</v>
      </c>
      <c r="C31" s="4">
        <v>31</v>
      </c>
      <c r="D31" s="4" t="s">
        <v>27</v>
      </c>
      <c r="E31" s="4" t="s">
        <v>31</v>
      </c>
      <c r="F31" s="3">
        <v>45667</v>
      </c>
      <c r="G31" s="3">
        <v>45745</v>
      </c>
      <c r="H31" s="4">
        <v>2500</v>
      </c>
      <c r="I31" s="4">
        <v>23</v>
      </c>
      <c r="J31" s="4" t="s">
        <v>42</v>
      </c>
      <c r="K31" s="7" t="s">
        <v>94</v>
      </c>
      <c r="L31" s="4" t="str">
        <f>IF(ISBLANK(Table13[[#This Row],[Referred_By]]),"No","Yes")</f>
        <v>Yes</v>
      </c>
    </row>
    <row r="32" spans="1:12" x14ac:dyDescent="0.35">
      <c r="A32" s="26" t="s">
        <v>95</v>
      </c>
      <c r="B32" s="26" t="s">
        <v>96</v>
      </c>
      <c r="C32" s="26">
        <v>52</v>
      </c>
      <c r="D32" s="26" t="s">
        <v>27</v>
      </c>
      <c r="E32" s="26" t="s">
        <v>13</v>
      </c>
      <c r="F32" s="27">
        <v>45088</v>
      </c>
      <c r="G32" s="27">
        <v>45656</v>
      </c>
      <c r="H32" s="26">
        <v>800</v>
      </c>
      <c r="I32" s="26">
        <v>9</v>
      </c>
      <c r="J32" s="26" t="s">
        <v>67</v>
      </c>
      <c r="K32" s="28" t="s">
        <v>97</v>
      </c>
      <c r="L32" s="4" t="str">
        <f>IF(ISBLANK(Table13[[#This Row],[Referred_By]]),"No","Yes")</f>
        <v>Yes</v>
      </c>
    </row>
    <row r="33" spans="1:12" x14ac:dyDescent="0.35">
      <c r="A33" s="4" t="s">
        <v>98</v>
      </c>
      <c r="B33" s="4" t="s">
        <v>99</v>
      </c>
      <c r="C33" s="4">
        <v>20</v>
      </c>
      <c r="D33" s="4" t="s">
        <v>12</v>
      </c>
      <c r="E33" s="4" t="s">
        <v>22</v>
      </c>
      <c r="F33" s="3">
        <v>45391</v>
      </c>
      <c r="G33" s="3">
        <v>45604</v>
      </c>
      <c r="H33" s="4">
        <v>1200</v>
      </c>
      <c r="I33" s="4">
        <v>2</v>
      </c>
      <c r="J33" s="4" t="s">
        <v>35</v>
      </c>
      <c r="K33" s="7"/>
      <c r="L33" s="4" t="str">
        <f>IF(ISBLANK(Table13[[#This Row],[Referred_By]]),"No","Yes")</f>
        <v>No</v>
      </c>
    </row>
    <row r="34" spans="1:12" x14ac:dyDescent="0.35">
      <c r="A34" s="26" t="s">
        <v>100</v>
      </c>
      <c r="B34" s="26" t="s">
        <v>101</v>
      </c>
      <c r="C34" s="26">
        <v>22</v>
      </c>
      <c r="D34" s="26" t="s">
        <v>12</v>
      </c>
      <c r="E34" s="26" t="s">
        <v>13</v>
      </c>
      <c r="F34" s="27">
        <v>45699</v>
      </c>
      <c r="G34" s="27">
        <v>45740</v>
      </c>
      <c r="H34" s="26">
        <v>800</v>
      </c>
      <c r="I34" s="26">
        <v>30</v>
      </c>
      <c r="J34" s="26" t="s">
        <v>35</v>
      </c>
      <c r="K34" s="28"/>
      <c r="L34" s="4" t="str">
        <f>IF(ISBLANK(Table13[[#This Row],[Referred_By]]),"No","Yes")</f>
        <v>No</v>
      </c>
    </row>
    <row r="35" spans="1:12" x14ac:dyDescent="0.35">
      <c r="A35" s="4" t="s">
        <v>102</v>
      </c>
      <c r="B35" s="4" t="s">
        <v>103</v>
      </c>
      <c r="C35" s="4">
        <v>23</v>
      </c>
      <c r="D35" s="4" t="s">
        <v>12</v>
      </c>
      <c r="E35" s="4" t="s">
        <v>41</v>
      </c>
      <c r="F35" s="3">
        <v>45588</v>
      </c>
      <c r="G35" s="3">
        <v>45721</v>
      </c>
      <c r="H35" s="4">
        <v>1800</v>
      </c>
      <c r="I35" s="4">
        <v>23</v>
      </c>
      <c r="J35" s="4" t="s">
        <v>18</v>
      </c>
      <c r="K35" s="7" t="s">
        <v>104</v>
      </c>
      <c r="L35" s="4" t="str">
        <f>IF(ISBLANK(Table13[[#This Row],[Referred_By]]),"No","Yes")</f>
        <v>Yes</v>
      </c>
    </row>
    <row r="36" spans="1:12" x14ac:dyDescent="0.35">
      <c r="A36" s="26" t="s">
        <v>105</v>
      </c>
      <c r="B36" s="26" t="s">
        <v>106</v>
      </c>
      <c r="C36" s="26">
        <v>27</v>
      </c>
      <c r="D36" s="26" t="s">
        <v>27</v>
      </c>
      <c r="E36" s="26" t="s">
        <v>22</v>
      </c>
      <c r="F36" s="27">
        <v>45312</v>
      </c>
      <c r="G36" s="27">
        <v>45652</v>
      </c>
      <c r="H36" s="26">
        <v>1200</v>
      </c>
      <c r="I36" s="26">
        <v>27</v>
      </c>
      <c r="J36" s="26" t="s">
        <v>18</v>
      </c>
      <c r="K36" s="28"/>
      <c r="L36" s="16" t="str">
        <f>IF(ISBLANK(Table13[[#This Row],[Referred_By]]),"No","Yes")</f>
        <v>No</v>
      </c>
    </row>
  </sheetData>
  <mergeCells count="1">
    <mergeCell ref="N12:O12"/>
  </mergeCell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D4EC-6113-4737-9692-469AE56A553D}">
  <dimension ref="A1:R36"/>
  <sheetViews>
    <sheetView topLeftCell="F18" workbookViewId="0">
      <selection sqref="A1:N36"/>
    </sheetView>
  </sheetViews>
  <sheetFormatPr defaultRowHeight="14.5" x14ac:dyDescent="0.35"/>
  <cols>
    <col min="1" max="1" width="15.81640625" bestFit="1" customWidth="1"/>
    <col min="2" max="2" width="15.1796875" bestFit="1" customWidth="1"/>
    <col min="3" max="3" width="8.453125" bestFit="1" customWidth="1"/>
    <col min="4" max="4" width="11.54296875" bestFit="1" customWidth="1"/>
    <col min="5" max="5" width="21.08984375" bestFit="1" customWidth="1"/>
    <col min="6" max="6" width="14.453125" bestFit="1" customWidth="1"/>
    <col min="7" max="7" width="13.54296875" bestFit="1" customWidth="1"/>
    <col min="8" max="8" width="16.36328125" bestFit="1" customWidth="1"/>
    <col min="9" max="9" width="15.08984375" bestFit="1" customWidth="1"/>
    <col min="10" max="10" width="10" bestFit="1" customWidth="1"/>
    <col min="11" max="11" width="18" bestFit="1" customWidth="1"/>
    <col min="12" max="12" width="14.08984375" bestFit="1" customWidth="1"/>
    <col min="13" max="13" width="32.36328125" bestFit="1" customWidth="1"/>
    <col min="14" max="14" width="17.26953125" bestFit="1" customWidth="1"/>
    <col min="17" max="17" width="28.7265625" bestFit="1" customWidth="1"/>
    <col min="18" max="18" width="19.1796875" bestFit="1" customWidth="1"/>
  </cols>
  <sheetData>
    <row r="1" spans="1:18" x14ac:dyDescent="0.35">
      <c r="A1" s="31" t="s">
        <v>107</v>
      </c>
      <c r="B1" s="31" t="s">
        <v>0</v>
      </c>
      <c r="C1" s="31" t="s">
        <v>1</v>
      </c>
      <c r="D1" s="31" t="s">
        <v>2</v>
      </c>
      <c r="E1" s="31" t="s">
        <v>3</v>
      </c>
      <c r="F1" s="31" t="s">
        <v>4</v>
      </c>
      <c r="G1" s="31" t="s">
        <v>5</v>
      </c>
      <c r="H1" s="31" t="s">
        <v>6</v>
      </c>
      <c r="I1" s="31" t="s">
        <v>7</v>
      </c>
      <c r="J1" s="31" t="s">
        <v>8</v>
      </c>
      <c r="K1" s="32" t="s">
        <v>9</v>
      </c>
      <c r="L1" s="33" t="s">
        <v>111</v>
      </c>
      <c r="M1" s="34" t="s">
        <v>112</v>
      </c>
      <c r="N1" s="9" t="s">
        <v>123</v>
      </c>
    </row>
    <row r="2" spans="1:18" x14ac:dyDescent="0.35">
      <c r="A2" s="26" t="s">
        <v>10</v>
      </c>
      <c r="B2" s="26" t="s">
        <v>11</v>
      </c>
      <c r="C2" s="26">
        <v>59</v>
      </c>
      <c r="D2" s="26" t="s">
        <v>12</v>
      </c>
      <c r="E2" s="26" t="s">
        <v>13</v>
      </c>
      <c r="F2" s="27">
        <v>45235</v>
      </c>
      <c r="G2" s="27">
        <v>45425</v>
      </c>
      <c r="H2" s="26">
        <v>800</v>
      </c>
      <c r="I2" s="26">
        <v>25</v>
      </c>
      <c r="J2" s="26" t="s">
        <v>14</v>
      </c>
      <c r="K2" s="28" t="s">
        <v>15</v>
      </c>
      <c r="L2" s="29">
        <f>Table15[[#This Row],[End_Date]]-Table15[[#This Row],[Start_Date]]</f>
        <v>190</v>
      </c>
      <c r="M2" s="21">
        <f>Table15[[#This Row],[Total Days]]/30</f>
        <v>6.333333333333333</v>
      </c>
      <c r="N2" s="37">
        <f>Table15[[#This Row],[Monthly_Fee]]*Table15[[#This Row],[Membership_Duration_Months]]</f>
        <v>5066.6666666666661</v>
      </c>
    </row>
    <row r="3" spans="1:18" x14ac:dyDescent="0.35">
      <c r="A3" s="4" t="s">
        <v>16</v>
      </c>
      <c r="B3" s="4" t="s">
        <v>17</v>
      </c>
      <c r="C3" s="4">
        <v>27</v>
      </c>
      <c r="D3" s="4" t="s">
        <v>12</v>
      </c>
      <c r="E3" s="4" t="s">
        <v>13</v>
      </c>
      <c r="F3" s="3">
        <v>45714</v>
      </c>
      <c r="G3" s="3">
        <v>45740</v>
      </c>
      <c r="H3" s="4">
        <v>800</v>
      </c>
      <c r="I3" s="4">
        <v>20</v>
      </c>
      <c r="J3" s="4" t="s">
        <v>18</v>
      </c>
      <c r="K3" s="7" t="s">
        <v>19</v>
      </c>
      <c r="L3" s="30">
        <f>Table15[[#This Row],[End_Date]]-Table15[[#This Row],[Start_Date]]</f>
        <v>26</v>
      </c>
      <c r="M3" s="22">
        <f>Table15[[#This Row],[Total Days]]/30</f>
        <v>0.8666666666666667</v>
      </c>
      <c r="N3" s="37">
        <f>Table15[[#This Row],[Monthly_Fee]]*Table15[[#This Row],[Membership_Duration_Months]]</f>
        <v>693.33333333333337</v>
      </c>
    </row>
    <row r="4" spans="1:18" x14ac:dyDescent="0.35">
      <c r="A4" s="26" t="s">
        <v>20</v>
      </c>
      <c r="B4" s="26" t="s">
        <v>21</v>
      </c>
      <c r="C4" s="26">
        <v>24</v>
      </c>
      <c r="D4" s="26" t="s">
        <v>12</v>
      </c>
      <c r="E4" s="26" t="s">
        <v>22</v>
      </c>
      <c r="F4" s="27">
        <v>45191</v>
      </c>
      <c r="G4" s="27">
        <v>45371</v>
      </c>
      <c r="H4" s="26">
        <v>1200</v>
      </c>
      <c r="I4" s="26">
        <v>18</v>
      </c>
      <c r="J4" s="26" t="s">
        <v>23</v>
      </c>
      <c r="K4" s="28" t="s">
        <v>24</v>
      </c>
      <c r="L4" s="30">
        <f>Table15[[#This Row],[End_Date]]-Table15[[#This Row],[Start_Date]]</f>
        <v>180</v>
      </c>
      <c r="M4" s="22">
        <f>Table15[[#This Row],[Total Days]]/30</f>
        <v>6</v>
      </c>
      <c r="N4" s="37">
        <f>Table15[[#This Row],[Monthly_Fee]]*Table15[[#This Row],[Membership_Duration_Months]]</f>
        <v>7200</v>
      </c>
    </row>
    <row r="5" spans="1:18" x14ac:dyDescent="0.35">
      <c r="A5" s="4" t="s">
        <v>25</v>
      </c>
      <c r="B5" s="4" t="s">
        <v>26</v>
      </c>
      <c r="C5" s="4">
        <v>31</v>
      </c>
      <c r="D5" s="4" t="s">
        <v>27</v>
      </c>
      <c r="E5" s="4" t="s">
        <v>22</v>
      </c>
      <c r="F5" s="3">
        <v>45479</v>
      </c>
      <c r="G5" s="3">
        <v>45587</v>
      </c>
      <c r="H5" s="4">
        <v>1200</v>
      </c>
      <c r="I5" s="4">
        <v>16</v>
      </c>
      <c r="J5" s="4" t="s">
        <v>23</v>
      </c>
      <c r="K5" s="7" t="s">
        <v>28</v>
      </c>
      <c r="L5" s="30">
        <f>Table15[[#This Row],[End_Date]]-Table15[[#This Row],[Start_Date]]</f>
        <v>108</v>
      </c>
      <c r="M5" s="22">
        <f>Table15[[#This Row],[Total Days]]/30</f>
        <v>3.6</v>
      </c>
      <c r="N5" s="37">
        <f>Table15[[#This Row],[Monthly_Fee]]*Table15[[#This Row],[Membership_Duration_Months]]</f>
        <v>4320</v>
      </c>
      <c r="Q5" s="35" t="s">
        <v>126</v>
      </c>
      <c r="R5" s="4" t="s">
        <v>124</v>
      </c>
    </row>
    <row r="6" spans="1:18" x14ac:dyDescent="0.35">
      <c r="A6" s="26" t="s">
        <v>29</v>
      </c>
      <c r="B6" s="26" t="s">
        <v>30</v>
      </c>
      <c r="C6" s="26">
        <v>19</v>
      </c>
      <c r="D6" s="26" t="s">
        <v>12</v>
      </c>
      <c r="E6" s="26" t="s">
        <v>31</v>
      </c>
      <c r="F6" s="27">
        <v>45286</v>
      </c>
      <c r="G6" s="27">
        <v>45501</v>
      </c>
      <c r="H6" s="26">
        <v>2500</v>
      </c>
      <c r="I6" s="26">
        <v>12</v>
      </c>
      <c r="J6" s="26" t="s">
        <v>14</v>
      </c>
      <c r="K6" s="28" t="s">
        <v>32</v>
      </c>
      <c r="L6" s="30">
        <f>Table15[[#This Row],[End_Date]]-Table15[[#This Row],[Start_Date]]</f>
        <v>215</v>
      </c>
      <c r="M6" s="22">
        <f>Table15[[#This Row],[Total Days]]/30</f>
        <v>7.166666666666667</v>
      </c>
      <c r="N6" s="37">
        <f>Table15[[#This Row],[Monthly_Fee]]*Table15[[#This Row],[Membership_Duration_Months]]</f>
        <v>17916.666666666668</v>
      </c>
      <c r="Q6" s="36" t="s">
        <v>31</v>
      </c>
      <c r="R6" s="17">
        <v>82083.333333333343</v>
      </c>
    </row>
    <row r="7" spans="1:18" x14ac:dyDescent="0.35">
      <c r="A7" s="4" t="s">
        <v>33</v>
      </c>
      <c r="B7" s="4" t="s">
        <v>34</v>
      </c>
      <c r="C7" s="4">
        <v>40</v>
      </c>
      <c r="D7" s="4" t="s">
        <v>12</v>
      </c>
      <c r="E7" s="4" t="s">
        <v>13</v>
      </c>
      <c r="F7" s="3">
        <v>45317</v>
      </c>
      <c r="G7" s="3">
        <v>45392</v>
      </c>
      <c r="H7" s="4">
        <v>800</v>
      </c>
      <c r="I7" s="4">
        <v>14</v>
      </c>
      <c r="J7" s="4" t="s">
        <v>35</v>
      </c>
      <c r="K7" s="7" t="s">
        <v>36</v>
      </c>
      <c r="L7" s="30">
        <f>Table15[[#This Row],[End_Date]]-Table15[[#This Row],[Start_Date]]</f>
        <v>75</v>
      </c>
      <c r="M7" s="22">
        <f>Table15[[#This Row],[Total Days]]/30</f>
        <v>2.5</v>
      </c>
      <c r="N7" s="37">
        <f>Table15[[#This Row],[Monthly_Fee]]*Table15[[#This Row],[Membership_Duration_Months]]</f>
        <v>2000</v>
      </c>
      <c r="Q7" s="36" t="s">
        <v>41</v>
      </c>
      <c r="R7" s="17">
        <v>74700</v>
      </c>
    </row>
    <row r="8" spans="1:18" x14ac:dyDescent="0.35">
      <c r="A8" s="26" t="s">
        <v>37</v>
      </c>
      <c r="B8" s="26" t="s">
        <v>38</v>
      </c>
      <c r="C8" s="26">
        <v>41</v>
      </c>
      <c r="D8" s="26" t="s">
        <v>27</v>
      </c>
      <c r="E8" s="26" t="s">
        <v>13</v>
      </c>
      <c r="F8" s="27">
        <v>45588</v>
      </c>
      <c r="G8" s="27">
        <v>45677</v>
      </c>
      <c r="H8" s="26">
        <v>800</v>
      </c>
      <c r="I8" s="26">
        <v>25</v>
      </c>
      <c r="J8" s="26" t="s">
        <v>18</v>
      </c>
      <c r="K8" s="28"/>
      <c r="L8" s="30">
        <f>Table15[[#This Row],[End_Date]]-Table15[[#This Row],[Start_Date]]</f>
        <v>89</v>
      </c>
      <c r="M8" s="22">
        <f>Table15[[#This Row],[Total Days]]/30</f>
        <v>2.9666666666666668</v>
      </c>
      <c r="N8" s="37">
        <f>Table15[[#This Row],[Monthly_Fee]]*Table15[[#This Row],[Membership_Duration_Months]]</f>
        <v>2373.3333333333335</v>
      </c>
      <c r="Q8" s="36" t="s">
        <v>117</v>
      </c>
      <c r="R8" s="17">
        <v>156783.33333333334</v>
      </c>
    </row>
    <row r="9" spans="1:18" x14ac:dyDescent="0.35">
      <c r="A9" s="4" t="s">
        <v>39</v>
      </c>
      <c r="B9" s="4" t="s">
        <v>40</v>
      </c>
      <c r="C9" s="4">
        <v>43</v>
      </c>
      <c r="D9" s="4" t="s">
        <v>12</v>
      </c>
      <c r="E9" s="4" t="s">
        <v>41</v>
      </c>
      <c r="F9" s="3">
        <v>45450</v>
      </c>
      <c r="G9" s="3">
        <v>45563</v>
      </c>
      <c r="H9" s="4">
        <v>1800</v>
      </c>
      <c r="I9" s="4">
        <v>28</v>
      </c>
      <c r="J9" s="4" t="s">
        <v>42</v>
      </c>
      <c r="K9" s="7"/>
      <c r="L9" s="30">
        <f>Table15[[#This Row],[End_Date]]-Table15[[#This Row],[Start_Date]]</f>
        <v>113</v>
      </c>
      <c r="M9" s="22">
        <f>Table15[[#This Row],[Total Days]]/30</f>
        <v>3.7666666666666666</v>
      </c>
      <c r="N9" s="37">
        <f>Table15[[#This Row],[Monthly_Fee]]*Table15[[#This Row],[Membership_Duration_Months]]</f>
        <v>6780</v>
      </c>
    </row>
    <row r="10" spans="1:18" x14ac:dyDescent="0.35">
      <c r="A10" s="26" t="s">
        <v>43</v>
      </c>
      <c r="B10" s="26" t="s">
        <v>44</v>
      </c>
      <c r="C10" s="26">
        <v>42</v>
      </c>
      <c r="D10" s="26" t="s">
        <v>12</v>
      </c>
      <c r="E10" s="26" t="s">
        <v>13</v>
      </c>
      <c r="F10" s="27">
        <v>45569</v>
      </c>
      <c r="G10" s="27">
        <v>45582</v>
      </c>
      <c r="H10" s="26">
        <v>800</v>
      </c>
      <c r="I10" s="26">
        <v>3</v>
      </c>
      <c r="J10" s="26" t="s">
        <v>42</v>
      </c>
      <c r="K10" s="28" t="s">
        <v>45</v>
      </c>
      <c r="L10" s="30">
        <f>Table15[[#This Row],[End_Date]]-Table15[[#This Row],[Start_Date]]</f>
        <v>13</v>
      </c>
      <c r="M10" s="22">
        <f>Table15[[#This Row],[Total Days]]/30</f>
        <v>0.43333333333333335</v>
      </c>
      <c r="N10" s="37">
        <f>Table15[[#This Row],[Monthly_Fee]]*Table15[[#This Row],[Membership_Duration_Months]]</f>
        <v>346.66666666666669</v>
      </c>
      <c r="Q10" s="52" t="s">
        <v>125</v>
      </c>
      <c r="R10" s="52"/>
    </row>
    <row r="11" spans="1:18" x14ac:dyDescent="0.35">
      <c r="A11" s="4" t="s">
        <v>46</v>
      </c>
      <c r="B11" s="4" t="s">
        <v>47</v>
      </c>
      <c r="C11" s="4">
        <v>37</v>
      </c>
      <c r="D11" s="4" t="s">
        <v>12</v>
      </c>
      <c r="E11" s="4" t="s">
        <v>22</v>
      </c>
      <c r="F11" s="3">
        <v>45202</v>
      </c>
      <c r="G11" s="3">
        <v>45280</v>
      </c>
      <c r="H11" s="4">
        <v>1200</v>
      </c>
      <c r="I11" s="4">
        <v>29</v>
      </c>
      <c r="J11" s="4" t="s">
        <v>35</v>
      </c>
      <c r="K11" s="7" t="s">
        <v>48</v>
      </c>
      <c r="L11" s="30">
        <f>Table15[[#This Row],[End_Date]]-Table15[[#This Row],[Start_Date]]</f>
        <v>78</v>
      </c>
      <c r="M11" s="22">
        <f>Table15[[#This Row],[Total Days]]/30</f>
        <v>2.6</v>
      </c>
      <c r="N11" s="37">
        <f>Table15[[#This Row],[Monthly_Fee]]*Table15[[#This Row],[Membership_Duration_Months]]</f>
        <v>3120</v>
      </c>
      <c r="Q11" s="36" t="s">
        <v>31</v>
      </c>
      <c r="R11" s="17">
        <f>GETPIVOTDATA("Total Revenue",$Q$5,"Membership_Type","Family")</f>
        <v>82083.333333333343</v>
      </c>
    </row>
    <row r="12" spans="1:18" x14ac:dyDescent="0.35">
      <c r="A12" s="26" t="s">
        <v>49</v>
      </c>
      <c r="B12" s="26" t="s">
        <v>50</v>
      </c>
      <c r="C12" s="26">
        <v>48</v>
      </c>
      <c r="D12" s="26" t="s">
        <v>27</v>
      </c>
      <c r="E12" s="26" t="s">
        <v>22</v>
      </c>
      <c r="F12" s="27">
        <v>45297</v>
      </c>
      <c r="G12" s="27">
        <v>45459</v>
      </c>
      <c r="H12" s="26">
        <v>1200</v>
      </c>
      <c r="I12" s="26">
        <v>13</v>
      </c>
      <c r="J12" s="26" t="s">
        <v>14</v>
      </c>
      <c r="K12" s="28" t="s">
        <v>51</v>
      </c>
      <c r="L12" s="30">
        <f>Table15[[#This Row],[End_Date]]-Table15[[#This Row],[Start_Date]]</f>
        <v>162</v>
      </c>
      <c r="M12" s="22">
        <f>Table15[[#This Row],[Total Days]]/30</f>
        <v>5.4</v>
      </c>
      <c r="N12" s="37">
        <f>Table15[[#This Row],[Monthly_Fee]]*Table15[[#This Row],[Membership_Duration_Months]]</f>
        <v>6480</v>
      </c>
      <c r="Q12" s="36" t="s">
        <v>41</v>
      </c>
      <c r="R12" s="17">
        <f>GETPIVOTDATA("Total Revenue",$Q$5,"Membership_Type","Premium")</f>
        <v>74700</v>
      </c>
    </row>
    <row r="13" spans="1:18" x14ac:dyDescent="0.35">
      <c r="A13" s="4" t="s">
        <v>52</v>
      </c>
      <c r="B13" s="4" t="s">
        <v>53</v>
      </c>
      <c r="C13" s="4">
        <v>36</v>
      </c>
      <c r="D13" s="4" t="s">
        <v>12</v>
      </c>
      <c r="E13" s="4" t="s">
        <v>22</v>
      </c>
      <c r="F13" s="3">
        <v>45154</v>
      </c>
      <c r="G13" s="3">
        <v>45568</v>
      </c>
      <c r="H13" s="4">
        <v>1200</v>
      </c>
      <c r="I13" s="4">
        <v>19</v>
      </c>
      <c r="J13" s="4" t="s">
        <v>42</v>
      </c>
      <c r="K13" s="7" t="s">
        <v>54</v>
      </c>
      <c r="L13" s="30">
        <f>Table15[[#This Row],[End_Date]]-Table15[[#This Row],[Start_Date]]</f>
        <v>414</v>
      </c>
      <c r="M13" s="22">
        <f>Table15[[#This Row],[Total Days]]/30</f>
        <v>13.8</v>
      </c>
      <c r="N13" s="37">
        <f>Table15[[#This Row],[Monthly_Fee]]*Table15[[#This Row],[Membership_Duration_Months]]</f>
        <v>16560</v>
      </c>
      <c r="Q13" s="38" t="s">
        <v>127</v>
      </c>
      <c r="R13" s="39">
        <f>SUM(R11:R12)</f>
        <v>156783.33333333334</v>
      </c>
    </row>
    <row r="14" spans="1:18" x14ac:dyDescent="0.35">
      <c r="A14" s="26" t="s">
        <v>55</v>
      </c>
      <c r="B14" s="26" t="s">
        <v>56</v>
      </c>
      <c r="C14" s="26">
        <v>48</v>
      </c>
      <c r="D14" s="26" t="s">
        <v>27</v>
      </c>
      <c r="E14" s="26" t="s">
        <v>41</v>
      </c>
      <c r="F14" s="27">
        <v>45556</v>
      </c>
      <c r="G14" s="27">
        <v>45641</v>
      </c>
      <c r="H14" s="26">
        <v>1800</v>
      </c>
      <c r="I14" s="26">
        <v>22</v>
      </c>
      <c r="J14" s="26" t="s">
        <v>42</v>
      </c>
      <c r="K14" s="28"/>
      <c r="L14" s="30">
        <f>Table15[[#This Row],[End_Date]]-Table15[[#This Row],[Start_Date]]</f>
        <v>85</v>
      </c>
      <c r="M14" s="22">
        <f>Table15[[#This Row],[Total Days]]/30</f>
        <v>2.8333333333333335</v>
      </c>
      <c r="N14" s="37">
        <f>Table15[[#This Row],[Monthly_Fee]]*Table15[[#This Row],[Membership_Duration_Months]]</f>
        <v>5100</v>
      </c>
    </row>
    <row r="15" spans="1:18" x14ac:dyDescent="0.35">
      <c r="A15" s="4" t="s">
        <v>57</v>
      </c>
      <c r="B15" s="4" t="s">
        <v>58</v>
      </c>
      <c r="C15" s="4">
        <v>39</v>
      </c>
      <c r="D15" s="4" t="s">
        <v>12</v>
      </c>
      <c r="E15" s="4" t="s">
        <v>22</v>
      </c>
      <c r="F15" s="3">
        <v>45065</v>
      </c>
      <c r="G15" s="3">
        <v>45242</v>
      </c>
      <c r="H15" s="4">
        <v>1200</v>
      </c>
      <c r="I15" s="4">
        <v>28</v>
      </c>
      <c r="J15" s="4" t="s">
        <v>35</v>
      </c>
      <c r="K15" s="7"/>
      <c r="L15" s="30">
        <f>Table15[[#This Row],[End_Date]]-Table15[[#This Row],[Start_Date]]</f>
        <v>177</v>
      </c>
      <c r="M15" s="22">
        <f>Table15[[#This Row],[Total Days]]/30</f>
        <v>5.9</v>
      </c>
      <c r="N15" s="37">
        <f>Table15[[#This Row],[Monthly_Fee]]*Table15[[#This Row],[Membership_Duration_Months]]</f>
        <v>7080</v>
      </c>
      <c r="Q15" s="35" t="s">
        <v>128</v>
      </c>
      <c r="R15" s="4" t="s">
        <v>124</v>
      </c>
    </row>
    <row r="16" spans="1:18" x14ac:dyDescent="0.35">
      <c r="A16" s="26" t="s">
        <v>59</v>
      </c>
      <c r="B16" s="26" t="s">
        <v>60</v>
      </c>
      <c r="C16" s="26">
        <v>44</v>
      </c>
      <c r="D16" s="26" t="s">
        <v>27</v>
      </c>
      <c r="E16" s="26" t="s">
        <v>13</v>
      </c>
      <c r="F16" s="27">
        <v>45333</v>
      </c>
      <c r="G16" s="27">
        <v>45540</v>
      </c>
      <c r="H16" s="26">
        <v>800</v>
      </c>
      <c r="I16" s="26">
        <v>8</v>
      </c>
      <c r="J16" s="26" t="s">
        <v>23</v>
      </c>
      <c r="K16" s="28"/>
      <c r="L16" s="30">
        <f>Table15[[#This Row],[End_Date]]-Table15[[#This Row],[Start_Date]]</f>
        <v>207</v>
      </c>
      <c r="M16" s="22">
        <f>Table15[[#This Row],[Total Days]]/30</f>
        <v>6.9</v>
      </c>
      <c r="N16" s="37">
        <f>Table15[[#This Row],[Monthly_Fee]]*Table15[[#This Row],[Membership_Duration_Months]]</f>
        <v>5520</v>
      </c>
      <c r="Q16" s="36" t="s">
        <v>14</v>
      </c>
      <c r="R16" s="17">
        <v>58863.333333333336</v>
      </c>
    </row>
    <row r="17" spans="1:18" x14ac:dyDescent="0.35">
      <c r="A17" s="4" t="s">
        <v>61</v>
      </c>
      <c r="B17" s="4" t="s">
        <v>62</v>
      </c>
      <c r="C17" s="4">
        <v>39</v>
      </c>
      <c r="D17" s="4" t="s">
        <v>12</v>
      </c>
      <c r="E17" s="4" t="s">
        <v>31</v>
      </c>
      <c r="F17" s="3">
        <v>45702</v>
      </c>
      <c r="G17" s="3">
        <v>45732</v>
      </c>
      <c r="H17" s="4">
        <v>2500</v>
      </c>
      <c r="I17" s="4">
        <v>14</v>
      </c>
      <c r="J17" s="4" t="s">
        <v>42</v>
      </c>
      <c r="K17" s="7"/>
      <c r="L17" s="30">
        <f>Table15[[#This Row],[End_Date]]-Table15[[#This Row],[Start_Date]]</f>
        <v>30</v>
      </c>
      <c r="M17" s="22">
        <f>Table15[[#This Row],[Total Days]]/30</f>
        <v>1</v>
      </c>
      <c r="N17" s="37">
        <f>Table15[[#This Row],[Monthly_Fee]]*Table15[[#This Row],[Membership_Duration_Months]]</f>
        <v>2500</v>
      </c>
      <c r="Q17" s="36" t="s">
        <v>67</v>
      </c>
      <c r="R17" s="17">
        <v>52720</v>
      </c>
    </row>
    <row r="18" spans="1:18" x14ac:dyDescent="0.35">
      <c r="A18" s="26" t="s">
        <v>63</v>
      </c>
      <c r="B18" s="26" t="s">
        <v>64</v>
      </c>
      <c r="C18" s="26">
        <v>35</v>
      </c>
      <c r="D18" s="26" t="s">
        <v>12</v>
      </c>
      <c r="E18" s="26" t="s">
        <v>22</v>
      </c>
      <c r="F18" s="27">
        <v>45329</v>
      </c>
      <c r="G18" s="27">
        <v>45685</v>
      </c>
      <c r="H18" s="26">
        <v>1200</v>
      </c>
      <c r="I18" s="26">
        <v>25</v>
      </c>
      <c r="J18" s="26" t="s">
        <v>23</v>
      </c>
      <c r="K18" s="28"/>
      <c r="L18" s="30">
        <f>Table15[[#This Row],[End_Date]]-Table15[[#This Row],[Start_Date]]</f>
        <v>356</v>
      </c>
      <c r="M18" s="22">
        <f>Table15[[#This Row],[Total Days]]/30</f>
        <v>11.866666666666667</v>
      </c>
      <c r="N18" s="37">
        <f>Table15[[#This Row],[Monthly_Fee]]*Table15[[#This Row],[Membership_Duration_Months]]</f>
        <v>14240</v>
      </c>
      <c r="Q18" s="36" t="s">
        <v>23</v>
      </c>
      <c r="R18" s="17">
        <v>31863.333333333332</v>
      </c>
    </row>
    <row r="19" spans="1:18" x14ac:dyDescent="0.35">
      <c r="A19" s="4" t="s">
        <v>65</v>
      </c>
      <c r="B19" s="4" t="s">
        <v>66</v>
      </c>
      <c r="C19" s="4">
        <v>56</v>
      </c>
      <c r="D19" s="4" t="s">
        <v>27</v>
      </c>
      <c r="E19" s="4" t="s">
        <v>31</v>
      </c>
      <c r="F19" s="3">
        <v>45213</v>
      </c>
      <c r="G19" s="3">
        <v>45649</v>
      </c>
      <c r="H19" s="4">
        <v>2500</v>
      </c>
      <c r="I19" s="4">
        <v>13</v>
      </c>
      <c r="J19" s="4" t="s">
        <v>67</v>
      </c>
      <c r="K19" s="7"/>
      <c r="L19" s="30">
        <f>Table15[[#This Row],[End_Date]]-Table15[[#This Row],[Start_Date]]</f>
        <v>436</v>
      </c>
      <c r="M19" s="22">
        <f>Table15[[#This Row],[Total Days]]/30</f>
        <v>14.533333333333333</v>
      </c>
      <c r="N19" s="37">
        <f>Table15[[#This Row],[Monthly_Fee]]*Table15[[#This Row],[Membership_Duration_Months]]</f>
        <v>36333.333333333336</v>
      </c>
      <c r="Q19" s="36" t="s">
        <v>42</v>
      </c>
      <c r="R19" s="17">
        <v>37786.666666666672</v>
      </c>
    </row>
    <row r="20" spans="1:18" x14ac:dyDescent="0.35">
      <c r="A20" s="26" t="s">
        <v>68</v>
      </c>
      <c r="B20" s="26" t="s">
        <v>69</v>
      </c>
      <c r="C20" s="26">
        <v>27</v>
      </c>
      <c r="D20" s="26" t="s">
        <v>27</v>
      </c>
      <c r="E20" s="26" t="s">
        <v>13</v>
      </c>
      <c r="F20" s="27">
        <v>45354</v>
      </c>
      <c r="G20" s="27">
        <v>45664</v>
      </c>
      <c r="H20" s="26">
        <v>800</v>
      </c>
      <c r="I20" s="26">
        <v>26</v>
      </c>
      <c r="J20" s="26" t="s">
        <v>35</v>
      </c>
      <c r="K20" s="28"/>
      <c r="L20" s="30">
        <f>Table15[[#This Row],[End_Date]]-Table15[[#This Row],[Start_Date]]</f>
        <v>310</v>
      </c>
      <c r="M20" s="22">
        <f>Table15[[#This Row],[Total Days]]/30</f>
        <v>10.333333333333334</v>
      </c>
      <c r="N20" s="37">
        <f>Table15[[#This Row],[Monthly_Fee]]*Table15[[#This Row],[Membership_Duration_Months]]</f>
        <v>8266.6666666666679</v>
      </c>
      <c r="Q20" s="36" t="s">
        <v>35</v>
      </c>
      <c r="R20" s="17">
        <v>85170</v>
      </c>
    </row>
    <row r="21" spans="1:18" x14ac:dyDescent="0.35">
      <c r="A21" s="4" t="s">
        <v>70</v>
      </c>
      <c r="B21" s="4" t="s">
        <v>71</v>
      </c>
      <c r="C21" s="4">
        <v>28</v>
      </c>
      <c r="D21" s="4" t="s">
        <v>12</v>
      </c>
      <c r="E21" s="4" t="s">
        <v>31</v>
      </c>
      <c r="F21" s="3">
        <v>45417</v>
      </c>
      <c r="G21" s="3">
        <v>45608</v>
      </c>
      <c r="H21" s="4">
        <v>2500</v>
      </c>
      <c r="I21" s="4">
        <v>21</v>
      </c>
      <c r="J21" s="4" t="s">
        <v>35</v>
      </c>
      <c r="K21" s="7" t="s">
        <v>72</v>
      </c>
      <c r="L21" s="30">
        <f>Table15[[#This Row],[End_Date]]-Table15[[#This Row],[Start_Date]]</f>
        <v>191</v>
      </c>
      <c r="M21" s="22">
        <f>Table15[[#This Row],[Total Days]]/30</f>
        <v>6.3666666666666663</v>
      </c>
      <c r="N21" s="37">
        <f>Table15[[#This Row],[Monthly_Fee]]*Table15[[#This Row],[Membership_Duration_Months]]</f>
        <v>15916.666666666666</v>
      </c>
      <c r="Q21" s="36" t="s">
        <v>18</v>
      </c>
      <c r="R21" s="17">
        <v>25886.666666666668</v>
      </c>
    </row>
    <row r="22" spans="1:18" x14ac:dyDescent="0.35">
      <c r="A22" s="26" t="s">
        <v>73</v>
      </c>
      <c r="B22" s="26" t="s">
        <v>74</v>
      </c>
      <c r="C22" s="26">
        <v>57</v>
      </c>
      <c r="D22" s="26" t="s">
        <v>27</v>
      </c>
      <c r="E22" s="26" t="s">
        <v>41</v>
      </c>
      <c r="F22" s="27">
        <v>45146</v>
      </c>
      <c r="G22" s="27">
        <v>45674</v>
      </c>
      <c r="H22" s="26">
        <v>1800</v>
      </c>
      <c r="I22" s="26">
        <v>19</v>
      </c>
      <c r="J22" s="26" t="s">
        <v>35</v>
      </c>
      <c r="K22" s="28"/>
      <c r="L22" s="30">
        <f>Table15[[#This Row],[End_Date]]-Table15[[#This Row],[Start_Date]]</f>
        <v>528</v>
      </c>
      <c r="M22" s="22">
        <f>Table15[[#This Row],[Total Days]]/30</f>
        <v>17.600000000000001</v>
      </c>
      <c r="N22" s="37">
        <f>Table15[[#This Row],[Monthly_Fee]]*Table15[[#This Row],[Membership_Duration_Months]]</f>
        <v>31680.000000000004</v>
      </c>
      <c r="Q22" s="36" t="s">
        <v>117</v>
      </c>
      <c r="R22" s="17">
        <v>292290.00000000006</v>
      </c>
    </row>
    <row r="23" spans="1:18" x14ac:dyDescent="0.35">
      <c r="A23" s="4" t="s">
        <v>75</v>
      </c>
      <c r="B23" s="4" t="s">
        <v>76</v>
      </c>
      <c r="C23" s="4">
        <v>26</v>
      </c>
      <c r="D23" s="4" t="s">
        <v>27</v>
      </c>
      <c r="E23" s="4" t="s">
        <v>41</v>
      </c>
      <c r="F23" s="3">
        <v>45320</v>
      </c>
      <c r="G23" s="3">
        <v>45616</v>
      </c>
      <c r="H23" s="4">
        <v>1800</v>
      </c>
      <c r="I23" s="4">
        <v>5</v>
      </c>
      <c r="J23" s="4" t="s">
        <v>14</v>
      </c>
      <c r="K23" s="7"/>
      <c r="L23" s="30">
        <f>Table15[[#This Row],[End_Date]]-Table15[[#This Row],[Start_Date]]</f>
        <v>296</v>
      </c>
      <c r="M23" s="22">
        <f>Table15[[#This Row],[Total Days]]/30</f>
        <v>9.8666666666666671</v>
      </c>
      <c r="N23" s="37">
        <f>Table15[[#This Row],[Monthly_Fee]]*Table15[[#This Row],[Membership_Duration_Months]]</f>
        <v>17760</v>
      </c>
    </row>
    <row r="24" spans="1:18" x14ac:dyDescent="0.35">
      <c r="A24" s="26" t="s">
        <v>77</v>
      </c>
      <c r="B24" s="26" t="s">
        <v>78</v>
      </c>
      <c r="C24" s="26">
        <v>48</v>
      </c>
      <c r="D24" s="26" t="s">
        <v>12</v>
      </c>
      <c r="E24" s="26" t="s">
        <v>41</v>
      </c>
      <c r="F24" s="27">
        <v>45451</v>
      </c>
      <c r="G24" s="27">
        <v>45455</v>
      </c>
      <c r="H24" s="26">
        <v>1800</v>
      </c>
      <c r="I24" s="26">
        <v>18</v>
      </c>
      <c r="J24" s="26" t="s">
        <v>67</v>
      </c>
      <c r="K24" s="28"/>
      <c r="L24" s="30">
        <f>Table15[[#This Row],[End_Date]]-Table15[[#This Row],[Start_Date]]</f>
        <v>4</v>
      </c>
      <c r="M24" s="22">
        <f>Table15[[#This Row],[Total Days]]/30</f>
        <v>0.13333333333333333</v>
      </c>
      <c r="N24" s="37">
        <f>Table15[[#This Row],[Monthly_Fee]]*Table15[[#This Row],[Membership_Duration_Months]]</f>
        <v>240</v>
      </c>
    </row>
    <row r="25" spans="1:18" x14ac:dyDescent="0.35">
      <c r="A25" s="4" t="s">
        <v>79</v>
      </c>
      <c r="B25" s="4" t="s">
        <v>80</v>
      </c>
      <c r="C25" s="4">
        <v>25</v>
      </c>
      <c r="D25" s="4" t="s">
        <v>27</v>
      </c>
      <c r="E25" s="4" t="s">
        <v>22</v>
      </c>
      <c r="F25" s="3">
        <v>45439</v>
      </c>
      <c r="G25" s="3">
        <v>45730</v>
      </c>
      <c r="H25" s="4">
        <v>1200</v>
      </c>
      <c r="I25" s="4">
        <v>6</v>
      </c>
      <c r="J25" s="4" t="s">
        <v>14</v>
      </c>
      <c r="K25" s="7"/>
      <c r="L25" s="30">
        <f>Table15[[#This Row],[End_Date]]-Table15[[#This Row],[Start_Date]]</f>
        <v>291</v>
      </c>
      <c r="M25" s="22">
        <f>Table15[[#This Row],[Total Days]]/30</f>
        <v>9.6999999999999993</v>
      </c>
      <c r="N25" s="37">
        <f>Table15[[#This Row],[Monthly_Fee]]*Table15[[#This Row],[Membership_Duration_Months]]</f>
        <v>11640</v>
      </c>
    </row>
    <row r="26" spans="1:18" x14ac:dyDescent="0.35">
      <c r="A26" s="26" t="s">
        <v>81</v>
      </c>
      <c r="B26" s="26" t="s">
        <v>82</v>
      </c>
      <c r="C26" s="26">
        <v>53</v>
      </c>
      <c r="D26" s="26" t="s">
        <v>12</v>
      </c>
      <c r="E26" s="26" t="s">
        <v>41</v>
      </c>
      <c r="F26" s="27">
        <v>45286</v>
      </c>
      <c r="G26" s="27">
        <v>45372</v>
      </c>
      <c r="H26" s="26">
        <v>1800</v>
      </c>
      <c r="I26" s="26">
        <v>17</v>
      </c>
      <c r="J26" s="26" t="s">
        <v>35</v>
      </c>
      <c r="K26" s="28" t="s">
        <v>83</v>
      </c>
      <c r="L26" s="30">
        <f>Table15[[#This Row],[End_Date]]-Table15[[#This Row],[Start_Date]]</f>
        <v>86</v>
      </c>
      <c r="M26" s="22">
        <f>Table15[[#This Row],[Total Days]]/30</f>
        <v>2.8666666666666667</v>
      </c>
      <c r="N26" s="37">
        <f>Table15[[#This Row],[Monthly_Fee]]*Table15[[#This Row],[Membership_Duration_Months]]</f>
        <v>5160</v>
      </c>
    </row>
    <row r="27" spans="1:18" x14ac:dyDescent="0.35">
      <c r="A27" s="4" t="s">
        <v>84</v>
      </c>
      <c r="B27" s="4" t="s">
        <v>85</v>
      </c>
      <c r="C27" s="4">
        <v>42</v>
      </c>
      <c r="D27" s="4" t="s">
        <v>27</v>
      </c>
      <c r="E27" s="4" t="s">
        <v>22</v>
      </c>
      <c r="F27" s="3">
        <v>45702</v>
      </c>
      <c r="G27" s="3">
        <v>45727</v>
      </c>
      <c r="H27" s="4">
        <v>1200</v>
      </c>
      <c r="I27" s="4">
        <v>3</v>
      </c>
      <c r="J27" s="4" t="s">
        <v>67</v>
      </c>
      <c r="K27" s="7"/>
      <c r="L27" s="30">
        <f>Table15[[#This Row],[End_Date]]-Table15[[#This Row],[Start_Date]]</f>
        <v>25</v>
      </c>
      <c r="M27" s="22">
        <f>Table15[[#This Row],[Total Days]]/30</f>
        <v>0.83333333333333337</v>
      </c>
      <c r="N27" s="37">
        <f>Table15[[#This Row],[Monthly_Fee]]*Table15[[#This Row],[Membership_Duration_Months]]</f>
        <v>1000</v>
      </c>
    </row>
    <row r="28" spans="1:18" x14ac:dyDescent="0.35">
      <c r="A28" s="26" t="s">
        <v>86</v>
      </c>
      <c r="B28" s="26" t="s">
        <v>87</v>
      </c>
      <c r="C28" s="26">
        <v>24</v>
      </c>
      <c r="D28" s="26" t="s">
        <v>12</v>
      </c>
      <c r="E28" s="26" t="s">
        <v>31</v>
      </c>
      <c r="F28" s="27">
        <v>45698</v>
      </c>
      <c r="G28" s="27">
        <v>45726</v>
      </c>
      <c r="H28" s="26">
        <v>2500</v>
      </c>
      <c r="I28" s="26">
        <v>28</v>
      </c>
      <c r="J28" s="26" t="s">
        <v>35</v>
      </c>
      <c r="K28" s="28"/>
      <c r="L28" s="30">
        <f>Table15[[#This Row],[End_Date]]-Table15[[#This Row],[Start_Date]]</f>
        <v>28</v>
      </c>
      <c r="M28" s="22">
        <f>Table15[[#This Row],[Total Days]]/30</f>
        <v>0.93333333333333335</v>
      </c>
      <c r="N28" s="37">
        <f>Table15[[#This Row],[Monthly_Fee]]*Table15[[#This Row],[Membership_Duration_Months]]</f>
        <v>2333.3333333333335</v>
      </c>
    </row>
    <row r="29" spans="1:18" x14ac:dyDescent="0.35">
      <c r="A29" s="4" t="s">
        <v>88</v>
      </c>
      <c r="B29" s="4" t="s">
        <v>89</v>
      </c>
      <c r="C29" s="4">
        <v>53</v>
      </c>
      <c r="D29" s="4" t="s">
        <v>12</v>
      </c>
      <c r="E29" s="4" t="s">
        <v>22</v>
      </c>
      <c r="F29" s="3">
        <v>45614</v>
      </c>
      <c r="G29" s="3">
        <v>45645</v>
      </c>
      <c r="H29" s="4">
        <v>1200</v>
      </c>
      <c r="I29" s="4">
        <v>23</v>
      </c>
      <c r="J29" s="4" t="s">
        <v>18</v>
      </c>
      <c r="K29" s="7"/>
      <c r="L29" s="30">
        <f>Table15[[#This Row],[End_Date]]-Table15[[#This Row],[Start_Date]]</f>
        <v>31</v>
      </c>
      <c r="M29" s="22">
        <f>Table15[[#This Row],[Total Days]]/30</f>
        <v>1.0333333333333334</v>
      </c>
      <c r="N29" s="37">
        <f>Table15[[#This Row],[Monthly_Fee]]*Table15[[#This Row],[Membership_Duration_Months]]</f>
        <v>1240.0000000000002</v>
      </c>
    </row>
    <row r="30" spans="1:18" x14ac:dyDescent="0.35">
      <c r="A30" s="26" t="s">
        <v>90</v>
      </c>
      <c r="B30" s="26" t="s">
        <v>91</v>
      </c>
      <c r="C30" s="26">
        <v>29</v>
      </c>
      <c r="D30" s="26" t="s">
        <v>27</v>
      </c>
      <c r="E30" s="26" t="s">
        <v>31</v>
      </c>
      <c r="F30" s="27">
        <v>45401</v>
      </c>
      <c r="G30" s="27">
        <v>45408</v>
      </c>
      <c r="H30" s="26">
        <v>2500</v>
      </c>
      <c r="I30" s="26">
        <v>8</v>
      </c>
      <c r="J30" s="26" t="s">
        <v>23</v>
      </c>
      <c r="K30" s="28"/>
      <c r="L30" s="30">
        <f>Table15[[#This Row],[End_Date]]-Table15[[#This Row],[Start_Date]]</f>
        <v>7</v>
      </c>
      <c r="M30" s="22">
        <f>Table15[[#This Row],[Total Days]]/30</f>
        <v>0.23333333333333334</v>
      </c>
      <c r="N30" s="37">
        <f>Table15[[#This Row],[Monthly_Fee]]*Table15[[#This Row],[Membership_Duration_Months]]</f>
        <v>583.33333333333337</v>
      </c>
    </row>
    <row r="31" spans="1:18" x14ac:dyDescent="0.35">
      <c r="A31" s="4" t="s">
        <v>92</v>
      </c>
      <c r="B31" s="4" t="s">
        <v>93</v>
      </c>
      <c r="C31" s="4">
        <v>31</v>
      </c>
      <c r="D31" s="4" t="s">
        <v>27</v>
      </c>
      <c r="E31" s="4" t="s">
        <v>31</v>
      </c>
      <c r="F31" s="3">
        <v>45667</v>
      </c>
      <c r="G31" s="3">
        <v>45745</v>
      </c>
      <c r="H31" s="4">
        <v>2500</v>
      </c>
      <c r="I31" s="4">
        <v>23</v>
      </c>
      <c r="J31" s="4" t="s">
        <v>42</v>
      </c>
      <c r="K31" s="7" t="s">
        <v>94</v>
      </c>
      <c r="L31" s="30">
        <f>Table15[[#This Row],[End_Date]]-Table15[[#This Row],[Start_Date]]</f>
        <v>78</v>
      </c>
      <c r="M31" s="22">
        <f>Table15[[#This Row],[Total Days]]/30</f>
        <v>2.6</v>
      </c>
      <c r="N31" s="37">
        <f>Table15[[#This Row],[Monthly_Fee]]*Table15[[#This Row],[Membership_Duration_Months]]</f>
        <v>6500</v>
      </c>
    </row>
    <row r="32" spans="1:18" x14ac:dyDescent="0.35">
      <c r="A32" s="26" t="s">
        <v>95</v>
      </c>
      <c r="B32" s="26" t="s">
        <v>96</v>
      </c>
      <c r="C32" s="26">
        <v>52</v>
      </c>
      <c r="D32" s="26" t="s">
        <v>27</v>
      </c>
      <c r="E32" s="26" t="s">
        <v>13</v>
      </c>
      <c r="F32" s="27">
        <v>45088</v>
      </c>
      <c r="G32" s="27">
        <v>45656</v>
      </c>
      <c r="H32" s="26">
        <v>800</v>
      </c>
      <c r="I32" s="26">
        <v>9</v>
      </c>
      <c r="J32" s="26" t="s">
        <v>67</v>
      </c>
      <c r="K32" s="28" t="s">
        <v>97</v>
      </c>
      <c r="L32" s="30">
        <f>Table15[[#This Row],[End_Date]]-Table15[[#This Row],[Start_Date]]</f>
        <v>568</v>
      </c>
      <c r="M32" s="22">
        <f>Table15[[#This Row],[Total Days]]/30</f>
        <v>18.933333333333334</v>
      </c>
      <c r="N32" s="37">
        <f>Table15[[#This Row],[Monthly_Fee]]*Table15[[#This Row],[Membership_Duration_Months]]</f>
        <v>15146.666666666666</v>
      </c>
    </row>
    <row r="33" spans="1:14" x14ac:dyDescent="0.35">
      <c r="A33" s="4" t="s">
        <v>98</v>
      </c>
      <c r="B33" s="4" t="s">
        <v>99</v>
      </c>
      <c r="C33" s="4">
        <v>20</v>
      </c>
      <c r="D33" s="4" t="s">
        <v>12</v>
      </c>
      <c r="E33" s="4" t="s">
        <v>22</v>
      </c>
      <c r="F33" s="3">
        <v>45391</v>
      </c>
      <c r="G33" s="3">
        <v>45604</v>
      </c>
      <c r="H33" s="4">
        <v>1200</v>
      </c>
      <c r="I33" s="4">
        <v>2</v>
      </c>
      <c r="J33" s="4" t="s">
        <v>35</v>
      </c>
      <c r="K33" s="7"/>
      <c r="L33" s="30">
        <f>Table15[[#This Row],[End_Date]]-Table15[[#This Row],[Start_Date]]</f>
        <v>213</v>
      </c>
      <c r="M33" s="22">
        <f>Table15[[#This Row],[Total Days]]/30</f>
        <v>7.1</v>
      </c>
      <c r="N33" s="37">
        <f>Table15[[#This Row],[Monthly_Fee]]*Table15[[#This Row],[Membership_Duration_Months]]</f>
        <v>8520</v>
      </c>
    </row>
    <row r="34" spans="1:14" x14ac:dyDescent="0.35">
      <c r="A34" s="26" t="s">
        <v>100</v>
      </c>
      <c r="B34" s="26" t="s">
        <v>101</v>
      </c>
      <c r="C34" s="26">
        <v>22</v>
      </c>
      <c r="D34" s="26" t="s">
        <v>12</v>
      </c>
      <c r="E34" s="26" t="s">
        <v>13</v>
      </c>
      <c r="F34" s="27">
        <v>45699</v>
      </c>
      <c r="G34" s="27">
        <v>45740</v>
      </c>
      <c r="H34" s="26">
        <v>800</v>
      </c>
      <c r="I34" s="26">
        <v>30</v>
      </c>
      <c r="J34" s="26" t="s">
        <v>35</v>
      </c>
      <c r="K34" s="28"/>
      <c r="L34" s="30">
        <f>Table15[[#This Row],[End_Date]]-Table15[[#This Row],[Start_Date]]</f>
        <v>41</v>
      </c>
      <c r="M34" s="22">
        <f>Table15[[#This Row],[Total Days]]/30</f>
        <v>1.3666666666666667</v>
      </c>
      <c r="N34" s="37">
        <f>Table15[[#This Row],[Monthly_Fee]]*Table15[[#This Row],[Membership_Duration_Months]]</f>
        <v>1093.3333333333333</v>
      </c>
    </row>
    <row r="35" spans="1:14" x14ac:dyDescent="0.35">
      <c r="A35" s="4" t="s">
        <v>102</v>
      </c>
      <c r="B35" s="4" t="s">
        <v>103</v>
      </c>
      <c r="C35" s="4">
        <v>23</v>
      </c>
      <c r="D35" s="4" t="s">
        <v>12</v>
      </c>
      <c r="E35" s="4" t="s">
        <v>41</v>
      </c>
      <c r="F35" s="3">
        <v>45588</v>
      </c>
      <c r="G35" s="3">
        <v>45721</v>
      </c>
      <c r="H35" s="4">
        <v>1800</v>
      </c>
      <c r="I35" s="4">
        <v>23</v>
      </c>
      <c r="J35" s="4" t="s">
        <v>18</v>
      </c>
      <c r="K35" s="7" t="s">
        <v>104</v>
      </c>
      <c r="L35" s="30">
        <f>Table15[[#This Row],[End_Date]]-Table15[[#This Row],[Start_Date]]</f>
        <v>133</v>
      </c>
      <c r="M35" s="22">
        <f>Table15[[#This Row],[Total Days]]/30</f>
        <v>4.4333333333333336</v>
      </c>
      <c r="N35" s="37">
        <f>Table15[[#This Row],[Monthly_Fee]]*Table15[[#This Row],[Membership_Duration_Months]]</f>
        <v>7980</v>
      </c>
    </row>
    <row r="36" spans="1:14" x14ac:dyDescent="0.35">
      <c r="A36" s="26" t="s">
        <v>105</v>
      </c>
      <c r="B36" s="26" t="s">
        <v>106</v>
      </c>
      <c r="C36" s="26">
        <v>27</v>
      </c>
      <c r="D36" s="26" t="s">
        <v>27</v>
      </c>
      <c r="E36" s="26" t="s">
        <v>22</v>
      </c>
      <c r="F36" s="27">
        <v>45312</v>
      </c>
      <c r="G36" s="27">
        <v>45652</v>
      </c>
      <c r="H36" s="26">
        <v>1200</v>
      </c>
      <c r="I36" s="26">
        <v>27</v>
      </c>
      <c r="J36" s="26" t="s">
        <v>18</v>
      </c>
      <c r="K36" s="28"/>
      <c r="L36" s="30">
        <f>Table15[[#This Row],[End_Date]]-Table15[[#This Row],[Start_Date]]</f>
        <v>340</v>
      </c>
      <c r="M36" s="22">
        <f>Table15[[#This Row],[Total Days]]/30</f>
        <v>11.333333333333334</v>
      </c>
      <c r="N36" s="37">
        <f>Table15[[#This Row],[Monthly_Fee]]*Table15[[#This Row],[Membership_Duration_Months]]</f>
        <v>13600</v>
      </c>
    </row>
  </sheetData>
  <mergeCells count="1">
    <mergeCell ref="Q10:R10"/>
  </mergeCell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8A566-2F90-4099-AD77-A3D7F68A6E72}">
  <dimension ref="A1:Q36"/>
  <sheetViews>
    <sheetView topLeftCell="G1" workbookViewId="0">
      <selection activeCell="P11" sqref="P11"/>
    </sheetView>
  </sheetViews>
  <sheetFormatPr defaultRowHeight="14.5" x14ac:dyDescent="0.35"/>
  <cols>
    <col min="1" max="1" width="15.81640625" bestFit="1" customWidth="1"/>
    <col min="2" max="2" width="15.1796875" bestFit="1" customWidth="1"/>
    <col min="3" max="3" width="8.453125" bestFit="1" customWidth="1"/>
    <col min="4" max="4" width="11.54296875" bestFit="1" customWidth="1"/>
    <col min="5" max="5" width="21.08984375" bestFit="1" customWidth="1"/>
    <col min="6" max="6" width="14.453125" bestFit="1" customWidth="1"/>
    <col min="7" max="7" width="13.54296875" bestFit="1" customWidth="1"/>
    <col min="8" max="8" width="16.36328125" bestFit="1" customWidth="1"/>
    <col min="9" max="9" width="15.08984375" bestFit="1" customWidth="1"/>
    <col min="10" max="10" width="10" bestFit="1" customWidth="1"/>
    <col min="11" max="11" width="18" bestFit="1" customWidth="1"/>
    <col min="12" max="12" width="14.08984375" bestFit="1" customWidth="1"/>
    <col min="13" max="13" width="32.36328125" bestFit="1" customWidth="1"/>
    <col min="14" max="14" width="17.26953125" bestFit="1" customWidth="1"/>
  </cols>
  <sheetData>
    <row r="1" spans="1:17" x14ac:dyDescent="0.35">
      <c r="A1" s="31" t="s">
        <v>107</v>
      </c>
      <c r="B1" s="31" t="s">
        <v>0</v>
      </c>
      <c r="C1" s="31" t="s">
        <v>1</v>
      </c>
      <c r="D1" s="31" t="s">
        <v>2</v>
      </c>
      <c r="E1" s="31" t="s">
        <v>3</v>
      </c>
      <c r="F1" s="31" t="s">
        <v>4</v>
      </c>
      <c r="G1" s="31" t="s">
        <v>5</v>
      </c>
      <c r="H1" s="31" t="s">
        <v>6</v>
      </c>
      <c r="I1" s="31" t="s">
        <v>7</v>
      </c>
      <c r="J1" s="31" t="s">
        <v>8</v>
      </c>
      <c r="K1" s="32" t="s">
        <v>9</v>
      </c>
      <c r="L1" s="31" t="s">
        <v>111</v>
      </c>
      <c r="M1" s="31" t="s">
        <v>112</v>
      </c>
      <c r="N1" s="31" t="s">
        <v>123</v>
      </c>
    </row>
    <row r="2" spans="1:17" x14ac:dyDescent="0.35">
      <c r="A2" s="26" t="s">
        <v>10</v>
      </c>
      <c r="B2" s="26" t="s">
        <v>11</v>
      </c>
      <c r="C2" s="26">
        <v>59</v>
      </c>
      <c r="D2" s="26" t="s">
        <v>12</v>
      </c>
      <c r="E2" s="26" t="s">
        <v>13</v>
      </c>
      <c r="F2" s="27">
        <v>45235</v>
      </c>
      <c r="G2" s="27">
        <v>45425</v>
      </c>
      <c r="H2" s="26">
        <v>800</v>
      </c>
      <c r="I2" s="26">
        <v>25</v>
      </c>
      <c r="J2" s="26" t="s">
        <v>14</v>
      </c>
      <c r="K2" s="28" t="s">
        <v>15</v>
      </c>
      <c r="L2" s="26">
        <f>Table157[[#This Row],[End_Date]]-Table157[[#This Row],[Start_Date]]</f>
        <v>190</v>
      </c>
      <c r="M2" s="43">
        <f>Table157[[#This Row],[Total Days]]/30</f>
        <v>6.333333333333333</v>
      </c>
      <c r="N2" s="40">
        <f>Table157[[#This Row],[Monthly_Fee]]*Table157[[#This Row],[Membership_Duration_Months]]</f>
        <v>5066.6666666666661</v>
      </c>
      <c r="Q2" t="b">
        <f>IF(AND(I2&lt;8,M2&gt;=6),ROW())</f>
        <v>0</v>
      </c>
    </row>
    <row r="3" spans="1:17" x14ac:dyDescent="0.35">
      <c r="A3" s="4" t="s">
        <v>16</v>
      </c>
      <c r="B3" s="4" t="s">
        <v>17</v>
      </c>
      <c r="C3" s="4">
        <v>27</v>
      </c>
      <c r="D3" s="4" t="s">
        <v>12</v>
      </c>
      <c r="E3" s="4" t="s">
        <v>13</v>
      </c>
      <c r="F3" s="3">
        <v>45714</v>
      </c>
      <c r="G3" s="3">
        <v>45740</v>
      </c>
      <c r="H3" s="4">
        <v>800</v>
      </c>
      <c r="I3" s="4">
        <v>20</v>
      </c>
      <c r="J3" s="4" t="s">
        <v>18</v>
      </c>
      <c r="K3" s="7" t="s">
        <v>19</v>
      </c>
      <c r="L3" s="4">
        <f>Table157[[#This Row],[End_Date]]-Table157[[#This Row],[Start_Date]]</f>
        <v>26</v>
      </c>
      <c r="M3" s="17">
        <f>Table157[[#This Row],[Total Days]]/30</f>
        <v>0.8666666666666667</v>
      </c>
      <c r="N3" s="41">
        <f>Table157[[#This Row],[Monthly_Fee]]*Table157[[#This Row],[Membership_Duration_Months]]</f>
        <v>693.33333333333337</v>
      </c>
      <c r="Q3" t="b">
        <f t="shared" ref="Q3:Q36" si="0">IF(AND(I3&lt;8,M3&gt;=6),ROW())</f>
        <v>0</v>
      </c>
    </row>
    <row r="4" spans="1:17" x14ac:dyDescent="0.35">
      <c r="A4" s="26" t="s">
        <v>20</v>
      </c>
      <c r="B4" s="26" t="s">
        <v>21</v>
      </c>
      <c r="C4" s="26">
        <v>24</v>
      </c>
      <c r="D4" s="26" t="s">
        <v>12</v>
      </c>
      <c r="E4" s="26" t="s">
        <v>22</v>
      </c>
      <c r="F4" s="27">
        <v>45191</v>
      </c>
      <c r="G4" s="27">
        <v>45371</v>
      </c>
      <c r="H4" s="26">
        <v>1200</v>
      </c>
      <c r="I4" s="26">
        <v>18</v>
      </c>
      <c r="J4" s="26" t="s">
        <v>23</v>
      </c>
      <c r="K4" s="28" t="s">
        <v>24</v>
      </c>
      <c r="L4" s="26">
        <f>Table157[[#This Row],[End_Date]]-Table157[[#This Row],[Start_Date]]</f>
        <v>180</v>
      </c>
      <c r="M4" s="43">
        <f>Table157[[#This Row],[Total Days]]/30</f>
        <v>6</v>
      </c>
      <c r="N4" s="40">
        <f>Table157[[#This Row],[Monthly_Fee]]*Table157[[#This Row],[Membership_Duration_Months]]</f>
        <v>7200</v>
      </c>
      <c r="Q4" t="b">
        <f t="shared" si="0"/>
        <v>0</v>
      </c>
    </row>
    <row r="5" spans="1:17" x14ac:dyDescent="0.35">
      <c r="A5" s="4" t="s">
        <v>25</v>
      </c>
      <c r="B5" s="4" t="s">
        <v>26</v>
      </c>
      <c r="C5" s="4">
        <v>31</v>
      </c>
      <c r="D5" s="4" t="s">
        <v>27</v>
      </c>
      <c r="E5" s="4" t="s">
        <v>22</v>
      </c>
      <c r="F5" s="3">
        <v>45479</v>
      </c>
      <c r="G5" s="3">
        <v>45587</v>
      </c>
      <c r="H5" s="4">
        <v>1200</v>
      </c>
      <c r="I5" s="4">
        <v>16</v>
      </c>
      <c r="J5" s="4" t="s">
        <v>23</v>
      </c>
      <c r="K5" s="7" t="s">
        <v>28</v>
      </c>
      <c r="L5" s="4">
        <f>Table157[[#This Row],[End_Date]]-Table157[[#This Row],[Start_Date]]</f>
        <v>108</v>
      </c>
      <c r="M5" s="17">
        <f>Table157[[#This Row],[Total Days]]/30</f>
        <v>3.6</v>
      </c>
      <c r="N5" s="41">
        <f>Table157[[#This Row],[Monthly_Fee]]*Table157[[#This Row],[Membership_Duration_Months]]</f>
        <v>4320</v>
      </c>
      <c r="Q5" t="b">
        <f t="shared" si="0"/>
        <v>0</v>
      </c>
    </row>
    <row r="6" spans="1:17" x14ac:dyDescent="0.35">
      <c r="A6" s="26" t="s">
        <v>29</v>
      </c>
      <c r="B6" s="26" t="s">
        <v>30</v>
      </c>
      <c r="C6" s="26">
        <v>19</v>
      </c>
      <c r="D6" s="26" t="s">
        <v>12</v>
      </c>
      <c r="E6" s="26" t="s">
        <v>31</v>
      </c>
      <c r="F6" s="27">
        <v>45286</v>
      </c>
      <c r="G6" s="27">
        <v>45501</v>
      </c>
      <c r="H6" s="26">
        <v>2500</v>
      </c>
      <c r="I6" s="26">
        <v>12</v>
      </c>
      <c r="J6" s="26" t="s">
        <v>14</v>
      </c>
      <c r="K6" s="28" t="s">
        <v>32</v>
      </c>
      <c r="L6" s="26">
        <f>Table157[[#This Row],[End_Date]]-Table157[[#This Row],[Start_Date]]</f>
        <v>215</v>
      </c>
      <c r="M6" s="43">
        <f>Table157[[#This Row],[Total Days]]/30</f>
        <v>7.166666666666667</v>
      </c>
      <c r="N6" s="40">
        <f>Table157[[#This Row],[Monthly_Fee]]*Table157[[#This Row],[Membership_Duration_Months]]</f>
        <v>17916.666666666668</v>
      </c>
      <c r="Q6" t="b">
        <f t="shared" si="0"/>
        <v>0</v>
      </c>
    </row>
    <row r="7" spans="1:17" x14ac:dyDescent="0.35">
      <c r="A7" s="4" t="s">
        <v>33</v>
      </c>
      <c r="B7" s="4" t="s">
        <v>34</v>
      </c>
      <c r="C7" s="4">
        <v>40</v>
      </c>
      <c r="D7" s="4" t="s">
        <v>12</v>
      </c>
      <c r="E7" s="4" t="s">
        <v>13</v>
      </c>
      <c r="F7" s="3">
        <v>45317</v>
      </c>
      <c r="G7" s="3">
        <v>45392</v>
      </c>
      <c r="H7" s="4">
        <v>800</v>
      </c>
      <c r="I7" s="4">
        <v>14</v>
      </c>
      <c r="J7" s="4" t="s">
        <v>35</v>
      </c>
      <c r="K7" s="7" t="s">
        <v>36</v>
      </c>
      <c r="L7" s="4">
        <f>Table157[[#This Row],[End_Date]]-Table157[[#This Row],[Start_Date]]</f>
        <v>75</v>
      </c>
      <c r="M7" s="17">
        <f>Table157[[#This Row],[Total Days]]/30</f>
        <v>2.5</v>
      </c>
      <c r="N7" s="41">
        <f>Table157[[#This Row],[Monthly_Fee]]*Table157[[#This Row],[Membership_Duration_Months]]</f>
        <v>2000</v>
      </c>
      <c r="Q7" t="b">
        <f t="shared" si="0"/>
        <v>0</v>
      </c>
    </row>
    <row r="8" spans="1:17" x14ac:dyDescent="0.35">
      <c r="A8" s="26" t="s">
        <v>37</v>
      </c>
      <c r="B8" s="26" t="s">
        <v>38</v>
      </c>
      <c r="C8" s="26">
        <v>41</v>
      </c>
      <c r="D8" s="26" t="s">
        <v>27</v>
      </c>
      <c r="E8" s="26" t="s">
        <v>13</v>
      </c>
      <c r="F8" s="27">
        <v>45588</v>
      </c>
      <c r="G8" s="27">
        <v>45677</v>
      </c>
      <c r="H8" s="26">
        <v>800</v>
      </c>
      <c r="I8" s="26">
        <v>25</v>
      </c>
      <c r="J8" s="26" t="s">
        <v>18</v>
      </c>
      <c r="K8" s="28"/>
      <c r="L8" s="26">
        <f>Table157[[#This Row],[End_Date]]-Table157[[#This Row],[Start_Date]]</f>
        <v>89</v>
      </c>
      <c r="M8" s="43">
        <f>Table157[[#This Row],[Total Days]]/30</f>
        <v>2.9666666666666668</v>
      </c>
      <c r="N8" s="40">
        <f>Table157[[#This Row],[Monthly_Fee]]*Table157[[#This Row],[Membership_Duration_Months]]</f>
        <v>2373.3333333333335</v>
      </c>
      <c r="Q8" t="b">
        <f t="shared" si="0"/>
        <v>0</v>
      </c>
    </row>
    <row r="9" spans="1:17" x14ac:dyDescent="0.35">
      <c r="A9" s="4" t="s">
        <v>39</v>
      </c>
      <c r="B9" s="4" t="s">
        <v>40</v>
      </c>
      <c r="C9" s="4">
        <v>43</v>
      </c>
      <c r="D9" s="4" t="s">
        <v>12</v>
      </c>
      <c r="E9" s="4" t="s">
        <v>41</v>
      </c>
      <c r="F9" s="3">
        <v>45450</v>
      </c>
      <c r="G9" s="3">
        <v>45563</v>
      </c>
      <c r="H9" s="4">
        <v>1800</v>
      </c>
      <c r="I9" s="4">
        <v>28</v>
      </c>
      <c r="J9" s="4" t="s">
        <v>42</v>
      </c>
      <c r="K9" s="7"/>
      <c r="L9" s="4">
        <f>Table157[[#This Row],[End_Date]]-Table157[[#This Row],[Start_Date]]</f>
        <v>113</v>
      </c>
      <c r="M9" s="17">
        <f>Table157[[#This Row],[Total Days]]/30</f>
        <v>3.7666666666666666</v>
      </c>
      <c r="N9" s="41">
        <f>Table157[[#This Row],[Monthly_Fee]]*Table157[[#This Row],[Membership_Duration_Months]]</f>
        <v>6780</v>
      </c>
      <c r="Q9" t="b">
        <f t="shared" si="0"/>
        <v>0</v>
      </c>
    </row>
    <row r="10" spans="1:17" x14ac:dyDescent="0.35">
      <c r="A10" s="26" t="s">
        <v>43</v>
      </c>
      <c r="B10" s="26" t="s">
        <v>44</v>
      </c>
      <c r="C10" s="26">
        <v>42</v>
      </c>
      <c r="D10" s="26" t="s">
        <v>12</v>
      </c>
      <c r="E10" s="26" t="s">
        <v>13</v>
      </c>
      <c r="F10" s="27">
        <v>45569</v>
      </c>
      <c r="G10" s="27">
        <v>45582</v>
      </c>
      <c r="H10" s="26">
        <v>800</v>
      </c>
      <c r="I10" s="26">
        <v>3</v>
      </c>
      <c r="J10" s="26" t="s">
        <v>42</v>
      </c>
      <c r="K10" s="28" t="s">
        <v>45</v>
      </c>
      <c r="L10" s="26">
        <f>Table157[[#This Row],[End_Date]]-Table157[[#This Row],[Start_Date]]</f>
        <v>13</v>
      </c>
      <c r="M10" s="43">
        <f>Table157[[#This Row],[Total Days]]/30</f>
        <v>0.43333333333333335</v>
      </c>
      <c r="N10" s="40">
        <f>Table157[[#This Row],[Monthly_Fee]]*Table157[[#This Row],[Membership_Duration_Months]]</f>
        <v>346.66666666666669</v>
      </c>
      <c r="Q10" t="b">
        <f t="shared" si="0"/>
        <v>0</v>
      </c>
    </row>
    <row r="11" spans="1:17" x14ac:dyDescent="0.35">
      <c r="A11" s="4" t="s">
        <v>46</v>
      </c>
      <c r="B11" s="4" t="s">
        <v>47</v>
      </c>
      <c r="C11" s="4">
        <v>37</v>
      </c>
      <c r="D11" s="4" t="s">
        <v>12</v>
      </c>
      <c r="E11" s="4" t="s">
        <v>22</v>
      </c>
      <c r="F11" s="3">
        <v>45202</v>
      </c>
      <c r="G11" s="3">
        <v>45280</v>
      </c>
      <c r="H11" s="4">
        <v>1200</v>
      </c>
      <c r="I11" s="4">
        <v>29</v>
      </c>
      <c r="J11" s="4" t="s">
        <v>35</v>
      </c>
      <c r="K11" s="7" t="s">
        <v>48</v>
      </c>
      <c r="L11" s="4">
        <f>Table157[[#This Row],[End_Date]]-Table157[[#This Row],[Start_Date]]</f>
        <v>78</v>
      </c>
      <c r="M11" s="17">
        <f>Table157[[#This Row],[Total Days]]/30</f>
        <v>2.6</v>
      </c>
      <c r="N11" s="41">
        <f>Table157[[#This Row],[Monthly_Fee]]*Table157[[#This Row],[Membership_Duration_Months]]</f>
        <v>3120</v>
      </c>
      <c r="Q11" t="b">
        <f t="shared" si="0"/>
        <v>0</v>
      </c>
    </row>
    <row r="12" spans="1:17" x14ac:dyDescent="0.35">
      <c r="A12" s="26" t="s">
        <v>49</v>
      </c>
      <c r="B12" s="26" t="s">
        <v>50</v>
      </c>
      <c r="C12" s="26">
        <v>48</v>
      </c>
      <c r="D12" s="26" t="s">
        <v>27</v>
      </c>
      <c r="E12" s="26" t="s">
        <v>22</v>
      </c>
      <c r="F12" s="27">
        <v>45297</v>
      </c>
      <c r="G12" s="27">
        <v>45459</v>
      </c>
      <c r="H12" s="26">
        <v>1200</v>
      </c>
      <c r="I12" s="26">
        <v>13</v>
      </c>
      <c r="J12" s="26" t="s">
        <v>14</v>
      </c>
      <c r="K12" s="28" t="s">
        <v>51</v>
      </c>
      <c r="L12" s="26">
        <f>Table157[[#This Row],[End_Date]]-Table157[[#This Row],[Start_Date]]</f>
        <v>162</v>
      </c>
      <c r="M12" s="43">
        <f>Table157[[#This Row],[Total Days]]/30</f>
        <v>5.4</v>
      </c>
      <c r="N12" s="40">
        <f>Table157[[#This Row],[Monthly_Fee]]*Table157[[#This Row],[Membership_Duration_Months]]</f>
        <v>6480</v>
      </c>
      <c r="Q12" t="b">
        <f t="shared" si="0"/>
        <v>0</v>
      </c>
    </row>
    <row r="13" spans="1:17" x14ac:dyDescent="0.35">
      <c r="A13" s="4" t="s">
        <v>52</v>
      </c>
      <c r="B13" s="4" t="s">
        <v>53</v>
      </c>
      <c r="C13" s="4">
        <v>36</v>
      </c>
      <c r="D13" s="4" t="s">
        <v>12</v>
      </c>
      <c r="E13" s="4" t="s">
        <v>22</v>
      </c>
      <c r="F13" s="3">
        <v>45154</v>
      </c>
      <c r="G13" s="3">
        <v>45568</v>
      </c>
      <c r="H13" s="4">
        <v>1200</v>
      </c>
      <c r="I13" s="4">
        <v>19</v>
      </c>
      <c r="J13" s="4" t="s">
        <v>42</v>
      </c>
      <c r="K13" s="7" t="s">
        <v>54</v>
      </c>
      <c r="L13" s="4">
        <f>Table157[[#This Row],[End_Date]]-Table157[[#This Row],[Start_Date]]</f>
        <v>414</v>
      </c>
      <c r="M13" s="17">
        <f>Table157[[#This Row],[Total Days]]/30</f>
        <v>13.8</v>
      </c>
      <c r="N13" s="41">
        <f>Table157[[#This Row],[Monthly_Fee]]*Table157[[#This Row],[Membership_Duration_Months]]</f>
        <v>16560</v>
      </c>
      <c r="Q13" t="b">
        <f t="shared" si="0"/>
        <v>0</v>
      </c>
    </row>
    <row r="14" spans="1:17" x14ac:dyDescent="0.35">
      <c r="A14" s="26" t="s">
        <v>55</v>
      </c>
      <c r="B14" s="26" t="s">
        <v>56</v>
      </c>
      <c r="C14" s="26">
        <v>48</v>
      </c>
      <c r="D14" s="26" t="s">
        <v>27</v>
      </c>
      <c r="E14" s="26" t="s">
        <v>41</v>
      </c>
      <c r="F14" s="27">
        <v>45556</v>
      </c>
      <c r="G14" s="27">
        <v>45641</v>
      </c>
      <c r="H14" s="26">
        <v>1800</v>
      </c>
      <c r="I14" s="26">
        <v>22</v>
      </c>
      <c r="J14" s="26" t="s">
        <v>42</v>
      </c>
      <c r="K14" s="28"/>
      <c r="L14" s="26">
        <f>Table157[[#This Row],[End_Date]]-Table157[[#This Row],[Start_Date]]</f>
        <v>85</v>
      </c>
      <c r="M14" s="43">
        <f>Table157[[#This Row],[Total Days]]/30</f>
        <v>2.8333333333333335</v>
      </c>
      <c r="N14" s="40">
        <f>Table157[[#This Row],[Monthly_Fee]]*Table157[[#This Row],[Membership_Duration_Months]]</f>
        <v>5100</v>
      </c>
      <c r="Q14" t="b">
        <f t="shared" si="0"/>
        <v>0</v>
      </c>
    </row>
    <row r="15" spans="1:17" x14ac:dyDescent="0.35">
      <c r="A15" s="4" t="s">
        <v>57</v>
      </c>
      <c r="B15" s="4" t="s">
        <v>58</v>
      </c>
      <c r="C15" s="4">
        <v>39</v>
      </c>
      <c r="D15" s="4" t="s">
        <v>12</v>
      </c>
      <c r="E15" s="4" t="s">
        <v>22</v>
      </c>
      <c r="F15" s="3">
        <v>45065</v>
      </c>
      <c r="G15" s="3">
        <v>45242</v>
      </c>
      <c r="H15" s="4">
        <v>1200</v>
      </c>
      <c r="I15" s="4">
        <v>28</v>
      </c>
      <c r="J15" s="4" t="s">
        <v>35</v>
      </c>
      <c r="K15" s="7"/>
      <c r="L15" s="4">
        <f>Table157[[#This Row],[End_Date]]-Table157[[#This Row],[Start_Date]]</f>
        <v>177</v>
      </c>
      <c r="M15" s="17">
        <f>Table157[[#This Row],[Total Days]]/30</f>
        <v>5.9</v>
      </c>
      <c r="N15" s="41">
        <f>Table157[[#This Row],[Monthly_Fee]]*Table157[[#This Row],[Membership_Duration_Months]]</f>
        <v>7080</v>
      </c>
      <c r="Q15" t="b">
        <f t="shared" si="0"/>
        <v>0</v>
      </c>
    </row>
    <row r="16" spans="1:17" x14ac:dyDescent="0.35">
      <c r="A16" s="26" t="s">
        <v>59</v>
      </c>
      <c r="B16" s="26" t="s">
        <v>60</v>
      </c>
      <c r="C16" s="26">
        <v>44</v>
      </c>
      <c r="D16" s="26" t="s">
        <v>27</v>
      </c>
      <c r="E16" s="26" t="s">
        <v>13</v>
      </c>
      <c r="F16" s="27">
        <v>45333</v>
      </c>
      <c r="G16" s="27">
        <v>45540</v>
      </c>
      <c r="H16" s="26">
        <v>800</v>
      </c>
      <c r="I16" s="26">
        <v>8</v>
      </c>
      <c r="J16" s="26" t="s">
        <v>23</v>
      </c>
      <c r="K16" s="28"/>
      <c r="L16" s="26">
        <f>Table157[[#This Row],[End_Date]]-Table157[[#This Row],[Start_Date]]</f>
        <v>207</v>
      </c>
      <c r="M16" s="43">
        <f>Table157[[#This Row],[Total Days]]/30</f>
        <v>6.9</v>
      </c>
      <c r="N16" s="40">
        <f>Table157[[#This Row],[Monthly_Fee]]*Table157[[#This Row],[Membership_Duration_Months]]</f>
        <v>5520</v>
      </c>
      <c r="Q16" t="b">
        <f t="shared" si="0"/>
        <v>0</v>
      </c>
    </row>
    <row r="17" spans="1:17" x14ac:dyDescent="0.35">
      <c r="A17" s="4" t="s">
        <v>61</v>
      </c>
      <c r="B17" s="4" t="s">
        <v>62</v>
      </c>
      <c r="C17" s="4">
        <v>39</v>
      </c>
      <c r="D17" s="4" t="s">
        <v>12</v>
      </c>
      <c r="E17" s="4" t="s">
        <v>31</v>
      </c>
      <c r="F17" s="3">
        <v>45702</v>
      </c>
      <c r="G17" s="3">
        <v>45732</v>
      </c>
      <c r="H17" s="4">
        <v>2500</v>
      </c>
      <c r="I17" s="4">
        <v>14</v>
      </c>
      <c r="J17" s="4" t="s">
        <v>42</v>
      </c>
      <c r="K17" s="7"/>
      <c r="L17" s="4">
        <f>Table157[[#This Row],[End_Date]]-Table157[[#This Row],[Start_Date]]</f>
        <v>30</v>
      </c>
      <c r="M17" s="17">
        <f>Table157[[#This Row],[Total Days]]/30</f>
        <v>1</v>
      </c>
      <c r="N17" s="41">
        <f>Table157[[#This Row],[Monthly_Fee]]*Table157[[#This Row],[Membership_Duration_Months]]</f>
        <v>2500</v>
      </c>
      <c r="Q17" t="b">
        <f t="shared" si="0"/>
        <v>0</v>
      </c>
    </row>
    <row r="18" spans="1:17" x14ac:dyDescent="0.35">
      <c r="A18" s="26" t="s">
        <v>63</v>
      </c>
      <c r="B18" s="26" t="s">
        <v>64</v>
      </c>
      <c r="C18" s="26">
        <v>35</v>
      </c>
      <c r="D18" s="26" t="s">
        <v>12</v>
      </c>
      <c r="E18" s="26" t="s">
        <v>22</v>
      </c>
      <c r="F18" s="27">
        <v>45329</v>
      </c>
      <c r="G18" s="27">
        <v>45685</v>
      </c>
      <c r="H18" s="26">
        <v>1200</v>
      </c>
      <c r="I18" s="26">
        <v>25</v>
      </c>
      <c r="J18" s="26" t="s">
        <v>23</v>
      </c>
      <c r="K18" s="28"/>
      <c r="L18" s="26">
        <f>Table157[[#This Row],[End_Date]]-Table157[[#This Row],[Start_Date]]</f>
        <v>356</v>
      </c>
      <c r="M18" s="43">
        <f>Table157[[#This Row],[Total Days]]/30</f>
        <v>11.866666666666667</v>
      </c>
      <c r="N18" s="40">
        <f>Table157[[#This Row],[Monthly_Fee]]*Table157[[#This Row],[Membership_Duration_Months]]</f>
        <v>14240</v>
      </c>
      <c r="Q18" t="b">
        <f t="shared" si="0"/>
        <v>0</v>
      </c>
    </row>
    <row r="19" spans="1:17" x14ac:dyDescent="0.35">
      <c r="A19" s="4" t="s">
        <v>65</v>
      </c>
      <c r="B19" s="4" t="s">
        <v>66</v>
      </c>
      <c r="C19" s="4">
        <v>56</v>
      </c>
      <c r="D19" s="4" t="s">
        <v>27</v>
      </c>
      <c r="E19" s="4" t="s">
        <v>31</v>
      </c>
      <c r="F19" s="3">
        <v>45213</v>
      </c>
      <c r="G19" s="3">
        <v>45649</v>
      </c>
      <c r="H19" s="4">
        <v>2500</v>
      </c>
      <c r="I19" s="4">
        <v>13</v>
      </c>
      <c r="J19" s="4" t="s">
        <v>67</v>
      </c>
      <c r="K19" s="7"/>
      <c r="L19" s="4">
        <f>Table157[[#This Row],[End_Date]]-Table157[[#This Row],[Start_Date]]</f>
        <v>436</v>
      </c>
      <c r="M19" s="17">
        <f>Table157[[#This Row],[Total Days]]/30</f>
        <v>14.533333333333333</v>
      </c>
      <c r="N19" s="41">
        <f>Table157[[#This Row],[Monthly_Fee]]*Table157[[#This Row],[Membership_Duration_Months]]</f>
        <v>36333.333333333336</v>
      </c>
      <c r="Q19" t="b">
        <f t="shared" si="0"/>
        <v>0</v>
      </c>
    </row>
    <row r="20" spans="1:17" x14ac:dyDescent="0.35">
      <c r="A20" s="26" t="s">
        <v>68</v>
      </c>
      <c r="B20" s="26" t="s">
        <v>69</v>
      </c>
      <c r="C20" s="26">
        <v>27</v>
      </c>
      <c r="D20" s="26" t="s">
        <v>27</v>
      </c>
      <c r="E20" s="26" t="s">
        <v>13</v>
      </c>
      <c r="F20" s="27">
        <v>45354</v>
      </c>
      <c r="G20" s="27">
        <v>45664</v>
      </c>
      <c r="H20" s="26">
        <v>800</v>
      </c>
      <c r="I20" s="26">
        <v>26</v>
      </c>
      <c r="J20" s="26" t="s">
        <v>35</v>
      </c>
      <c r="K20" s="28"/>
      <c r="L20" s="26">
        <f>Table157[[#This Row],[End_Date]]-Table157[[#This Row],[Start_Date]]</f>
        <v>310</v>
      </c>
      <c r="M20" s="43">
        <f>Table157[[#This Row],[Total Days]]/30</f>
        <v>10.333333333333334</v>
      </c>
      <c r="N20" s="40">
        <f>Table157[[#This Row],[Monthly_Fee]]*Table157[[#This Row],[Membership_Duration_Months]]</f>
        <v>8266.6666666666679</v>
      </c>
      <c r="Q20" t="b">
        <f t="shared" si="0"/>
        <v>0</v>
      </c>
    </row>
    <row r="21" spans="1:17" x14ac:dyDescent="0.35">
      <c r="A21" s="4" t="s">
        <v>70</v>
      </c>
      <c r="B21" s="4" t="s">
        <v>71</v>
      </c>
      <c r="C21" s="4">
        <v>28</v>
      </c>
      <c r="D21" s="4" t="s">
        <v>12</v>
      </c>
      <c r="E21" s="4" t="s">
        <v>31</v>
      </c>
      <c r="F21" s="3">
        <v>45417</v>
      </c>
      <c r="G21" s="3">
        <v>45608</v>
      </c>
      <c r="H21" s="4">
        <v>2500</v>
      </c>
      <c r="I21" s="4">
        <v>21</v>
      </c>
      <c r="J21" s="4" t="s">
        <v>35</v>
      </c>
      <c r="K21" s="7" t="s">
        <v>72</v>
      </c>
      <c r="L21" s="4">
        <f>Table157[[#This Row],[End_Date]]-Table157[[#This Row],[Start_Date]]</f>
        <v>191</v>
      </c>
      <c r="M21" s="17">
        <f>Table157[[#This Row],[Total Days]]/30</f>
        <v>6.3666666666666663</v>
      </c>
      <c r="N21" s="41">
        <f>Table157[[#This Row],[Monthly_Fee]]*Table157[[#This Row],[Membership_Duration_Months]]</f>
        <v>15916.666666666666</v>
      </c>
      <c r="Q21" t="b">
        <f t="shared" si="0"/>
        <v>0</v>
      </c>
    </row>
    <row r="22" spans="1:17" x14ac:dyDescent="0.35">
      <c r="A22" s="26" t="s">
        <v>73</v>
      </c>
      <c r="B22" s="26" t="s">
        <v>74</v>
      </c>
      <c r="C22" s="26">
        <v>57</v>
      </c>
      <c r="D22" s="26" t="s">
        <v>27</v>
      </c>
      <c r="E22" s="26" t="s">
        <v>41</v>
      </c>
      <c r="F22" s="27">
        <v>45146</v>
      </c>
      <c r="G22" s="27">
        <v>45674</v>
      </c>
      <c r="H22" s="26">
        <v>1800</v>
      </c>
      <c r="I22" s="26">
        <v>19</v>
      </c>
      <c r="J22" s="26" t="s">
        <v>35</v>
      </c>
      <c r="K22" s="28"/>
      <c r="L22" s="26">
        <f>Table157[[#This Row],[End_Date]]-Table157[[#This Row],[Start_Date]]</f>
        <v>528</v>
      </c>
      <c r="M22" s="43">
        <f>Table157[[#This Row],[Total Days]]/30</f>
        <v>17.600000000000001</v>
      </c>
      <c r="N22" s="40">
        <f>Table157[[#This Row],[Monthly_Fee]]*Table157[[#This Row],[Membership_Duration_Months]]</f>
        <v>31680.000000000004</v>
      </c>
      <c r="Q22" t="b">
        <f t="shared" si="0"/>
        <v>0</v>
      </c>
    </row>
    <row r="23" spans="1:17" x14ac:dyDescent="0.35">
      <c r="A23" s="4" t="s">
        <v>75</v>
      </c>
      <c r="B23" s="4" t="s">
        <v>76</v>
      </c>
      <c r="C23" s="4">
        <v>26</v>
      </c>
      <c r="D23" s="4" t="s">
        <v>27</v>
      </c>
      <c r="E23" s="4" t="s">
        <v>41</v>
      </c>
      <c r="F23" s="3">
        <v>45320</v>
      </c>
      <c r="G23" s="3">
        <v>45616</v>
      </c>
      <c r="H23" s="4">
        <v>1800</v>
      </c>
      <c r="I23" s="4">
        <v>5</v>
      </c>
      <c r="J23" s="4" t="s">
        <v>14</v>
      </c>
      <c r="K23" s="7"/>
      <c r="L23" s="4">
        <f>Table157[[#This Row],[End_Date]]-Table157[[#This Row],[Start_Date]]</f>
        <v>296</v>
      </c>
      <c r="M23" s="17">
        <f>Table157[[#This Row],[Total Days]]/30</f>
        <v>9.8666666666666671</v>
      </c>
      <c r="N23" s="41">
        <f>Table157[[#This Row],[Monthly_Fee]]*Table157[[#This Row],[Membership_Duration_Months]]</f>
        <v>17760</v>
      </c>
      <c r="Q23">
        <f t="shared" si="0"/>
        <v>23</v>
      </c>
    </row>
    <row r="24" spans="1:17" x14ac:dyDescent="0.35">
      <c r="A24" s="26" t="s">
        <v>77</v>
      </c>
      <c r="B24" s="26" t="s">
        <v>78</v>
      </c>
      <c r="C24" s="26">
        <v>48</v>
      </c>
      <c r="D24" s="26" t="s">
        <v>12</v>
      </c>
      <c r="E24" s="26" t="s">
        <v>41</v>
      </c>
      <c r="F24" s="27">
        <v>45451</v>
      </c>
      <c r="G24" s="27">
        <v>45455</v>
      </c>
      <c r="H24" s="26">
        <v>1800</v>
      </c>
      <c r="I24" s="26">
        <v>18</v>
      </c>
      <c r="J24" s="26" t="s">
        <v>67</v>
      </c>
      <c r="K24" s="28"/>
      <c r="L24" s="26">
        <f>Table157[[#This Row],[End_Date]]-Table157[[#This Row],[Start_Date]]</f>
        <v>4</v>
      </c>
      <c r="M24" s="43">
        <f>Table157[[#This Row],[Total Days]]/30</f>
        <v>0.13333333333333333</v>
      </c>
      <c r="N24" s="40">
        <f>Table157[[#This Row],[Monthly_Fee]]*Table157[[#This Row],[Membership_Duration_Months]]</f>
        <v>240</v>
      </c>
      <c r="Q24" t="b">
        <f t="shared" si="0"/>
        <v>0</v>
      </c>
    </row>
    <row r="25" spans="1:17" x14ac:dyDescent="0.35">
      <c r="A25" s="4" t="s">
        <v>79</v>
      </c>
      <c r="B25" s="4" t="s">
        <v>80</v>
      </c>
      <c r="C25" s="4">
        <v>25</v>
      </c>
      <c r="D25" s="4" t="s">
        <v>27</v>
      </c>
      <c r="E25" s="4" t="s">
        <v>22</v>
      </c>
      <c r="F25" s="3">
        <v>45439</v>
      </c>
      <c r="G25" s="3">
        <v>45730</v>
      </c>
      <c r="H25" s="4">
        <v>1200</v>
      </c>
      <c r="I25" s="4">
        <v>6</v>
      </c>
      <c r="J25" s="4" t="s">
        <v>14</v>
      </c>
      <c r="K25" s="7"/>
      <c r="L25" s="4">
        <f>Table157[[#This Row],[End_Date]]-Table157[[#This Row],[Start_Date]]</f>
        <v>291</v>
      </c>
      <c r="M25" s="17">
        <f>Table157[[#This Row],[Total Days]]/30</f>
        <v>9.6999999999999993</v>
      </c>
      <c r="N25" s="41">
        <f>Table157[[#This Row],[Monthly_Fee]]*Table157[[#This Row],[Membership_Duration_Months]]</f>
        <v>11640</v>
      </c>
      <c r="Q25">
        <f t="shared" si="0"/>
        <v>25</v>
      </c>
    </row>
    <row r="26" spans="1:17" x14ac:dyDescent="0.35">
      <c r="A26" s="26" t="s">
        <v>81</v>
      </c>
      <c r="B26" s="26" t="s">
        <v>82</v>
      </c>
      <c r="C26" s="26">
        <v>53</v>
      </c>
      <c r="D26" s="26" t="s">
        <v>12</v>
      </c>
      <c r="E26" s="26" t="s">
        <v>41</v>
      </c>
      <c r="F26" s="27">
        <v>45286</v>
      </c>
      <c r="G26" s="27">
        <v>45372</v>
      </c>
      <c r="H26" s="26">
        <v>1800</v>
      </c>
      <c r="I26" s="26">
        <v>17</v>
      </c>
      <c r="J26" s="26" t="s">
        <v>35</v>
      </c>
      <c r="K26" s="28" t="s">
        <v>83</v>
      </c>
      <c r="L26" s="26">
        <f>Table157[[#This Row],[End_Date]]-Table157[[#This Row],[Start_Date]]</f>
        <v>86</v>
      </c>
      <c r="M26" s="43">
        <f>Table157[[#This Row],[Total Days]]/30</f>
        <v>2.8666666666666667</v>
      </c>
      <c r="N26" s="40">
        <f>Table157[[#This Row],[Monthly_Fee]]*Table157[[#This Row],[Membership_Duration_Months]]</f>
        <v>5160</v>
      </c>
      <c r="Q26" t="b">
        <f t="shared" si="0"/>
        <v>0</v>
      </c>
    </row>
    <row r="27" spans="1:17" x14ac:dyDescent="0.35">
      <c r="A27" s="4" t="s">
        <v>84</v>
      </c>
      <c r="B27" s="4" t="s">
        <v>85</v>
      </c>
      <c r="C27" s="4">
        <v>42</v>
      </c>
      <c r="D27" s="4" t="s">
        <v>27</v>
      </c>
      <c r="E27" s="4" t="s">
        <v>22</v>
      </c>
      <c r="F27" s="3">
        <v>45702</v>
      </c>
      <c r="G27" s="3">
        <v>45727</v>
      </c>
      <c r="H27" s="4">
        <v>1200</v>
      </c>
      <c r="I27" s="4">
        <v>3</v>
      </c>
      <c r="J27" s="4" t="s">
        <v>67</v>
      </c>
      <c r="K27" s="7"/>
      <c r="L27" s="4">
        <f>Table157[[#This Row],[End_Date]]-Table157[[#This Row],[Start_Date]]</f>
        <v>25</v>
      </c>
      <c r="M27" s="17">
        <f>Table157[[#This Row],[Total Days]]/30</f>
        <v>0.83333333333333337</v>
      </c>
      <c r="N27" s="41">
        <f>Table157[[#This Row],[Monthly_Fee]]*Table157[[#This Row],[Membership_Duration_Months]]</f>
        <v>1000</v>
      </c>
      <c r="Q27" t="b">
        <f t="shared" si="0"/>
        <v>0</v>
      </c>
    </row>
    <row r="28" spans="1:17" x14ac:dyDescent="0.35">
      <c r="A28" s="26" t="s">
        <v>86</v>
      </c>
      <c r="B28" s="26" t="s">
        <v>87</v>
      </c>
      <c r="C28" s="26">
        <v>24</v>
      </c>
      <c r="D28" s="26" t="s">
        <v>12</v>
      </c>
      <c r="E28" s="26" t="s">
        <v>31</v>
      </c>
      <c r="F28" s="27">
        <v>45698</v>
      </c>
      <c r="G28" s="27">
        <v>45726</v>
      </c>
      <c r="H28" s="26">
        <v>2500</v>
      </c>
      <c r="I28" s="26">
        <v>28</v>
      </c>
      <c r="J28" s="26" t="s">
        <v>35</v>
      </c>
      <c r="K28" s="28"/>
      <c r="L28" s="26">
        <f>Table157[[#This Row],[End_Date]]-Table157[[#This Row],[Start_Date]]</f>
        <v>28</v>
      </c>
      <c r="M28" s="43">
        <f>Table157[[#This Row],[Total Days]]/30</f>
        <v>0.93333333333333335</v>
      </c>
      <c r="N28" s="40">
        <f>Table157[[#This Row],[Monthly_Fee]]*Table157[[#This Row],[Membership_Duration_Months]]</f>
        <v>2333.3333333333335</v>
      </c>
      <c r="Q28" t="b">
        <f t="shared" si="0"/>
        <v>0</v>
      </c>
    </row>
    <row r="29" spans="1:17" x14ac:dyDescent="0.35">
      <c r="A29" s="4" t="s">
        <v>88</v>
      </c>
      <c r="B29" s="4" t="s">
        <v>89</v>
      </c>
      <c r="C29" s="4">
        <v>53</v>
      </c>
      <c r="D29" s="4" t="s">
        <v>12</v>
      </c>
      <c r="E29" s="4" t="s">
        <v>22</v>
      </c>
      <c r="F29" s="3">
        <v>45614</v>
      </c>
      <c r="G29" s="3">
        <v>45645</v>
      </c>
      <c r="H29" s="4">
        <v>1200</v>
      </c>
      <c r="I29" s="4">
        <v>23</v>
      </c>
      <c r="J29" s="4" t="s">
        <v>18</v>
      </c>
      <c r="K29" s="7"/>
      <c r="L29" s="4">
        <f>Table157[[#This Row],[End_Date]]-Table157[[#This Row],[Start_Date]]</f>
        <v>31</v>
      </c>
      <c r="M29" s="17">
        <f>Table157[[#This Row],[Total Days]]/30</f>
        <v>1.0333333333333334</v>
      </c>
      <c r="N29" s="41">
        <f>Table157[[#This Row],[Monthly_Fee]]*Table157[[#This Row],[Membership_Duration_Months]]</f>
        <v>1240.0000000000002</v>
      </c>
      <c r="Q29" t="b">
        <f t="shared" si="0"/>
        <v>0</v>
      </c>
    </row>
    <row r="30" spans="1:17" x14ac:dyDescent="0.35">
      <c r="A30" s="26" t="s">
        <v>90</v>
      </c>
      <c r="B30" s="26" t="s">
        <v>91</v>
      </c>
      <c r="C30" s="26">
        <v>29</v>
      </c>
      <c r="D30" s="26" t="s">
        <v>27</v>
      </c>
      <c r="E30" s="26" t="s">
        <v>31</v>
      </c>
      <c r="F30" s="27">
        <v>45401</v>
      </c>
      <c r="G30" s="27">
        <v>45408</v>
      </c>
      <c r="H30" s="26">
        <v>2500</v>
      </c>
      <c r="I30" s="26">
        <v>8</v>
      </c>
      <c r="J30" s="26" t="s">
        <v>23</v>
      </c>
      <c r="K30" s="28"/>
      <c r="L30" s="26">
        <f>Table157[[#This Row],[End_Date]]-Table157[[#This Row],[Start_Date]]</f>
        <v>7</v>
      </c>
      <c r="M30" s="43">
        <f>Table157[[#This Row],[Total Days]]/30</f>
        <v>0.23333333333333334</v>
      </c>
      <c r="N30" s="40">
        <f>Table157[[#This Row],[Monthly_Fee]]*Table157[[#This Row],[Membership_Duration_Months]]</f>
        <v>583.33333333333337</v>
      </c>
      <c r="Q30" t="b">
        <f t="shared" si="0"/>
        <v>0</v>
      </c>
    </row>
    <row r="31" spans="1:17" x14ac:dyDescent="0.35">
      <c r="A31" s="4" t="s">
        <v>92</v>
      </c>
      <c r="B31" s="4" t="s">
        <v>93</v>
      </c>
      <c r="C31" s="4">
        <v>31</v>
      </c>
      <c r="D31" s="4" t="s">
        <v>27</v>
      </c>
      <c r="E31" s="4" t="s">
        <v>31</v>
      </c>
      <c r="F31" s="3">
        <v>45667</v>
      </c>
      <c r="G31" s="3">
        <v>45745</v>
      </c>
      <c r="H31" s="4">
        <v>2500</v>
      </c>
      <c r="I31" s="4">
        <v>23</v>
      </c>
      <c r="J31" s="4" t="s">
        <v>42</v>
      </c>
      <c r="K31" s="7" t="s">
        <v>94</v>
      </c>
      <c r="L31" s="4">
        <f>Table157[[#This Row],[End_Date]]-Table157[[#This Row],[Start_Date]]</f>
        <v>78</v>
      </c>
      <c r="M31" s="17">
        <f>Table157[[#This Row],[Total Days]]/30</f>
        <v>2.6</v>
      </c>
      <c r="N31" s="41">
        <f>Table157[[#This Row],[Monthly_Fee]]*Table157[[#This Row],[Membership_Duration_Months]]</f>
        <v>6500</v>
      </c>
      <c r="Q31" t="b">
        <f t="shared" si="0"/>
        <v>0</v>
      </c>
    </row>
    <row r="32" spans="1:17" x14ac:dyDescent="0.35">
      <c r="A32" s="26" t="s">
        <v>95</v>
      </c>
      <c r="B32" s="26" t="s">
        <v>96</v>
      </c>
      <c r="C32" s="26">
        <v>52</v>
      </c>
      <c r="D32" s="26" t="s">
        <v>27</v>
      </c>
      <c r="E32" s="26" t="s">
        <v>13</v>
      </c>
      <c r="F32" s="27">
        <v>45088</v>
      </c>
      <c r="G32" s="27">
        <v>45656</v>
      </c>
      <c r="H32" s="26">
        <v>800</v>
      </c>
      <c r="I32" s="26">
        <v>9</v>
      </c>
      <c r="J32" s="26" t="s">
        <v>67</v>
      </c>
      <c r="K32" s="28" t="s">
        <v>97</v>
      </c>
      <c r="L32" s="26">
        <f>Table157[[#This Row],[End_Date]]-Table157[[#This Row],[Start_Date]]</f>
        <v>568</v>
      </c>
      <c r="M32" s="43">
        <f>Table157[[#This Row],[Total Days]]/30</f>
        <v>18.933333333333334</v>
      </c>
      <c r="N32" s="40">
        <f>Table157[[#This Row],[Monthly_Fee]]*Table157[[#This Row],[Membership_Duration_Months]]</f>
        <v>15146.666666666666</v>
      </c>
      <c r="Q32" t="b">
        <f t="shared" si="0"/>
        <v>0</v>
      </c>
    </row>
    <row r="33" spans="1:17" x14ac:dyDescent="0.35">
      <c r="A33" s="4" t="s">
        <v>98</v>
      </c>
      <c r="B33" s="4" t="s">
        <v>99</v>
      </c>
      <c r="C33" s="4">
        <v>20</v>
      </c>
      <c r="D33" s="4" t="s">
        <v>12</v>
      </c>
      <c r="E33" s="4" t="s">
        <v>22</v>
      </c>
      <c r="F33" s="3">
        <v>45391</v>
      </c>
      <c r="G33" s="3">
        <v>45604</v>
      </c>
      <c r="H33" s="4">
        <v>1200</v>
      </c>
      <c r="I33" s="4">
        <v>2</v>
      </c>
      <c r="J33" s="4" t="s">
        <v>35</v>
      </c>
      <c r="K33" s="7"/>
      <c r="L33" s="4">
        <f>Table157[[#This Row],[End_Date]]-Table157[[#This Row],[Start_Date]]</f>
        <v>213</v>
      </c>
      <c r="M33" s="17">
        <f>Table157[[#This Row],[Total Days]]/30</f>
        <v>7.1</v>
      </c>
      <c r="N33" s="41">
        <f>Table157[[#This Row],[Monthly_Fee]]*Table157[[#This Row],[Membership_Duration_Months]]</f>
        <v>8520</v>
      </c>
      <c r="Q33">
        <f t="shared" si="0"/>
        <v>33</v>
      </c>
    </row>
    <row r="34" spans="1:17" x14ac:dyDescent="0.35">
      <c r="A34" s="26" t="s">
        <v>100</v>
      </c>
      <c r="B34" s="26" t="s">
        <v>101</v>
      </c>
      <c r="C34" s="26">
        <v>22</v>
      </c>
      <c r="D34" s="26" t="s">
        <v>12</v>
      </c>
      <c r="E34" s="26" t="s">
        <v>13</v>
      </c>
      <c r="F34" s="27">
        <v>45699</v>
      </c>
      <c r="G34" s="27">
        <v>45740</v>
      </c>
      <c r="H34" s="26">
        <v>800</v>
      </c>
      <c r="I34" s="26">
        <v>30</v>
      </c>
      <c r="J34" s="26" t="s">
        <v>35</v>
      </c>
      <c r="K34" s="28"/>
      <c r="L34" s="26">
        <f>Table157[[#This Row],[End_Date]]-Table157[[#This Row],[Start_Date]]</f>
        <v>41</v>
      </c>
      <c r="M34" s="43">
        <f>Table157[[#This Row],[Total Days]]/30</f>
        <v>1.3666666666666667</v>
      </c>
      <c r="N34" s="40">
        <f>Table157[[#This Row],[Monthly_Fee]]*Table157[[#This Row],[Membership_Duration_Months]]</f>
        <v>1093.3333333333333</v>
      </c>
      <c r="Q34" t="b">
        <f t="shared" si="0"/>
        <v>0</v>
      </c>
    </row>
    <row r="35" spans="1:17" x14ac:dyDescent="0.35">
      <c r="A35" s="4" t="s">
        <v>102</v>
      </c>
      <c r="B35" s="4" t="s">
        <v>103</v>
      </c>
      <c r="C35" s="4">
        <v>23</v>
      </c>
      <c r="D35" s="4" t="s">
        <v>12</v>
      </c>
      <c r="E35" s="4" t="s">
        <v>41</v>
      </c>
      <c r="F35" s="3">
        <v>45588</v>
      </c>
      <c r="G35" s="3">
        <v>45721</v>
      </c>
      <c r="H35" s="4">
        <v>1800</v>
      </c>
      <c r="I35" s="4">
        <v>23</v>
      </c>
      <c r="J35" s="4" t="s">
        <v>18</v>
      </c>
      <c r="K35" s="7" t="s">
        <v>104</v>
      </c>
      <c r="L35" s="4">
        <f>Table157[[#This Row],[End_Date]]-Table157[[#This Row],[Start_Date]]</f>
        <v>133</v>
      </c>
      <c r="M35" s="17">
        <f>Table157[[#This Row],[Total Days]]/30</f>
        <v>4.4333333333333336</v>
      </c>
      <c r="N35" s="41">
        <f>Table157[[#This Row],[Monthly_Fee]]*Table157[[#This Row],[Membership_Duration_Months]]</f>
        <v>7980</v>
      </c>
      <c r="Q35" t="b">
        <f t="shared" si="0"/>
        <v>0</v>
      </c>
    </row>
    <row r="36" spans="1:17" x14ac:dyDescent="0.35">
      <c r="A36" s="26" t="s">
        <v>105</v>
      </c>
      <c r="B36" s="26" t="s">
        <v>106</v>
      </c>
      <c r="C36" s="26">
        <v>27</v>
      </c>
      <c r="D36" s="26" t="s">
        <v>27</v>
      </c>
      <c r="E36" s="26" t="s">
        <v>22</v>
      </c>
      <c r="F36" s="27">
        <v>45312</v>
      </c>
      <c r="G36" s="27">
        <v>45652</v>
      </c>
      <c r="H36" s="26">
        <v>1200</v>
      </c>
      <c r="I36" s="26">
        <v>27</v>
      </c>
      <c r="J36" s="26" t="s">
        <v>18</v>
      </c>
      <c r="K36" s="28"/>
      <c r="L36" s="26">
        <f>Table157[[#This Row],[End_Date]]-Table157[[#This Row],[Start_Date]]</f>
        <v>340</v>
      </c>
      <c r="M36" s="43">
        <f>Table157[[#This Row],[Total Days]]/30</f>
        <v>11.333333333333334</v>
      </c>
      <c r="N36" s="42">
        <f>Table157[[#This Row],[Monthly_Fee]]*Table157[[#This Row],[Membership_Duration_Months]]</f>
        <v>13600</v>
      </c>
      <c r="Q36" t="b">
        <f t="shared" si="0"/>
        <v>0</v>
      </c>
    </row>
  </sheetData>
  <conditionalFormatting sqref="A2:N36">
    <cfRule type="expression" dxfId="19" priority="1">
      <formula>IF(AND($I2&lt;8,$M2&gt;=6),ROW())</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45C9-5864-4B28-88B4-45B94EB4E9EC}">
  <dimension ref="A1:AD36"/>
  <sheetViews>
    <sheetView topLeftCell="W12" workbookViewId="0">
      <selection activeCell="AD28" sqref="AD28"/>
    </sheetView>
  </sheetViews>
  <sheetFormatPr defaultRowHeight="14.5" x14ac:dyDescent="0.35"/>
  <cols>
    <col min="1" max="1" width="15.81640625" bestFit="1" customWidth="1"/>
    <col min="2" max="2" width="15.1796875" bestFit="1" customWidth="1"/>
    <col min="3" max="3" width="8.453125" bestFit="1" customWidth="1"/>
    <col min="4" max="4" width="11.54296875" bestFit="1" customWidth="1"/>
    <col min="5" max="5" width="21.08984375" bestFit="1" customWidth="1"/>
    <col min="6" max="6" width="14.453125" bestFit="1" customWidth="1"/>
    <col min="7" max="7" width="13.54296875" bestFit="1" customWidth="1"/>
    <col min="8" max="8" width="16.36328125" bestFit="1" customWidth="1"/>
    <col min="9" max="9" width="15.08984375" bestFit="1" customWidth="1"/>
    <col min="10" max="10" width="10" bestFit="1" customWidth="1"/>
    <col min="11" max="11" width="18" bestFit="1" customWidth="1"/>
    <col min="12" max="12" width="18.453125" bestFit="1" customWidth="1"/>
    <col min="15" max="15" width="12.36328125" bestFit="1" customWidth="1"/>
    <col min="16" max="16" width="15.26953125" bestFit="1" customWidth="1"/>
    <col min="17" max="17" width="6.1796875" bestFit="1" customWidth="1"/>
    <col min="18" max="18" width="14.36328125" bestFit="1" customWidth="1"/>
    <col min="19" max="19" width="15.26953125" bestFit="1" customWidth="1"/>
    <col min="20" max="20" width="5.81640625" bestFit="1" customWidth="1"/>
    <col min="21" max="21" width="13.26953125" bestFit="1" customWidth="1"/>
    <col min="22" max="22" width="10.26953125" bestFit="1" customWidth="1"/>
    <col min="23" max="23" width="5.81640625" bestFit="1" customWidth="1"/>
    <col min="24" max="24" width="13.26953125" bestFit="1" customWidth="1"/>
    <col min="25" max="25" width="8" bestFit="1" customWidth="1"/>
    <col min="26" max="26" width="5.81640625" bestFit="1" customWidth="1"/>
    <col min="27" max="27" width="10.90625" bestFit="1" customWidth="1"/>
    <col min="28" max="28" width="6.81640625" bestFit="1" customWidth="1"/>
    <col min="29" max="29" width="5.81640625" bestFit="1" customWidth="1"/>
    <col min="30" max="30" width="9.7265625" bestFit="1" customWidth="1"/>
    <col min="31" max="31" width="9.6328125" bestFit="1" customWidth="1"/>
    <col min="32" max="32" width="5.81640625" bestFit="1" customWidth="1"/>
    <col min="33" max="33" width="12.54296875" bestFit="1" customWidth="1"/>
    <col min="34" max="34" width="6.90625" bestFit="1" customWidth="1"/>
    <col min="35" max="35" width="4.81640625" bestFit="1" customWidth="1"/>
    <col min="36" max="36" width="9.81640625" bestFit="1" customWidth="1"/>
    <col min="37" max="37" width="10.7265625" bestFit="1" customWidth="1"/>
    <col min="38" max="40" width="9.6328125" bestFit="1" customWidth="1"/>
    <col min="41" max="41" width="12.54296875" bestFit="1" customWidth="1"/>
    <col min="42" max="44" width="8.453125" bestFit="1" customWidth="1"/>
    <col min="45" max="45" width="9.81640625" bestFit="1" customWidth="1"/>
    <col min="46" max="46" width="10.7265625" bestFit="1" customWidth="1"/>
  </cols>
  <sheetData>
    <row r="1" spans="1:30" x14ac:dyDescent="0.35">
      <c r="A1" s="31" t="s">
        <v>107</v>
      </c>
      <c r="B1" s="31" t="s">
        <v>0</v>
      </c>
      <c r="C1" s="31" t="s">
        <v>1</v>
      </c>
      <c r="D1" s="31" t="s">
        <v>2</v>
      </c>
      <c r="E1" s="31" t="s">
        <v>3</v>
      </c>
      <c r="F1" s="31" t="s">
        <v>4</v>
      </c>
      <c r="G1" s="31" t="s">
        <v>5</v>
      </c>
      <c r="H1" s="31" t="s">
        <v>6</v>
      </c>
      <c r="I1" s="31" t="s">
        <v>7</v>
      </c>
      <c r="J1" s="31" t="s">
        <v>8</v>
      </c>
      <c r="K1" s="32" t="s">
        <v>9</v>
      </c>
      <c r="L1" s="31" t="s">
        <v>114</v>
      </c>
      <c r="M1" s="9" t="s">
        <v>134</v>
      </c>
      <c r="N1" s="9" t="s">
        <v>135</v>
      </c>
      <c r="O1" s="9" t="s">
        <v>136</v>
      </c>
    </row>
    <row r="2" spans="1:30" x14ac:dyDescent="0.35">
      <c r="A2" s="26" t="s">
        <v>10</v>
      </c>
      <c r="B2" s="26" t="s">
        <v>11</v>
      </c>
      <c r="C2" s="26">
        <v>59</v>
      </c>
      <c r="D2" s="26" t="s">
        <v>12</v>
      </c>
      <c r="E2" s="26" t="s">
        <v>13</v>
      </c>
      <c r="F2" s="27">
        <v>45235</v>
      </c>
      <c r="G2" s="27">
        <v>45425</v>
      </c>
      <c r="H2" s="26">
        <v>800</v>
      </c>
      <c r="I2" s="26">
        <v>25</v>
      </c>
      <c r="J2" s="26" t="s">
        <v>14</v>
      </c>
      <c r="K2" s="28" t="s">
        <v>15</v>
      </c>
      <c r="L2" s="47" t="str">
        <f>IF(ISBLANK(Table138[[#This Row],[Referred_By]]),"No","Yes")</f>
        <v>Yes</v>
      </c>
      <c r="M2" s="15">
        <f>Table138[[#This Row],[End_Date]]-Table138[[#This Row],[Start_Date]]</f>
        <v>190</v>
      </c>
      <c r="N2" s="48">
        <f>Table138[[#This Row],[Days]]/30</f>
        <v>6.333333333333333</v>
      </c>
      <c r="O2" s="48">
        <f>Table138[[#This Row],[Monthly_Fee]]*Table138[[#This Row],[Months]]</f>
        <v>5066.6666666666661</v>
      </c>
    </row>
    <row r="3" spans="1:30" x14ac:dyDescent="0.35">
      <c r="A3" s="4" t="s">
        <v>16</v>
      </c>
      <c r="B3" s="4" t="s">
        <v>17</v>
      </c>
      <c r="C3" s="4">
        <v>27</v>
      </c>
      <c r="D3" s="4" t="s">
        <v>12</v>
      </c>
      <c r="E3" s="4" t="s">
        <v>13</v>
      </c>
      <c r="F3" s="3">
        <v>45714</v>
      </c>
      <c r="G3" s="3">
        <v>45740</v>
      </c>
      <c r="H3" s="4">
        <v>800</v>
      </c>
      <c r="I3" s="4">
        <v>20</v>
      </c>
      <c r="J3" s="4" t="s">
        <v>18</v>
      </c>
      <c r="K3" s="7" t="s">
        <v>19</v>
      </c>
      <c r="L3" s="4" t="str">
        <f>IF(ISBLANK(Table138[[#This Row],[Referred_By]]),"No","Yes")</f>
        <v>Yes</v>
      </c>
      <c r="M3" s="4">
        <f>Table138[[#This Row],[End_Date]]-Table138[[#This Row],[Start_Date]]</f>
        <v>26</v>
      </c>
      <c r="N3" s="17">
        <f>Table138[[#This Row],[Days]]/30</f>
        <v>0.8666666666666667</v>
      </c>
      <c r="O3" s="17">
        <f>Table138[[#This Row],[Monthly_Fee]]*Table138[[#This Row],[Months]]</f>
        <v>693.33333333333337</v>
      </c>
    </row>
    <row r="4" spans="1:30" x14ac:dyDescent="0.35">
      <c r="A4" s="26" t="s">
        <v>20</v>
      </c>
      <c r="B4" s="26" t="s">
        <v>21</v>
      </c>
      <c r="C4" s="26">
        <v>24</v>
      </c>
      <c r="D4" s="26" t="s">
        <v>12</v>
      </c>
      <c r="E4" s="26" t="s">
        <v>22</v>
      </c>
      <c r="F4" s="27">
        <v>45191</v>
      </c>
      <c r="G4" s="27">
        <v>45371</v>
      </c>
      <c r="H4" s="26">
        <v>1200</v>
      </c>
      <c r="I4" s="26">
        <v>18</v>
      </c>
      <c r="J4" s="26" t="s">
        <v>23</v>
      </c>
      <c r="K4" s="28" t="s">
        <v>24</v>
      </c>
      <c r="L4" s="26" t="str">
        <f>IF(ISBLANK(Table138[[#This Row],[Referred_By]]),"No","Yes")</f>
        <v>Yes</v>
      </c>
      <c r="M4" s="4">
        <f>Table138[[#This Row],[End_Date]]-Table138[[#This Row],[Start_Date]]</f>
        <v>180</v>
      </c>
      <c r="N4" s="17">
        <f>Table138[[#This Row],[Days]]/30</f>
        <v>6</v>
      </c>
      <c r="O4" s="17">
        <f>Table138[[#This Row],[Monthly_Fee]]*Table138[[#This Row],[Months]]</f>
        <v>7200</v>
      </c>
    </row>
    <row r="5" spans="1:30" x14ac:dyDescent="0.35">
      <c r="A5" s="4" t="s">
        <v>25</v>
      </c>
      <c r="B5" s="4" t="s">
        <v>26</v>
      </c>
      <c r="C5" s="4">
        <v>31</v>
      </c>
      <c r="D5" s="4" t="s">
        <v>27</v>
      </c>
      <c r="E5" s="4" t="s">
        <v>22</v>
      </c>
      <c r="F5" s="3">
        <v>45479</v>
      </c>
      <c r="G5" s="3">
        <v>45587</v>
      </c>
      <c r="H5" s="4">
        <v>1200</v>
      </c>
      <c r="I5" s="4">
        <v>16</v>
      </c>
      <c r="J5" s="4" t="s">
        <v>23</v>
      </c>
      <c r="K5" s="7" t="s">
        <v>28</v>
      </c>
      <c r="L5" s="4" t="str">
        <f>IF(ISBLANK(Table138[[#This Row],[Referred_By]]),"No","Yes")</f>
        <v>Yes</v>
      </c>
      <c r="M5" s="4">
        <f>Table138[[#This Row],[End_Date]]-Table138[[#This Row],[Start_Date]]</f>
        <v>108</v>
      </c>
      <c r="N5" s="17">
        <f>Table138[[#This Row],[Days]]/30</f>
        <v>3.6</v>
      </c>
      <c r="O5" s="17">
        <f>Table138[[#This Row],[Monthly_Fee]]*Table138[[#This Row],[Months]]</f>
        <v>4320</v>
      </c>
      <c r="R5" s="45" t="s">
        <v>137</v>
      </c>
      <c r="S5" s="45" t="s">
        <v>133</v>
      </c>
    </row>
    <row r="6" spans="1:30" x14ac:dyDescent="0.35">
      <c r="A6" s="26" t="s">
        <v>29</v>
      </c>
      <c r="B6" s="26" t="s">
        <v>30</v>
      </c>
      <c r="C6" s="26">
        <v>19</v>
      </c>
      <c r="D6" s="26" t="s">
        <v>12</v>
      </c>
      <c r="E6" s="26" t="s">
        <v>31</v>
      </c>
      <c r="F6" s="27">
        <v>45286</v>
      </c>
      <c r="G6" s="27">
        <v>45501</v>
      </c>
      <c r="H6" s="26">
        <v>2500</v>
      </c>
      <c r="I6" s="26">
        <v>12</v>
      </c>
      <c r="J6" s="26" t="s">
        <v>14</v>
      </c>
      <c r="K6" s="28" t="s">
        <v>32</v>
      </c>
      <c r="L6" s="26" t="str">
        <f>IF(ISBLANK(Table138[[#This Row],[Referred_By]]),"No","Yes")</f>
        <v>Yes</v>
      </c>
      <c r="M6" s="4">
        <f>Table138[[#This Row],[End_Date]]-Table138[[#This Row],[Start_Date]]</f>
        <v>215</v>
      </c>
      <c r="N6" s="17">
        <f>Table138[[#This Row],[Days]]/30</f>
        <v>7.166666666666667</v>
      </c>
      <c r="O6" s="17">
        <f>Table138[[#This Row],[Monthly_Fee]]*Table138[[#This Row],[Months]]</f>
        <v>17916.666666666668</v>
      </c>
      <c r="S6" t="s">
        <v>22</v>
      </c>
      <c r="U6" t="s">
        <v>141</v>
      </c>
      <c r="V6" t="s">
        <v>41</v>
      </c>
      <c r="X6" t="s">
        <v>140</v>
      </c>
      <c r="Y6" t="s">
        <v>31</v>
      </c>
      <c r="AA6" t="s">
        <v>139</v>
      </c>
      <c r="AB6" t="s">
        <v>13</v>
      </c>
      <c r="AD6" t="s">
        <v>138</v>
      </c>
    </row>
    <row r="7" spans="1:30" x14ac:dyDescent="0.35">
      <c r="A7" s="4" t="s">
        <v>33</v>
      </c>
      <c r="B7" s="4" t="s">
        <v>34</v>
      </c>
      <c r="C7" s="4">
        <v>40</v>
      </c>
      <c r="D7" s="4" t="s">
        <v>12</v>
      </c>
      <c r="E7" s="4" t="s">
        <v>13</v>
      </c>
      <c r="F7" s="3">
        <v>45317</v>
      </c>
      <c r="G7" s="3">
        <v>45392</v>
      </c>
      <c r="H7" s="4">
        <v>800</v>
      </c>
      <c r="I7" s="4">
        <v>14</v>
      </c>
      <c r="J7" s="4" t="s">
        <v>35</v>
      </c>
      <c r="K7" s="7" t="s">
        <v>36</v>
      </c>
      <c r="L7" s="4" t="str">
        <f>IF(ISBLANK(Table138[[#This Row],[Referred_By]]),"No","Yes")</f>
        <v>Yes</v>
      </c>
      <c r="M7" s="4">
        <f>Table138[[#This Row],[End_Date]]-Table138[[#This Row],[Start_Date]]</f>
        <v>75</v>
      </c>
      <c r="N7" s="17">
        <f>Table138[[#This Row],[Days]]/30</f>
        <v>2.5</v>
      </c>
      <c r="O7" s="17">
        <f>Table138[[#This Row],[Monthly_Fee]]*Table138[[#This Row],[Months]]</f>
        <v>2000</v>
      </c>
      <c r="R7" s="45" t="s">
        <v>132</v>
      </c>
      <c r="S7" t="s">
        <v>115</v>
      </c>
      <c r="T7" t="s">
        <v>116</v>
      </c>
      <c r="V7" t="s">
        <v>115</v>
      </c>
      <c r="W7" t="s">
        <v>116</v>
      </c>
      <c r="Y7" t="s">
        <v>115</v>
      </c>
      <c r="Z7" t="s">
        <v>116</v>
      </c>
      <c r="AB7" t="s">
        <v>115</v>
      </c>
      <c r="AC7" t="s">
        <v>116</v>
      </c>
    </row>
    <row r="8" spans="1:30" x14ac:dyDescent="0.35">
      <c r="A8" s="26" t="s">
        <v>37</v>
      </c>
      <c r="B8" s="26" t="s">
        <v>38</v>
      </c>
      <c r="C8" s="26">
        <v>41</v>
      </c>
      <c r="D8" s="26" t="s">
        <v>27</v>
      </c>
      <c r="E8" s="26" t="s">
        <v>13</v>
      </c>
      <c r="F8" s="27">
        <v>45588</v>
      </c>
      <c r="G8" s="27">
        <v>45677</v>
      </c>
      <c r="H8" s="26">
        <v>800</v>
      </c>
      <c r="I8" s="26">
        <v>25</v>
      </c>
      <c r="J8" s="26" t="s">
        <v>18</v>
      </c>
      <c r="K8" s="28"/>
      <c r="L8" s="26" t="str">
        <f>IF(ISBLANK(Table138[[#This Row],[Referred_By]]),"No","Yes")</f>
        <v>No</v>
      </c>
      <c r="M8" s="4">
        <f>Table138[[#This Row],[End_Date]]-Table138[[#This Row],[Start_Date]]</f>
        <v>89</v>
      </c>
      <c r="N8" s="17">
        <f>Table138[[#This Row],[Days]]/30</f>
        <v>2.9666666666666668</v>
      </c>
      <c r="O8" s="17">
        <f>Table138[[#This Row],[Monthly_Fee]]*Table138[[#This Row],[Months]]</f>
        <v>2373.3333333333335</v>
      </c>
      <c r="R8" s="46" t="s">
        <v>23</v>
      </c>
      <c r="S8" s="37">
        <v>14240</v>
      </c>
      <c r="T8" s="37">
        <v>11520</v>
      </c>
      <c r="U8" s="37">
        <v>25760</v>
      </c>
      <c r="V8" s="37"/>
      <c r="W8" s="37"/>
      <c r="X8" s="37"/>
      <c r="Y8" s="37">
        <v>583.33333333333337</v>
      </c>
      <c r="Z8" s="37"/>
      <c r="AA8" s="37">
        <v>583.33333333333337</v>
      </c>
      <c r="AB8" s="37">
        <v>5520</v>
      </c>
      <c r="AC8" s="37"/>
      <c r="AD8" s="37">
        <v>5520</v>
      </c>
    </row>
    <row r="9" spans="1:30" x14ac:dyDescent="0.35">
      <c r="A9" s="4" t="s">
        <v>39</v>
      </c>
      <c r="B9" s="4" t="s">
        <v>40</v>
      </c>
      <c r="C9" s="4">
        <v>43</v>
      </c>
      <c r="D9" s="4" t="s">
        <v>12</v>
      </c>
      <c r="E9" s="4" t="s">
        <v>41</v>
      </c>
      <c r="F9" s="3">
        <v>45450</v>
      </c>
      <c r="G9" s="3">
        <v>45563</v>
      </c>
      <c r="H9" s="4">
        <v>1800</v>
      </c>
      <c r="I9" s="4">
        <v>28</v>
      </c>
      <c r="J9" s="4" t="s">
        <v>42</v>
      </c>
      <c r="K9" s="7"/>
      <c r="L9" s="4" t="str">
        <f>IF(ISBLANK(Table138[[#This Row],[Referred_By]]),"No","Yes")</f>
        <v>No</v>
      </c>
      <c r="M9" s="4">
        <f>Table138[[#This Row],[End_Date]]-Table138[[#This Row],[Start_Date]]</f>
        <v>113</v>
      </c>
      <c r="N9" s="17">
        <f>Table138[[#This Row],[Days]]/30</f>
        <v>3.7666666666666666</v>
      </c>
      <c r="O9" s="17">
        <f>Table138[[#This Row],[Monthly_Fee]]*Table138[[#This Row],[Months]]</f>
        <v>6780</v>
      </c>
      <c r="R9" s="46" t="s">
        <v>35</v>
      </c>
      <c r="S9" s="37">
        <v>15600</v>
      </c>
      <c r="T9" s="37">
        <v>3120</v>
      </c>
      <c r="U9" s="37">
        <v>18720</v>
      </c>
      <c r="V9" s="37">
        <v>31680.000000000004</v>
      </c>
      <c r="W9" s="37">
        <v>5160</v>
      </c>
      <c r="X9" s="37">
        <v>36840</v>
      </c>
      <c r="Y9" s="37">
        <v>2333.3333333333335</v>
      </c>
      <c r="Z9" s="37">
        <v>15916.666666666666</v>
      </c>
      <c r="AA9" s="37">
        <v>18250</v>
      </c>
      <c r="AB9" s="37">
        <v>9360.0000000000018</v>
      </c>
      <c r="AC9" s="37">
        <v>2000</v>
      </c>
      <c r="AD9" s="37">
        <v>11360.000000000002</v>
      </c>
    </row>
    <row r="10" spans="1:30" x14ac:dyDescent="0.35">
      <c r="A10" s="26" t="s">
        <v>43</v>
      </c>
      <c r="B10" s="26" t="s">
        <v>44</v>
      </c>
      <c r="C10" s="26">
        <v>42</v>
      </c>
      <c r="D10" s="26" t="s">
        <v>12</v>
      </c>
      <c r="E10" s="26" t="s">
        <v>13</v>
      </c>
      <c r="F10" s="27">
        <v>45569</v>
      </c>
      <c r="G10" s="27">
        <v>45582</v>
      </c>
      <c r="H10" s="26">
        <v>800</v>
      </c>
      <c r="I10" s="26">
        <v>3</v>
      </c>
      <c r="J10" s="26" t="s">
        <v>42</v>
      </c>
      <c r="K10" s="28" t="s">
        <v>45</v>
      </c>
      <c r="L10" s="26" t="str">
        <f>IF(ISBLANK(Table138[[#This Row],[Referred_By]]),"No","Yes")</f>
        <v>Yes</v>
      </c>
      <c r="M10" s="4">
        <f>Table138[[#This Row],[End_Date]]-Table138[[#This Row],[Start_Date]]</f>
        <v>13</v>
      </c>
      <c r="N10" s="17">
        <f>Table138[[#This Row],[Days]]/30</f>
        <v>0.43333333333333335</v>
      </c>
      <c r="O10" s="17">
        <f>Table138[[#This Row],[Monthly_Fee]]*Table138[[#This Row],[Months]]</f>
        <v>346.66666666666669</v>
      </c>
      <c r="R10" s="46" t="s">
        <v>14</v>
      </c>
      <c r="S10" s="37">
        <v>11640</v>
      </c>
      <c r="T10" s="37">
        <v>6480</v>
      </c>
      <c r="U10" s="37">
        <v>18120</v>
      </c>
      <c r="V10" s="37">
        <v>17760</v>
      </c>
      <c r="W10" s="37"/>
      <c r="X10" s="37">
        <v>17760</v>
      </c>
      <c r="Y10" s="37"/>
      <c r="Z10" s="37">
        <v>17916.666666666668</v>
      </c>
      <c r="AA10" s="37">
        <v>17916.666666666668</v>
      </c>
      <c r="AB10" s="37"/>
      <c r="AC10" s="37">
        <v>5066.6666666666661</v>
      </c>
      <c r="AD10" s="37">
        <v>5066.6666666666661</v>
      </c>
    </row>
    <row r="11" spans="1:30" x14ac:dyDescent="0.35">
      <c r="A11" s="4" t="s">
        <v>46</v>
      </c>
      <c r="B11" s="4" t="s">
        <v>47</v>
      </c>
      <c r="C11" s="4">
        <v>37</v>
      </c>
      <c r="D11" s="4" t="s">
        <v>12</v>
      </c>
      <c r="E11" s="4" t="s">
        <v>22</v>
      </c>
      <c r="F11" s="3">
        <v>45202</v>
      </c>
      <c r="G11" s="3">
        <v>45280</v>
      </c>
      <c r="H11" s="4">
        <v>1200</v>
      </c>
      <c r="I11" s="4">
        <v>29</v>
      </c>
      <c r="J11" s="4" t="s">
        <v>35</v>
      </c>
      <c r="K11" s="7" t="s">
        <v>48</v>
      </c>
      <c r="L11" s="4" t="str">
        <f>IF(ISBLANK(Table138[[#This Row],[Referred_By]]),"No","Yes")</f>
        <v>Yes</v>
      </c>
      <c r="M11" s="4">
        <f>Table138[[#This Row],[End_Date]]-Table138[[#This Row],[Start_Date]]</f>
        <v>78</v>
      </c>
      <c r="N11" s="17">
        <f>Table138[[#This Row],[Days]]/30</f>
        <v>2.6</v>
      </c>
      <c r="O11" s="17">
        <f>Table138[[#This Row],[Monthly_Fee]]*Table138[[#This Row],[Months]]</f>
        <v>3120</v>
      </c>
      <c r="R11" s="46" t="s">
        <v>42</v>
      </c>
      <c r="S11" s="37"/>
      <c r="T11" s="37">
        <v>16560</v>
      </c>
      <c r="U11" s="37">
        <v>16560</v>
      </c>
      <c r="V11" s="37">
        <v>11880</v>
      </c>
      <c r="W11" s="37"/>
      <c r="X11" s="37">
        <v>11880</v>
      </c>
      <c r="Y11" s="37">
        <v>2500</v>
      </c>
      <c r="Z11" s="37">
        <v>6500</v>
      </c>
      <c r="AA11" s="37">
        <v>9000</v>
      </c>
      <c r="AB11" s="37"/>
      <c r="AC11" s="37">
        <v>346.66666666666669</v>
      </c>
      <c r="AD11" s="37">
        <v>346.66666666666669</v>
      </c>
    </row>
    <row r="12" spans="1:30" x14ac:dyDescent="0.35">
      <c r="A12" s="26" t="s">
        <v>49</v>
      </c>
      <c r="B12" s="26" t="s">
        <v>50</v>
      </c>
      <c r="C12" s="26">
        <v>48</v>
      </c>
      <c r="D12" s="26" t="s">
        <v>27</v>
      </c>
      <c r="E12" s="26" t="s">
        <v>22</v>
      </c>
      <c r="F12" s="27">
        <v>45297</v>
      </c>
      <c r="G12" s="27">
        <v>45459</v>
      </c>
      <c r="H12" s="26">
        <v>1200</v>
      </c>
      <c r="I12" s="26">
        <v>13</v>
      </c>
      <c r="J12" s="26" t="s">
        <v>14</v>
      </c>
      <c r="K12" s="28" t="s">
        <v>51</v>
      </c>
      <c r="L12" s="26" t="str">
        <f>IF(ISBLANK(Table138[[#This Row],[Referred_By]]),"No","Yes")</f>
        <v>Yes</v>
      </c>
      <c r="M12" s="4">
        <f>Table138[[#This Row],[End_Date]]-Table138[[#This Row],[Start_Date]]</f>
        <v>162</v>
      </c>
      <c r="N12" s="17">
        <f>Table138[[#This Row],[Days]]/30</f>
        <v>5.4</v>
      </c>
      <c r="O12" s="17">
        <f>Table138[[#This Row],[Monthly_Fee]]*Table138[[#This Row],[Months]]</f>
        <v>6480</v>
      </c>
      <c r="R12" s="46" t="s">
        <v>18</v>
      </c>
      <c r="S12" s="37">
        <v>14840</v>
      </c>
      <c r="T12" s="37"/>
      <c r="U12" s="37">
        <v>14840</v>
      </c>
      <c r="V12" s="37"/>
      <c r="W12" s="37">
        <v>7980</v>
      </c>
      <c r="X12" s="37">
        <v>7980</v>
      </c>
      <c r="Y12" s="37"/>
      <c r="Z12" s="37"/>
      <c r="AA12" s="37"/>
      <c r="AB12" s="37">
        <v>2373.3333333333335</v>
      </c>
      <c r="AC12" s="37">
        <v>693.33333333333337</v>
      </c>
      <c r="AD12" s="37">
        <v>3066.666666666667</v>
      </c>
    </row>
    <row r="13" spans="1:30" x14ac:dyDescent="0.35">
      <c r="A13" s="4" t="s">
        <v>52</v>
      </c>
      <c r="B13" s="4" t="s">
        <v>53</v>
      </c>
      <c r="C13" s="4">
        <v>36</v>
      </c>
      <c r="D13" s="4" t="s">
        <v>12</v>
      </c>
      <c r="E13" s="4" t="s">
        <v>22</v>
      </c>
      <c r="F13" s="3">
        <v>45154</v>
      </c>
      <c r="G13" s="3">
        <v>45568</v>
      </c>
      <c r="H13" s="4">
        <v>1200</v>
      </c>
      <c r="I13" s="4">
        <v>19</v>
      </c>
      <c r="J13" s="4" t="s">
        <v>42</v>
      </c>
      <c r="K13" s="7" t="s">
        <v>54</v>
      </c>
      <c r="L13" s="4" t="str">
        <f>IF(ISBLANK(Table138[[#This Row],[Referred_By]]),"No","Yes")</f>
        <v>Yes</v>
      </c>
      <c r="M13" s="4">
        <f>Table138[[#This Row],[End_Date]]-Table138[[#This Row],[Start_Date]]</f>
        <v>414</v>
      </c>
      <c r="N13" s="17">
        <f>Table138[[#This Row],[Days]]/30</f>
        <v>13.8</v>
      </c>
      <c r="O13" s="17">
        <f>Table138[[#This Row],[Monthly_Fee]]*Table138[[#This Row],[Months]]</f>
        <v>16560</v>
      </c>
      <c r="R13" s="46" t="s">
        <v>67</v>
      </c>
      <c r="S13" s="37">
        <v>1000</v>
      </c>
      <c r="T13" s="37"/>
      <c r="U13" s="37">
        <v>1000</v>
      </c>
      <c r="V13" s="37">
        <v>240</v>
      </c>
      <c r="W13" s="37"/>
      <c r="X13" s="37">
        <v>240</v>
      </c>
      <c r="Y13" s="37">
        <v>36333.333333333336</v>
      </c>
      <c r="Z13" s="37"/>
      <c r="AA13" s="37">
        <v>36333.333333333336</v>
      </c>
      <c r="AB13" s="37"/>
      <c r="AC13" s="37">
        <v>15146.666666666666</v>
      </c>
      <c r="AD13" s="37">
        <v>15146.666666666666</v>
      </c>
    </row>
    <row r="14" spans="1:30" x14ac:dyDescent="0.35">
      <c r="A14" s="26" t="s">
        <v>55</v>
      </c>
      <c r="B14" s="26" t="s">
        <v>56</v>
      </c>
      <c r="C14" s="26">
        <v>48</v>
      </c>
      <c r="D14" s="26" t="s">
        <v>27</v>
      </c>
      <c r="E14" s="26" t="s">
        <v>41</v>
      </c>
      <c r="F14" s="27">
        <v>45556</v>
      </c>
      <c r="G14" s="27">
        <v>45641</v>
      </c>
      <c r="H14" s="26">
        <v>1800</v>
      </c>
      <c r="I14" s="26">
        <v>22</v>
      </c>
      <c r="J14" s="26" t="s">
        <v>42</v>
      </c>
      <c r="K14" s="28"/>
      <c r="L14" s="26" t="str">
        <f>IF(ISBLANK(Table138[[#This Row],[Referred_By]]),"No","Yes")</f>
        <v>No</v>
      </c>
      <c r="M14" s="4">
        <f>Table138[[#This Row],[End_Date]]-Table138[[#This Row],[Start_Date]]</f>
        <v>85</v>
      </c>
      <c r="N14" s="17">
        <f>Table138[[#This Row],[Days]]/30</f>
        <v>2.8333333333333335</v>
      </c>
      <c r="O14" s="17">
        <f>Table138[[#This Row],[Monthly_Fee]]*Table138[[#This Row],[Months]]</f>
        <v>5100</v>
      </c>
      <c r="R14" s="46" t="s">
        <v>117</v>
      </c>
      <c r="S14" s="37">
        <v>57320</v>
      </c>
      <c r="T14" s="37">
        <v>37680</v>
      </c>
      <c r="U14" s="37">
        <v>95000</v>
      </c>
      <c r="V14" s="37">
        <v>61560</v>
      </c>
      <c r="W14" s="37">
        <v>13140</v>
      </c>
      <c r="X14" s="37">
        <v>74700</v>
      </c>
      <c r="Y14" s="37">
        <v>41750.000000000007</v>
      </c>
      <c r="Z14" s="37">
        <v>40333.333333333336</v>
      </c>
      <c r="AA14" s="37">
        <v>82083.333333333343</v>
      </c>
      <c r="AB14" s="37">
        <v>17253.333333333336</v>
      </c>
      <c r="AC14" s="37">
        <v>23253.333333333332</v>
      </c>
      <c r="AD14" s="37">
        <v>40506.666666666664</v>
      </c>
    </row>
    <row r="15" spans="1:30" x14ac:dyDescent="0.35">
      <c r="A15" s="4" t="s">
        <v>57</v>
      </c>
      <c r="B15" s="4" t="s">
        <v>58</v>
      </c>
      <c r="C15" s="4">
        <v>39</v>
      </c>
      <c r="D15" s="4" t="s">
        <v>12</v>
      </c>
      <c r="E15" s="4" t="s">
        <v>22</v>
      </c>
      <c r="F15" s="3">
        <v>45065</v>
      </c>
      <c r="G15" s="3">
        <v>45242</v>
      </c>
      <c r="H15" s="4">
        <v>1200</v>
      </c>
      <c r="I15" s="4">
        <v>28</v>
      </c>
      <c r="J15" s="4" t="s">
        <v>35</v>
      </c>
      <c r="K15" s="7"/>
      <c r="L15" s="4" t="str">
        <f>IF(ISBLANK(Table138[[#This Row],[Referred_By]]),"No","Yes")</f>
        <v>No</v>
      </c>
      <c r="M15" s="4">
        <f>Table138[[#This Row],[End_Date]]-Table138[[#This Row],[Start_Date]]</f>
        <v>177</v>
      </c>
      <c r="N15" s="17">
        <f>Table138[[#This Row],[Days]]/30</f>
        <v>5.9</v>
      </c>
      <c r="O15" s="17">
        <f>Table138[[#This Row],[Monthly_Fee]]*Table138[[#This Row],[Months]]</f>
        <v>7080</v>
      </c>
    </row>
    <row r="16" spans="1:30" x14ac:dyDescent="0.35">
      <c r="A16" s="26" t="s">
        <v>59</v>
      </c>
      <c r="B16" s="26" t="s">
        <v>60</v>
      </c>
      <c r="C16" s="26">
        <v>44</v>
      </c>
      <c r="D16" s="26" t="s">
        <v>27</v>
      </c>
      <c r="E16" s="26" t="s">
        <v>13</v>
      </c>
      <c r="F16" s="27">
        <v>45333</v>
      </c>
      <c r="G16" s="27">
        <v>45540</v>
      </c>
      <c r="H16" s="26">
        <v>800</v>
      </c>
      <c r="I16" s="26">
        <v>8</v>
      </c>
      <c r="J16" s="26" t="s">
        <v>23</v>
      </c>
      <c r="K16" s="28"/>
      <c r="L16" s="26" t="str">
        <f>IF(ISBLANK(Table138[[#This Row],[Referred_By]]),"No","Yes")</f>
        <v>No</v>
      </c>
      <c r="M16" s="4">
        <f>Table138[[#This Row],[End_Date]]-Table138[[#This Row],[Start_Date]]</f>
        <v>207</v>
      </c>
      <c r="N16" s="17">
        <f>Table138[[#This Row],[Days]]/30</f>
        <v>6.9</v>
      </c>
      <c r="O16" s="17">
        <f>Table138[[#This Row],[Monthly_Fee]]*Table138[[#This Row],[Months]]</f>
        <v>5520</v>
      </c>
    </row>
    <row r="17" spans="1:30" x14ac:dyDescent="0.35">
      <c r="A17" s="4" t="s">
        <v>61</v>
      </c>
      <c r="B17" s="4" t="s">
        <v>62</v>
      </c>
      <c r="C17" s="4">
        <v>39</v>
      </c>
      <c r="D17" s="4" t="s">
        <v>12</v>
      </c>
      <c r="E17" s="4" t="s">
        <v>31</v>
      </c>
      <c r="F17" s="3">
        <v>45702</v>
      </c>
      <c r="G17" s="3">
        <v>45732</v>
      </c>
      <c r="H17" s="4">
        <v>2500</v>
      </c>
      <c r="I17" s="4">
        <v>14</v>
      </c>
      <c r="J17" s="4" t="s">
        <v>42</v>
      </c>
      <c r="K17" s="7"/>
      <c r="L17" s="4" t="str">
        <f>IF(ISBLANK(Table138[[#This Row],[Referred_By]]),"No","Yes")</f>
        <v>No</v>
      </c>
      <c r="M17" s="4">
        <f>Table138[[#This Row],[End_Date]]-Table138[[#This Row],[Start_Date]]</f>
        <v>30</v>
      </c>
      <c r="N17" s="17">
        <f>Table138[[#This Row],[Days]]/30</f>
        <v>1</v>
      </c>
      <c r="O17" s="17">
        <f>Table138[[#This Row],[Monthly_Fee]]*Table138[[#This Row],[Months]]</f>
        <v>2500</v>
      </c>
      <c r="R17" s="45" t="s">
        <v>142</v>
      </c>
      <c r="S17" s="45" t="s">
        <v>133</v>
      </c>
    </row>
    <row r="18" spans="1:30" x14ac:dyDescent="0.35">
      <c r="A18" s="26" t="s">
        <v>63</v>
      </c>
      <c r="B18" s="26" t="s">
        <v>64</v>
      </c>
      <c r="C18" s="26">
        <v>35</v>
      </c>
      <c r="D18" s="26" t="s">
        <v>12</v>
      </c>
      <c r="E18" s="26" t="s">
        <v>22</v>
      </c>
      <c r="F18" s="27">
        <v>45329</v>
      </c>
      <c r="G18" s="27">
        <v>45685</v>
      </c>
      <c r="H18" s="26">
        <v>1200</v>
      </c>
      <c r="I18" s="26">
        <v>25</v>
      </c>
      <c r="J18" s="26" t="s">
        <v>23</v>
      </c>
      <c r="K18" s="28"/>
      <c r="L18" s="26" t="str">
        <f>IF(ISBLANK(Table138[[#This Row],[Referred_By]]),"No","Yes")</f>
        <v>No</v>
      </c>
      <c r="M18" s="4">
        <f>Table138[[#This Row],[End_Date]]-Table138[[#This Row],[Start_Date]]</f>
        <v>356</v>
      </c>
      <c r="N18" s="17">
        <f>Table138[[#This Row],[Days]]/30</f>
        <v>11.866666666666667</v>
      </c>
      <c r="O18" s="17">
        <f>Table138[[#This Row],[Monthly_Fee]]*Table138[[#This Row],[Months]]</f>
        <v>14240</v>
      </c>
      <c r="S18" t="s">
        <v>31</v>
      </c>
      <c r="U18" t="s">
        <v>139</v>
      </c>
      <c r="V18" t="s">
        <v>41</v>
      </c>
      <c r="X18" t="s">
        <v>140</v>
      </c>
      <c r="Y18" t="s">
        <v>22</v>
      </c>
      <c r="AA18" t="s">
        <v>141</v>
      </c>
      <c r="AB18" t="s">
        <v>13</v>
      </c>
      <c r="AD18" t="s">
        <v>138</v>
      </c>
    </row>
    <row r="19" spans="1:30" x14ac:dyDescent="0.35">
      <c r="A19" s="4" t="s">
        <v>65</v>
      </c>
      <c r="B19" s="4" t="s">
        <v>66</v>
      </c>
      <c r="C19" s="4">
        <v>56</v>
      </c>
      <c r="D19" s="4" t="s">
        <v>27</v>
      </c>
      <c r="E19" s="4" t="s">
        <v>31</v>
      </c>
      <c r="F19" s="3">
        <v>45213</v>
      </c>
      <c r="G19" s="3">
        <v>45649</v>
      </c>
      <c r="H19" s="4">
        <v>2500</v>
      </c>
      <c r="I19" s="4">
        <v>13</v>
      </c>
      <c r="J19" s="4" t="s">
        <v>67</v>
      </c>
      <c r="K19" s="7"/>
      <c r="L19" s="4" t="str">
        <f>IF(ISBLANK(Table138[[#This Row],[Referred_By]]),"No","Yes")</f>
        <v>No</v>
      </c>
      <c r="M19" s="4">
        <f>Table138[[#This Row],[End_Date]]-Table138[[#This Row],[Start_Date]]</f>
        <v>436</v>
      </c>
      <c r="N19" s="17">
        <f>Table138[[#This Row],[Days]]/30</f>
        <v>14.533333333333333</v>
      </c>
      <c r="O19" s="17">
        <f>Table138[[#This Row],[Monthly_Fee]]*Table138[[#This Row],[Months]]</f>
        <v>36333.333333333336</v>
      </c>
      <c r="R19" s="45" t="s">
        <v>132</v>
      </c>
      <c r="S19" t="s">
        <v>115</v>
      </c>
      <c r="T19" t="s">
        <v>116</v>
      </c>
      <c r="V19" t="s">
        <v>115</v>
      </c>
      <c r="W19" t="s">
        <v>116</v>
      </c>
      <c r="Y19" t="s">
        <v>115</v>
      </c>
      <c r="Z19" t="s">
        <v>116</v>
      </c>
      <c r="AB19" t="s">
        <v>115</v>
      </c>
      <c r="AC19" t="s">
        <v>116</v>
      </c>
    </row>
    <row r="20" spans="1:30" x14ac:dyDescent="0.35">
      <c r="A20" s="26" t="s">
        <v>68</v>
      </c>
      <c r="B20" s="26" t="s">
        <v>69</v>
      </c>
      <c r="C20" s="26">
        <v>27</v>
      </c>
      <c r="D20" s="26" t="s">
        <v>27</v>
      </c>
      <c r="E20" s="26" t="s">
        <v>13</v>
      </c>
      <c r="F20" s="27">
        <v>45354</v>
      </c>
      <c r="G20" s="27">
        <v>45664</v>
      </c>
      <c r="H20" s="26">
        <v>800</v>
      </c>
      <c r="I20" s="26">
        <v>26</v>
      </c>
      <c r="J20" s="26" t="s">
        <v>35</v>
      </c>
      <c r="K20" s="28"/>
      <c r="L20" s="26" t="str">
        <f>IF(ISBLANK(Table138[[#This Row],[Referred_By]]),"No","Yes")</f>
        <v>No</v>
      </c>
      <c r="M20" s="4">
        <f>Table138[[#This Row],[End_Date]]-Table138[[#This Row],[Start_Date]]</f>
        <v>310</v>
      </c>
      <c r="N20" s="17">
        <f>Table138[[#This Row],[Days]]/30</f>
        <v>10.333333333333334</v>
      </c>
      <c r="O20" s="17">
        <f>Table138[[#This Row],[Monthly_Fee]]*Table138[[#This Row],[Months]]</f>
        <v>8266.6666666666679</v>
      </c>
      <c r="R20" s="46" t="s">
        <v>67</v>
      </c>
      <c r="S20" s="37">
        <v>36333.333333333336</v>
      </c>
      <c r="T20" s="37"/>
      <c r="U20" s="37">
        <v>36333.333333333336</v>
      </c>
      <c r="V20" s="37">
        <v>240</v>
      </c>
      <c r="W20" s="37"/>
      <c r="X20" s="37">
        <v>240</v>
      </c>
      <c r="Y20" s="37">
        <v>1000</v>
      </c>
      <c r="Z20" s="37"/>
      <c r="AA20" s="37">
        <v>1000</v>
      </c>
      <c r="AB20" s="37"/>
      <c r="AC20" s="37">
        <v>15146.666666666666</v>
      </c>
      <c r="AD20" s="37">
        <v>15146.666666666666</v>
      </c>
    </row>
    <row r="21" spans="1:30" x14ac:dyDescent="0.35">
      <c r="A21" s="4" t="s">
        <v>70</v>
      </c>
      <c r="B21" s="4" t="s">
        <v>71</v>
      </c>
      <c r="C21" s="4">
        <v>28</v>
      </c>
      <c r="D21" s="4" t="s">
        <v>12</v>
      </c>
      <c r="E21" s="4" t="s">
        <v>31</v>
      </c>
      <c r="F21" s="3">
        <v>45417</v>
      </c>
      <c r="G21" s="3">
        <v>45608</v>
      </c>
      <c r="H21" s="4">
        <v>2500</v>
      </c>
      <c r="I21" s="4">
        <v>21</v>
      </c>
      <c r="J21" s="4" t="s">
        <v>35</v>
      </c>
      <c r="K21" s="7" t="s">
        <v>72</v>
      </c>
      <c r="L21" s="4" t="str">
        <f>IF(ISBLANK(Table138[[#This Row],[Referred_By]]),"No","Yes")</f>
        <v>Yes</v>
      </c>
      <c r="M21" s="4">
        <f>Table138[[#This Row],[End_Date]]-Table138[[#This Row],[Start_Date]]</f>
        <v>191</v>
      </c>
      <c r="N21" s="17">
        <f>Table138[[#This Row],[Days]]/30</f>
        <v>6.3666666666666663</v>
      </c>
      <c r="O21" s="17">
        <f>Table138[[#This Row],[Monthly_Fee]]*Table138[[#This Row],[Months]]</f>
        <v>15916.666666666666</v>
      </c>
      <c r="R21" s="46" t="s">
        <v>14</v>
      </c>
      <c r="S21" s="37"/>
      <c r="T21" s="37">
        <v>17916.666666666668</v>
      </c>
      <c r="U21" s="37">
        <v>17916.666666666668</v>
      </c>
      <c r="V21" s="37">
        <v>17760</v>
      </c>
      <c r="W21" s="37"/>
      <c r="X21" s="37">
        <v>17760</v>
      </c>
      <c r="Y21" s="37">
        <v>11640</v>
      </c>
      <c r="Z21" s="37">
        <v>6480</v>
      </c>
      <c r="AA21" s="37">
        <v>9060</v>
      </c>
      <c r="AB21" s="37"/>
      <c r="AC21" s="37">
        <v>5066.6666666666661</v>
      </c>
      <c r="AD21" s="37">
        <v>5066.6666666666661</v>
      </c>
    </row>
    <row r="22" spans="1:30" x14ac:dyDescent="0.35">
      <c r="A22" s="26" t="s">
        <v>73</v>
      </c>
      <c r="B22" s="26" t="s">
        <v>74</v>
      </c>
      <c r="C22" s="26">
        <v>57</v>
      </c>
      <c r="D22" s="26" t="s">
        <v>27</v>
      </c>
      <c r="E22" s="26" t="s">
        <v>41</v>
      </c>
      <c r="F22" s="27">
        <v>45146</v>
      </c>
      <c r="G22" s="27">
        <v>45674</v>
      </c>
      <c r="H22" s="26">
        <v>1800</v>
      </c>
      <c r="I22" s="26">
        <v>19</v>
      </c>
      <c r="J22" s="26" t="s">
        <v>35</v>
      </c>
      <c r="K22" s="28"/>
      <c r="L22" s="26" t="str">
        <f>IF(ISBLANK(Table138[[#This Row],[Referred_By]]),"No","Yes")</f>
        <v>No</v>
      </c>
      <c r="M22" s="4">
        <f>Table138[[#This Row],[End_Date]]-Table138[[#This Row],[Start_Date]]</f>
        <v>528</v>
      </c>
      <c r="N22" s="17">
        <f>Table138[[#This Row],[Days]]/30</f>
        <v>17.600000000000001</v>
      </c>
      <c r="O22" s="17">
        <f>Table138[[#This Row],[Monthly_Fee]]*Table138[[#This Row],[Months]]</f>
        <v>31680.000000000004</v>
      </c>
      <c r="R22" s="46" t="s">
        <v>35</v>
      </c>
      <c r="S22" s="37">
        <v>2333.3333333333335</v>
      </c>
      <c r="T22" s="37">
        <v>15916.666666666666</v>
      </c>
      <c r="U22" s="37">
        <v>9125</v>
      </c>
      <c r="V22" s="37">
        <v>31680.000000000004</v>
      </c>
      <c r="W22" s="37">
        <v>5160</v>
      </c>
      <c r="X22" s="37">
        <v>18420</v>
      </c>
      <c r="Y22" s="37">
        <v>7800</v>
      </c>
      <c r="Z22" s="37">
        <v>3120</v>
      </c>
      <c r="AA22" s="37">
        <v>6240</v>
      </c>
      <c r="AB22" s="37">
        <v>4680.0000000000009</v>
      </c>
      <c r="AC22" s="37">
        <v>2000</v>
      </c>
      <c r="AD22" s="37">
        <v>3786.6666666666674</v>
      </c>
    </row>
    <row r="23" spans="1:30" x14ac:dyDescent="0.35">
      <c r="A23" s="4" t="s">
        <v>75</v>
      </c>
      <c r="B23" s="4" t="s">
        <v>76</v>
      </c>
      <c r="C23" s="4">
        <v>26</v>
      </c>
      <c r="D23" s="4" t="s">
        <v>27</v>
      </c>
      <c r="E23" s="4" t="s">
        <v>41</v>
      </c>
      <c r="F23" s="3">
        <v>45320</v>
      </c>
      <c r="G23" s="3">
        <v>45616</v>
      </c>
      <c r="H23" s="4">
        <v>1800</v>
      </c>
      <c r="I23" s="4">
        <v>5</v>
      </c>
      <c r="J23" s="4" t="s">
        <v>14</v>
      </c>
      <c r="K23" s="7"/>
      <c r="L23" s="4" t="str">
        <f>IF(ISBLANK(Table138[[#This Row],[Referred_By]]),"No","Yes")</f>
        <v>No</v>
      </c>
      <c r="M23" s="4">
        <f>Table138[[#This Row],[End_Date]]-Table138[[#This Row],[Start_Date]]</f>
        <v>296</v>
      </c>
      <c r="N23" s="17">
        <f>Table138[[#This Row],[Days]]/30</f>
        <v>9.8666666666666671</v>
      </c>
      <c r="O23" s="17">
        <f>Table138[[#This Row],[Monthly_Fee]]*Table138[[#This Row],[Months]]</f>
        <v>17760</v>
      </c>
      <c r="R23" s="46" t="s">
        <v>42</v>
      </c>
      <c r="S23" s="37">
        <v>2500</v>
      </c>
      <c r="T23" s="37">
        <v>6500</v>
      </c>
      <c r="U23" s="37">
        <v>4500</v>
      </c>
      <c r="V23" s="37">
        <v>5940</v>
      </c>
      <c r="W23" s="37"/>
      <c r="X23" s="37">
        <v>5940</v>
      </c>
      <c r="Y23" s="37"/>
      <c r="Z23" s="37">
        <v>16560</v>
      </c>
      <c r="AA23" s="37">
        <v>16560</v>
      </c>
      <c r="AB23" s="37"/>
      <c r="AC23" s="37">
        <v>346.66666666666669</v>
      </c>
      <c r="AD23" s="37">
        <v>346.66666666666669</v>
      </c>
    </row>
    <row r="24" spans="1:30" x14ac:dyDescent="0.35">
      <c r="A24" s="26" t="s">
        <v>77</v>
      </c>
      <c r="B24" s="26" t="s">
        <v>78</v>
      </c>
      <c r="C24" s="26">
        <v>48</v>
      </c>
      <c r="D24" s="26" t="s">
        <v>12</v>
      </c>
      <c r="E24" s="26" t="s">
        <v>41</v>
      </c>
      <c r="F24" s="27">
        <v>45451</v>
      </c>
      <c r="G24" s="27">
        <v>45455</v>
      </c>
      <c r="H24" s="26">
        <v>1800</v>
      </c>
      <c r="I24" s="26">
        <v>18</v>
      </c>
      <c r="J24" s="26" t="s">
        <v>67</v>
      </c>
      <c r="K24" s="28"/>
      <c r="L24" s="26" t="str">
        <f>IF(ISBLANK(Table138[[#This Row],[Referred_By]]),"No","Yes")</f>
        <v>No</v>
      </c>
      <c r="M24" s="4">
        <f>Table138[[#This Row],[End_Date]]-Table138[[#This Row],[Start_Date]]</f>
        <v>4</v>
      </c>
      <c r="N24" s="17">
        <f>Table138[[#This Row],[Days]]/30</f>
        <v>0.13333333333333333</v>
      </c>
      <c r="O24" s="17">
        <f>Table138[[#This Row],[Monthly_Fee]]*Table138[[#This Row],[Months]]</f>
        <v>240</v>
      </c>
      <c r="R24" s="46" t="s">
        <v>23</v>
      </c>
      <c r="S24" s="37">
        <v>583.33333333333337</v>
      </c>
      <c r="T24" s="37"/>
      <c r="U24" s="37">
        <v>583.33333333333337</v>
      </c>
      <c r="V24" s="37"/>
      <c r="W24" s="37"/>
      <c r="X24" s="37"/>
      <c r="Y24" s="37">
        <v>14240</v>
      </c>
      <c r="Z24" s="37">
        <v>5760</v>
      </c>
      <c r="AA24" s="37">
        <v>8586.6666666666661</v>
      </c>
      <c r="AB24" s="37">
        <v>5520</v>
      </c>
      <c r="AC24" s="37"/>
      <c r="AD24" s="37">
        <v>5520</v>
      </c>
    </row>
    <row r="25" spans="1:30" x14ac:dyDescent="0.35">
      <c r="A25" s="4" t="s">
        <v>79</v>
      </c>
      <c r="B25" s="4" t="s">
        <v>80</v>
      </c>
      <c r="C25" s="4">
        <v>25</v>
      </c>
      <c r="D25" s="4" t="s">
        <v>27</v>
      </c>
      <c r="E25" s="4" t="s">
        <v>22</v>
      </c>
      <c r="F25" s="3">
        <v>45439</v>
      </c>
      <c r="G25" s="3">
        <v>45730</v>
      </c>
      <c r="H25" s="4">
        <v>1200</v>
      </c>
      <c r="I25" s="4">
        <v>6</v>
      </c>
      <c r="J25" s="4" t="s">
        <v>14</v>
      </c>
      <c r="K25" s="7"/>
      <c r="L25" s="4" t="str">
        <f>IF(ISBLANK(Table138[[#This Row],[Referred_By]]),"No","Yes")</f>
        <v>No</v>
      </c>
      <c r="M25" s="4">
        <f>Table138[[#This Row],[End_Date]]-Table138[[#This Row],[Start_Date]]</f>
        <v>291</v>
      </c>
      <c r="N25" s="17">
        <f>Table138[[#This Row],[Days]]/30</f>
        <v>9.6999999999999993</v>
      </c>
      <c r="O25" s="17">
        <f>Table138[[#This Row],[Monthly_Fee]]*Table138[[#This Row],[Months]]</f>
        <v>11640</v>
      </c>
      <c r="R25" s="46" t="s">
        <v>18</v>
      </c>
      <c r="S25" s="37"/>
      <c r="T25" s="37"/>
      <c r="U25" s="37"/>
      <c r="V25" s="37"/>
      <c r="W25" s="37">
        <v>7980</v>
      </c>
      <c r="X25" s="37">
        <v>7980</v>
      </c>
      <c r="Y25" s="37">
        <v>7420</v>
      </c>
      <c r="Z25" s="37"/>
      <c r="AA25" s="37">
        <v>7420</v>
      </c>
      <c r="AB25" s="37">
        <v>2373.3333333333335</v>
      </c>
      <c r="AC25" s="37">
        <v>693.33333333333337</v>
      </c>
      <c r="AD25" s="37">
        <v>1533.3333333333335</v>
      </c>
    </row>
    <row r="26" spans="1:30" x14ac:dyDescent="0.35">
      <c r="A26" s="26" t="s">
        <v>81</v>
      </c>
      <c r="B26" s="26" t="s">
        <v>82</v>
      </c>
      <c r="C26" s="26">
        <v>53</v>
      </c>
      <c r="D26" s="26" t="s">
        <v>12</v>
      </c>
      <c r="E26" s="26" t="s">
        <v>41</v>
      </c>
      <c r="F26" s="27">
        <v>45286</v>
      </c>
      <c r="G26" s="27">
        <v>45372</v>
      </c>
      <c r="H26" s="26">
        <v>1800</v>
      </c>
      <c r="I26" s="26">
        <v>17</v>
      </c>
      <c r="J26" s="26" t="s">
        <v>35</v>
      </c>
      <c r="K26" s="28" t="s">
        <v>83</v>
      </c>
      <c r="L26" s="26" t="str">
        <f>IF(ISBLANK(Table138[[#This Row],[Referred_By]]),"No","Yes")</f>
        <v>Yes</v>
      </c>
      <c r="M26" s="4">
        <f>Table138[[#This Row],[End_Date]]-Table138[[#This Row],[Start_Date]]</f>
        <v>86</v>
      </c>
      <c r="N26" s="17">
        <f>Table138[[#This Row],[Days]]/30</f>
        <v>2.8666666666666667</v>
      </c>
      <c r="O26" s="17">
        <f>Table138[[#This Row],[Monthly_Fee]]*Table138[[#This Row],[Months]]</f>
        <v>5160</v>
      </c>
      <c r="R26" s="46" t="s">
        <v>117</v>
      </c>
      <c r="S26" s="37">
        <v>10437.500000000002</v>
      </c>
      <c r="T26" s="37">
        <v>13444.444444444445</v>
      </c>
      <c r="U26" s="37">
        <v>11726.190476190477</v>
      </c>
      <c r="V26" s="37">
        <v>12312</v>
      </c>
      <c r="W26" s="37">
        <v>6570</v>
      </c>
      <c r="X26" s="37">
        <v>10671.428571428571</v>
      </c>
      <c r="Y26" s="37">
        <v>8188.5714285714284</v>
      </c>
      <c r="Z26" s="37">
        <v>7536</v>
      </c>
      <c r="AA26" s="37">
        <v>7916.666666666667</v>
      </c>
      <c r="AB26" s="37">
        <v>4313.3333333333339</v>
      </c>
      <c r="AC26" s="37">
        <v>4650.6666666666661</v>
      </c>
      <c r="AD26" s="37">
        <v>4500.7407407407409</v>
      </c>
    </row>
    <row r="27" spans="1:30" x14ac:dyDescent="0.35">
      <c r="A27" s="4" t="s">
        <v>84</v>
      </c>
      <c r="B27" s="4" t="s">
        <v>85</v>
      </c>
      <c r="C27" s="4">
        <v>42</v>
      </c>
      <c r="D27" s="4" t="s">
        <v>27</v>
      </c>
      <c r="E27" s="4" t="s">
        <v>22</v>
      </c>
      <c r="F27" s="3">
        <v>45702</v>
      </c>
      <c r="G27" s="3">
        <v>45727</v>
      </c>
      <c r="H27" s="4">
        <v>1200</v>
      </c>
      <c r="I27" s="4">
        <v>3</v>
      </c>
      <c r="J27" s="4" t="s">
        <v>67</v>
      </c>
      <c r="K27" s="7"/>
      <c r="L27" s="4" t="str">
        <f>IF(ISBLANK(Table138[[#This Row],[Referred_By]]),"No","Yes")</f>
        <v>No</v>
      </c>
      <c r="M27" s="4">
        <f>Table138[[#This Row],[End_Date]]-Table138[[#This Row],[Start_Date]]</f>
        <v>25</v>
      </c>
      <c r="N27" s="17">
        <f>Table138[[#This Row],[Days]]/30</f>
        <v>0.83333333333333337</v>
      </c>
      <c r="O27" s="17">
        <f>Table138[[#This Row],[Monthly_Fee]]*Table138[[#This Row],[Months]]</f>
        <v>1000</v>
      </c>
    </row>
    <row r="28" spans="1:30" x14ac:dyDescent="0.35">
      <c r="A28" s="26" t="s">
        <v>86</v>
      </c>
      <c r="B28" s="26" t="s">
        <v>87</v>
      </c>
      <c r="C28" s="26">
        <v>24</v>
      </c>
      <c r="D28" s="26" t="s">
        <v>12</v>
      </c>
      <c r="E28" s="26" t="s">
        <v>31</v>
      </c>
      <c r="F28" s="27">
        <v>45698</v>
      </c>
      <c r="G28" s="27">
        <v>45726</v>
      </c>
      <c r="H28" s="26">
        <v>2500</v>
      </c>
      <c r="I28" s="26">
        <v>28</v>
      </c>
      <c r="J28" s="26" t="s">
        <v>35</v>
      </c>
      <c r="K28" s="28"/>
      <c r="L28" s="26" t="str">
        <f>IF(ISBLANK(Table138[[#This Row],[Referred_By]]),"No","Yes")</f>
        <v>No</v>
      </c>
      <c r="M28" s="4">
        <f>Table138[[#This Row],[End_Date]]-Table138[[#This Row],[Start_Date]]</f>
        <v>28</v>
      </c>
      <c r="N28" s="17">
        <f>Table138[[#This Row],[Days]]/30</f>
        <v>0.93333333333333335</v>
      </c>
      <c r="O28" s="17">
        <f>Table138[[#This Row],[Monthly_Fee]]*Table138[[#This Row],[Months]]</f>
        <v>2333.3333333333335</v>
      </c>
    </row>
    <row r="29" spans="1:30" x14ac:dyDescent="0.35">
      <c r="A29" s="4" t="s">
        <v>88</v>
      </c>
      <c r="B29" s="4" t="s">
        <v>89</v>
      </c>
      <c r="C29" s="4">
        <v>53</v>
      </c>
      <c r="D29" s="4" t="s">
        <v>12</v>
      </c>
      <c r="E29" s="4" t="s">
        <v>22</v>
      </c>
      <c r="F29" s="3">
        <v>45614</v>
      </c>
      <c r="G29" s="3">
        <v>45645</v>
      </c>
      <c r="H29" s="4">
        <v>1200</v>
      </c>
      <c r="I29" s="4">
        <v>23</v>
      </c>
      <c r="J29" s="4" t="s">
        <v>18</v>
      </c>
      <c r="K29" s="7"/>
      <c r="L29" s="4" t="str">
        <f>IF(ISBLANK(Table138[[#This Row],[Referred_By]]),"No","Yes")</f>
        <v>No</v>
      </c>
      <c r="M29" s="4">
        <f>Table138[[#This Row],[End_Date]]-Table138[[#This Row],[Start_Date]]</f>
        <v>31</v>
      </c>
      <c r="N29" s="17">
        <f>Table138[[#This Row],[Days]]/30</f>
        <v>1.0333333333333334</v>
      </c>
      <c r="O29" s="17">
        <f>Table138[[#This Row],[Monthly_Fee]]*Table138[[#This Row],[Months]]</f>
        <v>1240.0000000000002</v>
      </c>
    </row>
    <row r="30" spans="1:30" x14ac:dyDescent="0.35">
      <c r="A30" s="26" t="s">
        <v>90</v>
      </c>
      <c r="B30" s="26" t="s">
        <v>91</v>
      </c>
      <c r="C30" s="26">
        <v>29</v>
      </c>
      <c r="D30" s="26" t="s">
        <v>27</v>
      </c>
      <c r="E30" s="26" t="s">
        <v>31</v>
      </c>
      <c r="F30" s="27">
        <v>45401</v>
      </c>
      <c r="G30" s="27">
        <v>45408</v>
      </c>
      <c r="H30" s="26">
        <v>2500</v>
      </c>
      <c r="I30" s="26">
        <v>8</v>
      </c>
      <c r="J30" s="26" t="s">
        <v>23</v>
      </c>
      <c r="K30" s="28"/>
      <c r="L30" s="26" t="str">
        <f>IF(ISBLANK(Table138[[#This Row],[Referred_By]]),"No","Yes")</f>
        <v>No</v>
      </c>
      <c r="M30" s="4">
        <f>Table138[[#This Row],[End_Date]]-Table138[[#This Row],[Start_Date]]</f>
        <v>7</v>
      </c>
      <c r="N30" s="17">
        <f>Table138[[#This Row],[Days]]/30</f>
        <v>0.23333333333333334</v>
      </c>
      <c r="O30" s="17">
        <f>Table138[[#This Row],[Monthly_Fee]]*Table138[[#This Row],[Months]]</f>
        <v>583.33333333333337</v>
      </c>
    </row>
    <row r="31" spans="1:30" x14ac:dyDescent="0.35">
      <c r="A31" s="4" t="s">
        <v>92</v>
      </c>
      <c r="B31" s="4" t="s">
        <v>93</v>
      </c>
      <c r="C31" s="4">
        <v>31</v>
      </c>
      <c r="D31" s="4" t="s">
        <v>27</v>
      </c>
      <c r="E31" s="4" t="s">
        <v>31</v>
      </c>
      <c r="F31" s="3">
        <v>45667</v>
      </c>
      <c r="G31" s="3">
        <v>45745</v>
      </c>
      <c r="H31" s="4">
        <v>2500</v>
      </c>
      <c r="I31" s="4">
        <v>23</v>
      </c>
      <c r="J31" s="4" t="s">
        <v>42</v>
      </c>
      <c r="K31" s="7" t="s">
        <v>94</v>
      </c>
      <c r="L31" s="4" t="str">
        <f>IF(ISBLANK(Table138[[#This Row],[Referred_By]]),"No","Yes")</f>
        <v>Yes</v>
      </c>
      <c r="M31" s="4">
        <f>Table138[[#This Row],[End_Date]]-Table138[[#This Row],[Start_Date]]</f>
        <v>78</v>
      </c>
      <c r="N31" s="17">
        <f>Table138[[#This Row],[Days]]/30</f>
        <v>2.6</v>
      </c>
      <c r="O31" s="17">
        <f>Table138[[#This Row],[Monthly_Fee]]*Table138[[#This Row],[Months]]</f>
        <v>6500</v>
      </c>
    </row>
    <row r="32" spans="1:30" x14ac:dyDescent="0.35">
      <c r="A32" s="26" t="s">
        <v>95</v>
      </c>
      <c r="B32" s="26" t="s">
        <v>96</v>
      </c>
      <c r="C32" s="26">
        <v>52</v>
      </c>
      <c r="D32" s="26" t="s">
        <v>27</v>
      </c>
      <c r="E32" s="26" t="s">
        <v>13</v>
      </c>
      <c r="F32" s="27">
        <v>45088</v>
      </c>
      <c r="G32" s="27">
        <v>45656</v>
      </c>
      <c r="H32" s="26">
        <v>800</v>
      </c>
      <c r="I32" s="26">
        <v>9</v>
      </c>
      <c r="J32" s="26" t="s">
        <v>67</v>
      </c>
      <c r="K32" s="28" t="s">
        <v>97</v>
      </c>
      <c r="L32" s="26" t="str">
        <f>IF(ISBLANK(Table138[[#This Row],[Referred_By]]),"No","Yes")</f>
        <v>Yes</v>
      </c>
      <c r="M32" s="4">
        <f>Table138[[#This Row],[End_Date]]-Table138[[#This Row],[Start_Date]]</f>
        <v>568</v>
      </c>
      <c r="N32" s="17">
        <f>Table138[[#This Row],[Days]]/30</f>
        <v>18.933333333333334</v>
      </c>
      <c r="O32" s="17">
        <f>Table138[[#This Row],[Monthly_Fee]]*Table138[[#This Row],[Months]]</f>
        <v>15146.666666666666</v>
      </c>
    </row>
    <row r="33" spans="1:15" x14ac:dyDescent="0.35">
      <c r="A33" s="4" t="s">
        <v>98</v>
      </c>
      <c r="B33" s="4" t="s">
        <v>99</v>
      </c>
      <c r="C33" s="4">
        <v>20</v>
      </c>
      <c r="D33" s="4" t="s">
        <v>12</v>
      </c>
      <c r="E33" s="4" t="s">
        <v>22</v>
      </c>
      <c r="F33" s="3">
        <v>45391</v>
      </c>
      <c r="G33" s="3">
        <v>45604</v>
      </c>
      <c r="H33" s="4">
        <v>1200</v>
      </c>
      <c r="I33" s="4">
        <v>2</v>
      </c>
      <c r="J33" s="4" t="s">
        <v>35</v>
      </c>
      <c r="K33" s="7"/>
      <c r="L33" s="4" t="str">
        <f>IF(ISBLANK(Table138[[#This Row],[Referred_By]]),"No","Yes")</f>
        <v>No</v>
      </c>
      <c r="M33" s="4">
        <f>Table138[[#This Row],[End_Date]]-Table138[[#This Row],[Start_Date]]</f>
        <v>213</v>
      </c>
      <c r="N33" s="17">
        <f>Table138[[#This Row],[Days]]/30</f>
        <v>7.1</v>
      </c>
      <c r="O33" s="17">
        <f>Table138[[#This Row],[Monthly_Fee]]*Table138[[#This Row],[Months]]</f>
        <v>8520</v>
      </c>
    </row>
    <row r="34" spans="1:15" x14ac:dyDescent="0.35">
      <c r="A34" s="26" t="s">
        <v>100</v>
      </c>
      <c r="B34" s="26" t="s">
        <v>101</v>
      </c>
      <c r="C34" s="26">
        <v>22</v>
      </c>
      <c r="D34" s="26" t="s">
        <v>12</v>
      </c>
      <c r="E34" s="26" t="s">
        <v>13</v>
      </c>
      <c r="F34" s="27">
        <v>45699</v>
      </c>
      <c r="G34" s="27">
        <v>45740</v>
      </c>
      <c r="H34" s="26">
        <v>800</v>
      </c>
      <c r="I34" s="26">
        <v>30</v>
      </c>
      <c r="J34" s="26" t="s">
        <v>35</v>
      </c>
      <c r="K34" s="28"/>
      <c r="L34" s="26" t="str">
        <f>IF(ISBLANK(Table138[[#This Row],[Referred_By]]),"No","Yes")</f>
        <v>No</v>
      </c>
      <c r="M34" s="4">
        <f>Table138[[#This Row],[End_Date]]-Table138[[#This Row],[Start_Date]]</f>
        <v>41</v>
      </c>
      <c r="N34" s="17">
        <f>Table138[[#This Row],[Days]]/30</f>
        <v>1.3666666666666667</v>
      </c>
      <c r="O34" s="17">
        <f>Table138[[#This Row],[Monthly_Fee]]*Table138[[#This Row],[Months]]</f>
        <v>1093.3333333333333</v>
      </c>
    </row>
    <row r="35" spans="1:15" x14ac:dyDescent="0.35">
      <c r="A35" s="4" t="s">
        <v>102</v>
      </c>
      <c r="B35" s="4" t="s">
        <v>103</v>
      </c>
      <c r="C35" s="4">
        <v>23</v>
      </c>
      <c r="D35" s="4" t="s">
        <v>12</v>
      </c>
      <c r="E35" s="4" t="s">
        <v>41</v>
      </c>
      <c r="F35" s="3">
        <v>45588</v>
      </c>
      <c r="G35" s="3">
        <v>45721</v>
      </c>
      <c r="H35" s="4">
        <v>1800</v>
      </c>
      <c r="I35" s="4">
        <v>23</v>
      </c>
      <c r="J35" s="4" t="s">
        <v>18</v>
      </c>
      <c r="K35" s="7" t="s">
        <v>104</v>
      </c>
      <c r="L35" s="4" t="str">
        <f>IF(ISBLANK(Table138[[#This Row],[Referred_By]]),"No","Yes")</f>
        <v>Yes</v>
      </c>
      <c r="M35" s="4">
        <f>Table138[[#This Row],[End_Date]]-Table138[[#This Row],[Start_Date]]</f>
        <v>133</v>
      </c>
      <c r="N35" s="17">
        <f>Table138[[#This Row],[Days]]/30</f>
        <v>4.4333333333333336</v>
      </c>
      <c r="O35" s="17">
        <f>Table138[[#This Row],[Monthly_Fee]]*Table138[[#This Row],[Months]]</f>
        <v>7980</v>
      </c>
    </row>
    <row r="36" spans="1:15" x14ac:dyDescent="0.35">
      <c r="A36" s="26" t="s">
        <v>105</v>
      </c>
      <c r="B36" s="26" t="s">
        <v>106</v>
      </c>
      <c r="C36" s="26">
        <v>27</v>
      </c>
      <c r="D36" s="26" t="s">
        <v>27</v>
      </c>
      <c r="E36" s="26" t="s">
        <v>22</v>
      </c>
      <c r="F36" s="27">
        <v>45312</v>
      </c>
      <c r="G36" s="27">
        <v>45652</v>
      </c>
      <c r="H36" s="26">
        <v>1200</v>
      </c>
      <c r="I36" s="26">
        <v>27</v>
      </c>
      <c r="J36" s="26" t="s">
        <v>18</v>
      </c>
      <c r="K36" s="28"/>
      <c r="L36" s="26" t="str">
        <f>IF(ISBLANK(Table138[[#This Row],[Referred_By]]),"No","Yes")</f>
        <v>No</v>
      </c>
      <c r="M36" s="16">
        <f>Table138[[#This Row],[End_Date]]-Table138[[#This Row],[Start_Date]]</f>
        <v>340</v>
      </c>
      <c r="N36" s="49">
        <f>Table138[[#This Row],[Days]]/30</f>
        <v>11.333333333333334</v>
      </c>
      <c r="O36" s="49">
        <f>Table138[[#This Row],[Monthly_Fee]]*Table138[[#This Row],[Months]]</f>
        <v>13600</v>
      </c>
    </row>
  </sheetData>
  <pageMargins left="0.7" right="0.7" top="0.75" bottom="0.75" header="0.3" footer="0.3"/>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047AC-BEC9-41CE-81CD-86649104E63D}">
  <dimension ref="A1:T20"/>
  <sheetViews>
    <sheetView workbookViewId="0">
      <selection activeCell="A18" sqref="A18:T20"/>
    </sheetView>
  </sheetViews>
  <sheetFormatPr defaultRowHeight="14.5" x14ac:dyDescent="0.35"/>
  <cols>
    <col min="1" max="18" width="8.7265625" style="44"/>
    <col min="19" max="19" width="11.26953125" style="44" customWidth="1"/>
    <col min="20" max="20" width="0.1796875" style="44" hidden="1" customWidth="1"/>
    <col min="21" max="16384" width="8.7265625" style="44"/>
  </cols>
  <sheetData>
    <row r="1" spans="1:19" x14ac:dyDescent="0.35">
      <c r="A1" s="53" t="s">
        <v>131</v>
      </c>
      <c r="B1" s="53"/>
      <c r="C1" s="53"/>
      <c r="D1" s="53"/>
      <c r="E1" s="53"/>
      <c r="F1" s="53"/>
      <c r="G1" s="53"/>
      <c r="H1" s="53"/>
      <c r="I1" s="53"/>
      <c r="J1" s="53"/>
      <c r="K1" s="53"/>
      <c r="L1" s="53"/>
      <c r="M1" s="53"/>
      <c r="N1" s="53"/>
      <c r="O1" s="53"/>
      <c r="P1" s="53"/>
      <c r="Q1" s="53"/>
      <c r="R1" s="53"/>
      <c r="S1" s="53"/>
    </row>
    <row r="2" spans="1:19" x14ac:dyDescent="0.35">
      <c r="A2" s="53"/>
      <c r="B2" s="53"/>
      <c r="C2" s="53"/>
      <c r="D2" s="53"/>
      <c r="E2" s="53"/>
      <c r="F2" s="53"/>
      <c r="G2" s="53"/>
      <c r="H2" s="53"/>
      <c r="I2" s="53"/>
      <c r="J2" s="53"/>
      <c r="K2" s="53"/>
      <c r="L2" s="53"/>
      <c r="M2" s="53"/>
      <c r="N2" s="53"/>
      <c r="O2" s="53"/>
      <c r="P2" s="53"/>
      <c r="Q2" s="53"/>
      <c r="R2" s="53"/>
      <c r="S2" s="53"/>
    </row>
    <row r="18" spans="1:20" x14ac:dyDescent="0.35">
      <c r="A18" s="54" t="s">
        <v>143</v>
      </c>
      <c r="B18" s="54"/>
      <c r="C18" s="54"/>
      <c r="D18" s="54"/>
      <c r="E18" s="54"/>
      <c r="F18" s="54"/>
      <c r="G18" s="54"/>
      <c r="H18" s="54"/>
      <c r="I18" s="54"/>
      <c r="J18" s="54"/>
      <c r="K18" s="54"/>
      <c r="L18" s="54"/>
      <c r="M18" s="54"/>
      <c r="N18" s="54"/>
      <c r="O18" s="54"/>
      <c r="P18" s="54"/>
      <c r="Q18" s="54"/>
      <c r="R18" s="54"/>
      <c r="S18" s="54"/>
      <c r="T18" s="54"/>
    </row>
    <row r="19" spans="1:20" x14ac:dyDescent="0.35">
      <c r="A19" s="54"/>
      <c r="B19" s="54"/>
      <c r="C19" s="54"/>
      <c r="D19" s="54"/>
      <c r="E19" s="54"/>
      <c r="F19" s="54"/>
      <c r="G19" s="54"/>
      <c r="H19" s="54"/>
      <c r="I19" s="54"/>
      <c r="J19" s="54"/>
      <c r="K19" s="54"/>
      <c r="L19" s="54"/>
      <c r="M19" s="54"/>
      <c r="N19" s="54"/>
      <c r="O19" s="54"/>
      <c r="P19" s="54"/>
      <c r="Q19" s="54"/>
      <c r="R19" s="54"/>
      <c r="S19" s="54"/>
      <c r="T19" s="54"/>
    </row>
    <row r="20" spans="1:20" x14ac:dyDescent="0.35">
      <c r="A20" s="54"/>
      <c r="B20" s="54"/>
      <c r="C20" s="54"/>
      <c r="D20" s="54"/>
      <c r="E20" s="54"/>
      <c r="F20" s="54"/>
      <c r="G20" s="54"/>
      <c r="H20" s="54"/>
      <c r="I20" s="54"/>
      <c r="J20" s="54"/>
      <c r="K20" s="54"/>
      <c r="L20" s="54"/>
      <c r="M20" s="54"/>
      <c r="N20" s="54"/>
      <c r="O20" s="54"/>
      <c r="P20" s="54"/>
      <c r="Q20" s="54"/>
      <c r="R20" s="54"/>
      <c r="S20" s="54"/>
      <c r="T20" s="54"/>
    </row>
  </sheetData>
  <mergeCells count="2">
    <mergeCell ref="A1:S2"/>
    <mergeCell ref="A18:T2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AE2A-9138-4A21-941D-E0251B0FFF9D}">
  <dimension ref="A1:Y36"/>
  <sheetViews>
    <sheetView tabSelected="1" topLeftCell="O2" workbookViewId="0">
      <selection activeCell="W15" sqref="W15"/>
    </sheetView>
  </sheetViews>
  <sheetFormatPr defaultRowHeight="14.5" x14ac:dyDescent="0.35"/>
  <cols>
    <col min="1" max="1" width="15.81640625" bestFit="1" customWidth="1"/>
    <col min="2" max="2" width="15.1796875" bestFit="1" customWidth="1"/>
    <col min="3" max="3" width="8.453125" bestFit="1" customWidth="1"/>
    <col min="4" max="4" width="11.54296875" bestFit="1" customWidth="1"/>
    <col min="5" max="5" width="14.1796875" bestFit="1" customWidth="1"/>
    <col min="6" max="6" width="21.08984375" bestFit="1" customWidth="1"/>
    <col min="7" max="7" width="14.453125" bestFit="1" customWidth="1"/>
    <col min="8" max="8" width="13.54296875" bestFit="1" customWidth="1"/>
    <col min="9" max="9" width="16.36328125" bestFit="1" customWidth="1"/>
    <col min="10" max="10" width="15.08984375" bestFit="1" customWidth="1"/>
    <col min="11" max="11" width="10" bestFit="1" customWidth="1"/>
    <col min="12" max="12" width="18" bestFit="1" customWidth="1"/>
    <col min="13" max="13" width="14.08984375" bestFit="1" customWidth="1"/>
    <col min="14" max="14" width="32.36328125" bestFit="1" customWidth="1"/>
    <col min="15" max="15" width="17.26953125" bestFit="1" customWidth="1"/>
    <col min="18" max="18" width="17.54296875" bestFit="1" customWidth="1"/>
    <col min="19" max="19" width="15.26953125" bestFit="1" customWidth="1"/>
    <col min="20" max="20" width="6.08984375" bestFit="1" customWidth="1"/>
    <col min="21" max="21" width="5.81640625" bestFit="1" customWidth="1"/>
    <col min="22" max="22" width="10.7265625" bestFit="1" customWidth="1"/>
    <col min="23" max="23" width="15.26953125" bestFit="1" customWidth="1"/>
    <col min="24" max="25" width="10.7265625" bestFit="1" customWidth="1"/>
    <col min="26" max="44" width="2.81640625" bestFit="1" customWidth="1"/>
    <col min="45" max="45" width="10.7265625" bestFit="1" customWidth="1"/>
    <col min="46" max="53" width="5.54296875" bestFit="1" customWidth="1"/>
    <col min="54" max="54" width="10.7265625" bestFit="1" customWidth="1"/>
  </cols>
  <sheetData>
    <row r="1" spans="1:25" x14ac:dyDescent="0.35">
      <c r="A1" s="66" t="s">
        <v>107</v>
      </c>
      <c r="B1" s="67" t="s">
        <v>0</v>
      </c>
      <c r="C1" s="67" t="s">
        <v>1</v>
      </c>
      <c r="D1" s="67" t="s">
        <v>2</v>
      </c>
      <c r="E1" s="67" t="s">
        <v>147</v>
      </c>
      <c r="F1" s="67" t="s">
        <v>3</v>
      </c>
      <c r="G1" s="67" t="s">
        <v>4</v>
      </c>
      <c r="H1" s="67" t="s">
        <v>5</v>
      </c>
      <c r="I1" s="67" t="s">
        <v>6</v>
      </c>
      <c r="J1" s="67" t="s">
        <v>7</v>
      </c>
      <c r="K1" s="67" t="s">
        <v>8</v>
      </c>
      <c r="L1" s="67" t="s">
        <v>9</v>
      </c>
      <c r="M1" s="68" t="s">
        <v>111</v>
      </c>
      <c r="N1" s="69" t="s">
        <v>112</v>
      </c>
      <c r="O1" s="67" t="s">
        <v>123</v>
      </c>
    </row>
    <row r="2" spans="1:25" x14ac:dyDescent="0.35">
      <c r="A2" s="61" t="s">
        <v>10</v>
      </c>
      <c r="B2" s="55" t="s">
        <v>11</v>
      </c>
      <c r="C2" s="55">
        <v>59</v>
      </c>
      <c r="D2" s="55" t="s">
        <v>12</v>
      </c>
      <c r="E2" s="55" t="str">
        <f>IF(AND('6. Gender &amp; Age Distribution'!$C2&gt;=18,'6. Gender &amp; Age Distribution'!$C2&lt;=30),"Youth",IF(AND('6. Gender &amp; Age Distribution'!$C2&gt;=31,'6. Gender &amp; Age Distribution'!$C2&lt;=45),"Adults",IF('6. Gender &amp; Age Distribution'!$C2&gt;45,"Senior")))</f>
        <v>Senior</v>
      </c>
      <c r="F2" s="55" t="s">
        <v>13</v>
      </c>
      <c r="G2" s="56">
        <v>45235</v>
      </c>
      <c r="H2" s="56">
        <v>45425</v>
      </c>
      <c r="I2" s="55">
        <v>800</v>
      </c>
      <c r="J2" s="55">
        <v>25</v>
      </c>
      <c r="K2" s="55" t="s">
        <v>14</v>
      </c>
      <c r="L2" s="55" t="s">
        <v>15</v>
      </c>
      <c r="M2" s="57">
        <f>'6. Gender &amp; Age Distribution'!$H2-'6. Gender &amp; Age Distribution'!$G2</f>
        <v>190</v>
      </c>
      <c r="N2" s="58">
        <f>'6. Gender &amp; Age Distribution'!$M2/30</f>
        <v>6.333333333333333</v>
      </c>
      <c r="O2" s="63">
        <f>'6. Gender &amp; Age Distribution'!$I2*'6. Gender &amp; Age Distribution'!$N2</f>
        <v>5066.6666666666661</v>
      </c>
    </row>
    <row r="3" spans="1:25" x14ac:dyDescent="0.35">
      <c r="A3" s="62" t="s">
        <v>16</v>
      </c>
      <c r="B3" s="59" t="s">
        <v>17</v>
      </c>
      <c r="C3" s="59">
        <v>27</v>
      </c>
      <c r="D3" s="59" t="s">
        <v>12</v>
      </c>
      <c r="E3" s="59" t="str">
        <f>IF(AND('6. Gender &amp; Age Distribution'!$C3&gt;=18,'6. Gender &amp; Age Distribution'!$C3&lt;=30),"Youth",IF(AND('6. Gender &amp; Age Distribution'!$C3&gt;=31,'6. Gender &amp; Age Distribution'!$C3&lt;=45),"Adults",IF('6. Gender &amp; Age Distribution'!$C3&gt;45,"Senior")))</f>
        <v>Youth</v>
      </c>
      <c r="F3" s="59" t="s">
        <v>13</v>
      </c>
      <c r="G3" s="60">
        <v>45714</v>
      </c>
      <c r="H3" s="60">
        <v>45740</v>
      </c>
      <c r="I3" s="59">
        <v>800</v>
      </c>
      <c r="J3" s="59">
        <v>20</v>
      </c>
      <c r="K3" s="59" t="s">
        <v>18</v>
      </c>
      <c r="L3" s="59" t="s">
        <v>19</v>
      </c>
      <c r="M3" s="57">
        <f>'6. Gender &amp; Age Distribution'!$H3-'6. Gender &amp; Age Distribution'!$G3</f>
        <v>26</v>
      </c>
      <c r="N3" s="58">
        <f>'6. Gender &amp; Age Distribution'!$M3/30</f>
        <v>0.8666666666666667</v>
      </c>
      <c r="O3" s="64">
        <f>'6. Gender &amp; Age Distribution'!$I3*'6. Gender &amp; Age Distribution'!$N3</f>
        <v>693.33333333333337</v>
      </c>
    </row>
    <row r="4" spans="1:25" x14ac:dyDescent="0.35">
      <c r="A4" s="61" t="s">
        <v>20</v>
      </c>
      <c r="B4" s="55" t="s">
        <v>21</v>
      </c>
      <c r="C4" s="55">
        <v>24</v>
      </c>
      <c r="D4" s="55" t="s">
        <v>12</v>
      </c>
      <c r="E4" s="55" t="str">
        <f>IF(AND('6. Gender &amp; Age Distribution'!$C4&gt;=18,'6. Gender &amp; Age Distribution'!$C4&lt;=30),"Youth",IF(AND('6. Gender &amp; Age Distribution'!$C4&gt;=31,'6. Gender &amp; Age Distribution'!$C4&lt;=45),"Adults",IF('6. Gender &amp; Age Distribution'!$C4&gt;45,"Senior")))</f>
        <v>Youth</v>
      </c>
      <c r="F4" s="55" t="s">
        <v>22</v>
      </c>
      <c r="G4" s="56">
        <v>45191</v>
      </c>
      <c r="H4" s="56">
        <v>45371</v>
      </c>
      <c r="I4" s="55">
        <v>1200</v>
      </c>
      <c r="J4" s="55">
        <v>18</v>
      </c>
      <c r="K4" s="55" t="s">
        <v>23</v>
      </c>
      <c r="L4" s="55" t="s">
        <v>24</v>
      </c>
      <c r="M4" s="57">
        <f>'6. Gender &amp; Age Distribution'!$H4-'6. Gender &amp; Age Distribution'!$G4</f>
        <v>180</v>
      </c>
      <c r="N4" s="58">
        <f>'6. Gender &amp; Age Distribution'!$M4/30</f>
        <v>6</v>
      </c>
      <c r="O4" s="65">
        <f>'6. Gender &amp; Age Distribution'!$I4*'6. Gender &amp; Age Distribution'!$N4</f>
        <v>7200</v>
      </c>
    </row>
    <row r="5" spans="1:25" x14ac:dyDescent="0.35">
      <c r="A5" s="62" t="s">
        <v>25</v>
      </c>
      <c r="B5" s="59" t="s">
        <v>26</v>
      </c>
      <c r="C5" s="59">
        <v>31</v>
      </c>
      <c r="D5" s="59" t="s">
        <v>27</v>
      </c>
      <c r="E5" s="59" t="str">
        <f>IF(AND('6. Gender &amp; Age Distribution'!$C5&gt;=18,'6. Gender &amp; Age Distribution'!$C5&lt;=30),"Youth",IF(AND('6. Gender &amp; Age Distribution'!$C5&gt;=31,'6. Gender &amp; Age Distribution'!$C5&lt;=45),"Adults",IF('6. Gender &amp; Age Distribution'!$C5&gt;45,"Senior")))</f>
        <v>Adults</v>
      </c>
      <c r="F5" s="59" t="s">
        <v>22</v>
      </c>
      <c r="G5" s="60">
        <v>45479</v>
      </c>
      <c r="H5" s="60">
        <v>45587</v>
      </c>
      <c r="I5" s="59">
        <v>1200</v>
      </c>
      <c r="J5" s="59">
        <v>16</v>
      </c>
      <c r="K5" s="59" t="s">
        <v>23</v>
      </c>
      <c r="L5" s="59" t="s">
        <v>28</v>
      </c>
      <c r="M5" s="57">
        <f>'6. Gender &amp; Age Distribution'!$H5-'6. Gender &amp; Age Distribution'!$G5</f>
        <v>108</v>
      </c>
      <c r="N5" s="58">
        <f>'6. Gender &amp; Age Distribution'!$M5/30</f>
        <v>3.6</v>
      </c>
      <c r="O5" s="64">
        <f>'6. Gender &amp; Age Distribution'!$I5*'6. Gender &amp; Age Distribution'!$N5</f>
        <v>4320</v>
      </c>
      <c r="R5" s="35" t="s">
        <v>145</v>
      </c>
      <c r="S5" s="35" t="s">
        <v>133</v>
      </c>
      <c r="T5" s="4"/>
      <c r="U5" s="4"/>
      <c r="V5" s="4"/>
      <c r="W5" s="4"/>
      <c r="X5" s="4"/>
      <c r="Y5" s="4"/>
    </row>
    <row r="6" spans="1:25" x14ac:dyDescent="0.35">
      <c r="A6" s="61" t="s">
        <v>29</v>
      </c>
      <c r="B6" s="55" t="s">
        <v>30</v>
      </c>
      <c r="C6" s="55">
        <v>19</v>
      </c>
      <c r="D6" s="55" t="s">
        <v>12</v>
      </c>
      <c r="E6" s="55" t="str">
        <f>IF(AND('6. Gender &amp; Age Distribution'!$C6&gt;=18,'6. Gender &amp; Age Distribution'!$C6&lt;=30),"Youth",IF(AND('6. Gender &amp; Age Distribution'!$C6&gt;=31,'6. Gender &amp; Age Distribution'!$C6&lt;=45),"Adults",IF('6. Gender &amp; Age Distribution'!$C6&gt;45,"Senior")))</f>
        <v>Youth</v>
      </c>
      <c r="F6" s="55" t="s">
        <v>31</v>
      </c>
      <c r="G6" s="56">
        <v>45286</v>
      </c>
      <c r="H6" s="56">
        <v>45501</v>
      </c>
      <c r="I6" s="55">
        <v>2500</v>
      </c>
      <c r="J6" s="55">
        <v>12</v>
      </c>
      <c r="K6" s="55" t="s">
        <v>14</v>
      </c>
      <c r="L6" s="55" t="s">
        <v>32</v>
      </c>
      <c r="M6" s="57">
        <f>'6. Gender &amp; Age Distribution'!$H6-'6. Gender &amp; Age Distribution'!$G6</f>
        <v>215</v>
      </c>
      <c r="N6" s="58">
        <f>'6. Gender &amp; Age Distribution'!$M6/30</f>
        <v>7.166666666666667</v>
      </c>
      <c r="O6" s="65">
        <f>'6. Gender &amp; Age Distribution'!$I6*'6. Gender &amp; Age Distribution'!$N6</f>
        <v>17916.666666666668</v>
      </c>
      <c r="R6" s="35" t="s">
        <v>146</v>
      </c>
      <c r="S6" s="4" t="s">
        <v>14</v>
      </c>
      <c r="T6" s="4" t="s">
        <v>67</v>
      </c>
      <c r="U6" s="4" t="s">
        <v>23</v>
      </c>
      <c r="V6" s="4" t="s">
        <v>42</v>
      </c>
      <c r="W6" s="4" t="s">
        <v>35</v>
      </c>
      <c r="X6" s="4" t="s">
        <v>18</v>
      </c>
      <c r="Y6" s="4" t="s">
        <v>117</v>
      </c>
    </row>
    <row r="7" spans="1:25" x14ac:dyDescent="0.35">
      <c r="A7" s="62" t="s">
        <v>33</v>
      </c>
      <c r="B7" s="59" t="s">
        <v>34</v>
      </c>
      <c r="C7" s="59">
        <v>40</v>
      </c>
      <c r="D7" s="59" t="s">
        <v>12</v>
      </c>
      <c r="E7" s="59" t="str">
        <f>IF(AND('6. Gender &amp; Age Distribution'!$C7&gt;=18,'6. Gender &amp; Age Distribution'!$C7&lt;=30),"Youth",IF(AND('6. Gender &amp; Age Distribution'!$C7&gt;=31,'6. Gender &amp; Age Distribution'!$C7&lt;=45),"Adults",IF('6. Gender &amp; Age Distribution'!$C7&gt;45,"Senior")))</f>
        <v>Adults</v>
      </c>
      <c r="F7" s="59" t="s">
        <v>13</v>
      </c>
      <c r="G7" s="60">
        <v>45317</v>
      </c>
      <c r="H7" s="60">
        <v>45392</v>
      </c>
      <c r="I7" s="59">
        <v>800</v>
      </c>
      <c r="J7" s="59">
        <v>14</v>
      </c>
      <c r="K7" s="59" t="s">
        <v>35</v>
      </c>
      <c r="L7" s="59" t="s">
        <v>36</v>
      </c>
      <c r="M7" s="57">
        <f>'6. Gender &amp; Age Distribution'!$H7-'6. Gender &amp; Age Distribution'!$G7</f>
        <v>75</v>
      </c>
      <c r="N7" s="58">
        <f>'6. Gender &amp; Age Distribution'!$M7/30</f>
        <v>2.5</v>
      </c>
      <c r="O7" s="64">
        <f>'6. Gender &amp; Age Distribution'!$I7*'6. Gender &amp; Age Distribution'!$N7</f>
        <v>2000</v>
      </c>
      <c r="R7" s="36" t="s">
        <v>27</v>
      </c>
      <c r="S7" s="70">
        <v>3</v>
      </c>
      <c r="T7" s="70">
        <v>3</v>
      </c>
      <c r="U7" s="70">
        <v>3</v>
      </c>
      <c r="V7" s="70">
        <v>2</v>
      </c>
      <c r="W7" s="70">
        <v>2</v>
      </c>
      <c r="X7" s="70">
        <v>2</v>
      </c>
      <c r="Y7" s="70">
        <v>15</v>
      </c>
    </row>
    <row r="8" spans="1:25" x14ac:dyDescent="0.35">
      <c r="A8" s="61" t="s">
        <v>37</v>
      </c>
      <c r="B8" s="55" t="s">
        <v>38</v>
      </c>
      <c r="C8" s="55">
        <v>41</v>
      </c>
      <c r="D8" s="55" t="s">
        <v>27</v>
      </c>
      <c r="E8" s="55" t="str">
        <f>IF(AND('6. Gender &amp; Age Distribution'!$C8&gt;=18,'6. Gender &amp; Age Distribution'!$C8&lt;=30),"Youth",IF(AND('6. Gender &amp; Age Distribution'!$C8&gt;=31,'6. Gender &amp; Age Distribution'!$C8&lt;=45),"Adults",IF('6. Gender &amp; Age Distribution'!$C8&gt;45,"Senior")))</f>
        <v>Adults</v>
      </c>
      <c r="F8" s="55" t="s">
        <v>13</v>
      </c>
      <c r="G8" s="56">
        <v>45588</v>
      </c>
      <c r="H8" s="56">
        <v>45677</v>
      </c>
      <c r="I8" s="55">
        <v>800</v>
      </c>
      <c r="J8" s="55">
        <v>25</v>
      </c>
      <c r="K8" s="55" t="s">
        <v>18</v>
      </c>
      <c r="L8" s="55"/>
      <c r="M8" s="57">
        <f>'6. Gender &amp; Age Distribution'!$H8-'6. Gender &amp; Age Distribution'!$G8</f>
        <v>89</v>
      </c>
      <c r="N8" s="58">
        <f>'6. Gender &amp; Age Distribution'!$M8/30</f>
        <v>2.9666666666666668</v>
      </c>
      <c r="O8" s="65">
        <f>'6. Gender &amp; Age Distribution'!$I8*'6. Gender &amp; Age Distribution'!$N8</f>
        <v>2373.3333333333335</v>
      </c>
      <c r="R8" s="36" t="s">
        <v>12</v>
      </c>
      <c r="S8" s="70">
        <v>2</v>
      </c>
      <c r="T8" s="70">
        <v>1</v>
      </c>
      <c r="U8" s="70">
        <v>2</v>
      </c>
      <c r="V8" s="70">
        <v>4</v>
      </c>
      <c r="W8" s="70">
        <v>8</v>
      </c>
      <c r="X8" s="70">
        <v>3</v>
      </c>
      <c r="Y8" s="70">
        <v>20</v>
      </c>
    </row>
    <row r="9" spans="1:25" x14ac:dyDescent="0.35">
      <c r="A9" s="62" t="s">
        <v>39</v>
      </c>
      <c r="B9" s="59" t="s">
        <v>40</v>
      </c>
      <c r="C9" s="59">
        <v>43</v>
      </c>
      <c r="D9" s="59" t="s">
        <v>12</v>
      </c>
      <c r="E9" s="59" t="str">
        <f>IF(AND('6. Gender &amp; Age Distribution'!$C9&gt;=18,'6. Gender &amp; Age Distribution'!$C9&lt;=30),"Youth",IF(AND('6. Gender &amp; Age Distribution'!$C9&gt;=31,'6. Gender &amp; Age Distribution'!$C9&lt;=45),"Adults",IF('6. Gender &amp; Age Distribution'!$C9&gt;45,"Senior")))</f>
        <v>Adults</v>
      </c>
      <c r="F9" s="59" t="s">
        <v>41</v>
      </c>
      <c r="G9" s="60">
        <v>45450</v>
      </c>
      <c r="H9" s="60">
        <v>45563</v>
      </c>
      <c r="I9" s="59">
        <v>1800</v>
      </c>
      <c r="J9" s="59">
        <v>28</v>
      </c>
      <c r="K9" s="59" t="s">
        <v>42</v>
      </c>
      <c r="L9" s="59"/>
      <c r="M9" s="57">
        <f>'6. Gender &amp; Age Distribution'!$H9-'6. Gender &amp; Age Distribution'!$G9</f>
        <v>113</v>
      </c>
      <c r="N9" s="58">
        <f>'6. Gender &amp; Age Distribution'!$M9/30</f>
        <v>3.7666666666666666</v>
      </c>
      <c r="O9" s="64">
        <f>'6. Gender &amp; Age Distribution'!$I9*'6. Gender &amp; Age Distribution'!$N9</f>
        <v>6780</v>
      </c>
      <c r="R9" s="36" t="s">
        <v>117</v>
      </c>
      <c r="S9" s="70">
        <v>5</v>
      </c>
      <c r="T9" s="70">
        <v>4</v>
      </c>
      <c r="U9" s="70">
        <v>5</v>
      </c>
      <c r="V9" s="70">
        <v>6</v>
      </c>
      <c r="W9" s="70">
        <v>10</v>
      </c>
      <c r="X9" s="70">
        <v>5</v>
      </c>
      <c r="Y9" s="70">
        <v>35</v>
      </c>
    </row>
    <row r="10" spans="1:25" x14ac:dyDescent="0.35">
      <c r="A10" s="61" t="s">
        <v>43</v>
      </c>
      <c r="B10" s="55" t="s">
        <v>44</v>
      </c>
      <c r="C10" s="55">
        <v>42</v>
      </c>
      <c r="D10" s="55" t="s">
        <v>12</v>
      </c>
      <c r="E10" s="55" t="str">
        <f>IF(AND('6. Gender &amp; Age Distribution'!$C10&gt;=18,'6. Gender &amp; Age Distribution'!$C10&lt;=30),"Youth",IF(AND('6. Gender &amp; Age Distribution'!$C10&gt;=31,'6. Gender &amp; Age Distribution'!$C10&lt;=45),"Adults",IF('6. Gender &amp; Age Distribution'!$C10&gt;45,"Senior")))</f>
        <v>Adults</v>
      </c>
      <c r="F10" s="55" t="s">
        <v>13</v>
      </c>
      <c r="G10" s="56">
        <v>45569</v>
      </c>
      <c r="H10" s="56">
        <v>45582</v>
      </c>
      <c r="I10" s="55">
        <v>800</v>
      </c>
      <c r="J10" s="55">
        <v>3</v>
      </c>
      <c r="K10" s="55" t="s">
        <v>42</v>
      </c>
      <c r="L10" s="55" t="s">
        <v>45</v>
      </c>
      <c r="M10" s="57">
        <f>'6. Gender &amp; Age Distribution'!$H10-'6. Gender &amp; Age Distribution'!$G10</f>
        <v>13</v>
      </c>
      <c r="N10" s="58">
        <f>'6. Gender &amp; Age Distribution'!$M10/30</f>
        <v>0.43333333333333335</v>
      </c>
      <c r="O10" s="65">
        <f>'6. Gender &amp; Age Distribution'!$I10*'6. Gender &amp; Age Distribution'!$N10</f>
        <v>346.66666666666669</v>
      </c>
    </row>
    <row r="11" spans="1:25" x14ac:dyDescent="0.35">
      <c r="A11" s="62" t="s">
        <v>46</v>
      </c>
      <c r="B11" s="59" t="s">
        <v>47</v>
      </c>
      <c r="C11" s="59">
        <v>37</v>
      </c>
      <c r="D11" s="59" t="s">
        <v>12</v>
      </c>
      <c r="E11" s="59" t="str">
        <f>IF(AND('6. Gender &amp; Age Distribution'!$C11&gt;=18,'6. Gender &amp; Age Distribution'!$C11&lt;=30),"Youth",IF(AND('6. Gender &amp; Age Distribution'!$C11&gt;=31,'6. Gender &amp; Age Distribution'!$C11&lt;=45),"Adults",IF('6. Gender &amp; Age Distribution'!$C11&gt;45,"Senior")))</f>
        <v>Adults</v>
      </c>
      <c r="F11" s="59" t="s">
        <v>22</v>
      </c>
      <c r="G11" s="60">
        <v>45202</v>
      </c>
      <c r="H11" s="60">
        <v>45280</v>
      </c>
      <c r="I11" s="59">
        <v>1200</v>
      </c>
      <c r="J11" s="59">
        <v>29</v>
      </c>
      <c r="K11" s="59" t="s">
        <v>35</v>
      </c>
      <c r="L11" s="59" t="s">
        <v>48</v>
      </c>
      <c r="M11" s="57">
        <f>'6. Gender &amp; Age Distribution'!$H11-'6. Gender &amp; Age Distribution'!$G11</f>
        <v>78</v>
      </c>
      <c r="N11" s="58">
        <f>'6. Gender &amp; Age Distribution'!$M11/30</f>
        <v>2.6</v>
      </c>
      <c r="O11" s="64">
        <f>'6. Gender &amp; Age Distribution'!$I11*'6. Gender &amp; Age Distribution'!$N11</f>
        <v>3120</v>
      </c>
    </row>
    <row r="12" spans="1:25" x14ac:dyDescent="0.35">
      <c r="A12" s="61" t="s">
        <v>49</v>
      </c>
      <c r="B12" s="55" t="s">
        <v>50</v>
      </c>
      <c r="C12" s="55">
        <v>48</v>
      </c>
      <c r="D12" s="55" t="s">
        <v>27</v>
      </c>
      <c r="E12" s="55" t="str">
        <f>IF(AND('6. Gender &amp; Age Distribution'!$C12&gt;=18,'6. Gender &amp; Age Distribution'!$C12&lt;=30),"Youth",IF(AND('6. Gender &amp; Age Distribution'!$C12&gt;=31,'6. Gender &amp; Age Distribution'!$C12&lt;=45),"Adults",IF('6. Gender &amp; Age Distribution'!$C12&gt;45,"Senior")))</f>
        <v>Senior</v>
      </c>
      <c r="F12" s="55" t="s">
        <v>22</v>
      </c>
      <c r="G12" s="56">
        <v>45297</v>
      </c>
      <c r="H12" s="56">
        <v>45459</v>
      </c>
      <c r="I12" s="55">
        <v>1200</v>
      </c>
      <c r="J12" s="55">
        <v>13</v>
      </c>
      <c r="K12" s="55" t="s">
        <v>14</v>
      </c>
      <c r="L12" s="55" t="s">
        <v>51</v>
      </c>
      <c r="M12" s="57">
        <f>'6. Gender &amp; Age Distribution'!$H12-'6. Gender &amp; Age Distribution'!$G12</f>
        <v>162</v>
      </c>
      <c r="N12" s="58">
        <f>'6. Gender &amp; Age Distribution'!$M12/30</f>
        <v>5.4</v>
      </c>
      <c r="O12" s="65">
        <f>'6. Gender &amp; Age Distribution'!$I12*'6. Gender &amp; Age Distribution'!$N12</f>
        <v>6480</v>
      </c>
    </row>
    <row r="13" spans="1:25" x14ac:dyDescent="0.35">
      <c r="A13" s="62" t="s">
        <v>52</v>
      </c>
      <c r="B13" s="59" t="s">
        <v>53</v>
      </c>
      <c r="C13" s="59">
        <v>36</v>
      </c>
      <c r="D13" s="59" t="s">
        <v>12</v>
      </c>
      <c r="E13" s="59" t="str">
        <f>IF(AND('6. Gender &amp; Age Distribution'!$C13&gt;=18,'6. Gender &amp; Age Distribution'!$C13&lt;=30),"Youth",IF(AND('6. Gender &amp; Age Distribution'!$C13&gt;=31,'6. Gender &amp; Age Distribution'!$C13&lt;=45),"Adults",IF('6. Gender &amp; Age Distribution'!$C13&gt;45,"Senior")))</f>
        <v>Adults</v>
      </c>
      <c r="F13" s="59" t="s">
        <v>22</v>
      </c>
      <c r="G13" s="60">
        <v>45154</v>
      </c>
      <c r="H13" s="60">
        <v>45568</v>
      </c>
      <c r="I13" s="59">
        <v>1200</v>
      </c>
      <c r="J13" s="59">
        <v>19</v>
      </c>
      <c r="K13" s="59" t="s">
        <v>42</v>
      </c>
      <c r="L13" s="59" t="s">
        <v>54</v>
      </c>
      <c r="M13" s="57">
        <f>'6. Gender &amp; Age Distribution'!$H13-'6. Gender &amp; Age Distribution'!$G13</f>
        <v>414</v>
      </c>
      <c r="N13" s="58">
        <f>'6. Gender &amp; Age Distribution'!$M13/30</f>
        <v>13.8</v>
      </c>
      <c r="O13" s="64">
        <f>'6. Gender &amp; Age Distribution'!$I13*'6. Gender &amp; Age Distribution'!$N13</f>
        <v>16560</v>
      </c>
      <c r="R13" s="35" t="s">
        <v>151</v>
      </c>
      <c r="S13" s="35" t="s">
        <v>133</v>
      </c>
      <c r="T13" s="4"/>
      <c r="U13" s="4"/>
      <c r="V13" s="4"/>
    </row>
    <row r="14" spans="1:25" x14ac:dyDescent="0.35">
      <c r="A14" s="61" t="s">
        <v>55</v>
      </c>
      <c r="B14" s="55" t="s">
        <v>56</v>
      </c>
      <c r="C14" s="55">
        <v>48</v>
      </c>
      <c r="D14" s="55" t="s">
        <v>27</v>
      </c>
      <c r="E14" s="55" t="str">
        <f>IF(AND('6. Gender &amp; Age Distribution'!$C14&gt;=18,'6. Gender &amp; Age Distribution'!$C14&lt;=30),"Youth",IF(AND('6. Gender &amp; Age Distribution'!$C14&gt;=31,'6. Gender &amp; Age Distribution'!$C14&lt;=45),"Adults",IF('6. Gender &amp; Age Distribution'!$C14&gt;45,"Senior")))</f>
        <v>Senior</v>
      </c>
      <c r="F14" s="55" t="s">
        <v>41</v>
      </c>
      <c r="G14" s="56">
        <v>45556</v>
      </c>
      <c r="H14" s="56">
        <v>45641</v>
      </c>
      <c r="I14" s="55">
        <v>1800</v>
      </c>
      <c r="J14" s="55">
        <v>22</v>
      </c>
      <c r="K14" s="55" t="s">
        <v>42</v>
      </c>
      <c r="L14" s="55"/>
      <c r="M14" s="57">
        <f>'6. Gender &amp; Age Distribution'!$H14-'6. Gender &amp; Age Distribution'!$G14</f>
        <v>85</v>
      </c>
      <c r="N14" s="58">
        <f>'6. Gender &amp; Age Distribution'!$M14/30</f>
        <v>2.8333333333333335</v>
      </c>
      <c r="O14" s="65">
        <f>'6. Gender &amp; Age Distribution'!$I14*'6. Gender &amp; Age Distribution'!$N14</f>
        <v>5100</v>
      </c>
      <c r="R14" s="35" t="s">
        <v>132</v>
      </c>
      <c r="S14" s="4" t="s">
        <v>148</v>
      </c>
      <c r="T14" s="4" t="s">
        <v>149</v>
      </c>
      <c r="U14" s="4" t="s">
        <v>150</v>
      </c>
      <c r="V14" s="4" t="s">
        <v>117</v>
      </c>
    </row>
    <row r="15" spans="1:25" x14ac:dyDescent="0.35">
      <c r="A15" s="62" t="s">
        <v>57</v>
      </c>
      <c r="B15" s="59" t="s">
        <v>58</v>
      </c>
      <c r="C15" s="59">
        <v>39</v>
      </c>
      <c r="D15" s="59" t="s">
        <v>12</v>
      </c>
      <c r="E15" s="59" t="str">
        <f>IF(AND('6. Gender &amp; Age Distribution'!$C15&gt;=18,'6. Gender &amp; Age Distribution'!$C15&lt;=30),"Youth",IF(AND('6. Gender &amp; Age Distribution'!$C15&gt;=31,'6. Gender &amp; Age Distribution'!$C15&lt;=45),"Adults",IF('6. Gender &amp; Age Distribution'!$C15&gt;45,"Senior")))</f>
        <v>Adults</v>
      </c>
      <c r="F15" s="59" t="s">
        <v>22</v>
      </c>
      <c r="G15" s="60">
        <v>45065</v>
      </c>
      <c r="H15" s="60">
        <v>45242</v>
      </c>
      <c r="I15" s="59">
        <v>1200</v>
      </c>
      <c r="J15" s="59">
        <v>28</v>
      </c>
      <c r="K15" s="59" t="s">
        <v>35</v>
      </c>
      <c r="L15" s="59"/>
      <c r="M15" s="57">
        <f>'6. Gender &amp; Age Distribution'!$H15-'6. Gender &amp; Age Distribution'!$G15</f>
        <v>177</v>
      </c>
      <c r="N15" s="58">
        <f>'6. Gender &amp; Age Distribution'!$M15/30</f>
        <v>5.9</v>
      </c>
      <c r="O15" s="64">
        <f>'6. Gender &amp; Age Distribution'!$I15*'6. Gender &amp; Age Distribution'!$N15</f>
        <v>7080</v>
      </c>
      <c r="R15" s="36" t="s">
        <v>13</v>
      </c>
      <c r="S15" s="70">
        <v>4</v>
      </c>
      <c r="T15" s="70">
        <v>2</v>
      </c>
      <c r="U15" s="70">
        <v>3</v>
      </c>
      <c r="V15" s="70">
        <v>9</v>
      </c>
    </row>
    <row r="16" spans="1:25" x14ac:dyDescent="0.35">
      <c r="A16" s="61" t="s">
        <v>59</v>
      </c>
      <c r="B16" s="55" t="s">
        <v>60</v>
      </c>
      <c r="C16" s="55">
        <v>44</v>
      </c>
      <c r="D16" s="55" t="s">
        <v>27</v>
      </c>
      <c r="E16" s="55" t="str">
        <f>IF(AND('6. Gender &amp; Age Distribution'!$C16&gt;=18,'6. Gender &amp; Age Distribution'!$C16&lt;=30),"Youth",IF(AND('6. Gender &amp; Age Distribution'!$C16&gt;=31,'6. Gender &amp; Age Distribution'!$C16&lt;=45),"Adults",IF('6. Gender &amp; Age Distribution'!$C16&gt;45,"Senior")))</f>
        <v>Adults</v>
      </c>
      <c r="F16" s="55" t="s">
        <v>13</v>
      </c>
      <c r="G16" s="56">
        <v>45333</v>
      </c>
      <c r="H16" s="56">
        <v>45540</v>
      </c>
      <c r="I16" s="55">
        <v>800</v>
      </c>
      <c r="J16" s="55">
        <v>8</v>
      </c>
      <c r="K16" s="55" t="s">
        <v>23</v>
      </c>
      <c r="L16" s="55"/>
      <c r="M16" s="57">
        <f>'6. Gender &amp; Age Distribution'!$H16-'6. Gender &amp; Age Distribution'!$G16</f>
        <v>207</v>
      </c>
      <c r="N16" s="58">
        <f>'6. Gender &amp; Age Distribution'!$M16/30</f>
        <v>6.9</v>
      </c>
      <c r="O16" s="65">
        <f>'6. Gender &amp; Age Distribution'!$I16*'6. Gender &amp; Age Distribution'!$N16</f>
        <v>5520</v>
      </c>
      <c r="R16" s="36" t="s">
        <v>31</v>
      </c>
      <c r="S16" s="70">
        <v>2</v>
      </c>
      <c r="T16" s="70">
        <v>1</v>
      </c>
      <c r="U16" s="70">
        <v>4</v>
      </c>
      <c r="V16" s="70">
        <v>7</v>
      </c>
    </row>
    <row r="17" spans="1:22" x14ac:dyDescent="0.35">
      <c r="A17" s="62" t="s">
        <v>61</v>
      </c>
      <c r="B17" s="59" t="s">
        <v>62</v>
      </c>
      <c r="C17" s="59">
        <v>39</v>
      </c>
      <c r="D17" s="59" t="s">
        <v>12</v>
      </c>
      <c r="E17" s="59" t="str">
        <f>IF(AND('6. Gender &amp; Age Distribution'!$C17&gt;=18,'6. Gender &amp; Age Distribution'!$C17&lt;=30),"Youth",IF(AND('6. Gender &amp; Age Distribution'!$C17&gt;=31,'6. Gender &amp; Age Distribution'!$C17&lt;=45),"Adults",IF('6. Gender &amp; Age Distribution'!$C17&gt;45,"Senior")))</f>
        <v>Adults</v>
      </c>
      <c r="F17" s="59" t="s">
        <v>31</v>
      </c>
      <c r="G17" s="60">
        <v>45702</v>
      </c>
      <c r="H17" s="60">
        <v>45732</v>
      </c>
      <c r="I17" s="59">
        <v>2500</v>
      </c>
      <c r="J17" s="59">
        <v>14</v>
      </c>
      <c r="K17" s="59" t="s">
        <v>42</v>
      </c>
      <c r="L17" s="59"/>
      <c r="M17" s="57">
        <f>'6. Gender &amp; Age Distribution'!$H17-'6. Gender &amp; Age Distribution'!$G17</f>
        <v>30</v>
      </c>
      <c r="N17" s="58">
        <f>'6. Gender &amp; Age Distribution'!$M17/30</f>
        <v>1</v>
      </c>
      <c r="O17" s="64">
        <f>'6. Gender &amp; Age Distribution'!$I17*'6. Gender &amp; Age Distribution'!$N17</f>
        <v>2500</v>
      </c>
      <c r="R17" s="36" t="s">
        <v>41</v>
      </c>
      <c r="S17" s="70">
        <v>1</v>
      </c>
      <c r="T17" s="70">
        <v>4</v>
      </c>
      <c r="U17" s="70">
        <v>2</v>
      </c>
      <c r="V17" s="70">
        <v>7</v>
      </c>
    </row>
    <row r="18" spans="1:22" x14ac:dyDescent="0.35">
      <c r="A18" s="61" t="s">
        <v>63</v>
      </c>
      <c r="B18" s="55" t="s">
        <v>64</v>
      </c>
      <c r="C18" s="55">
        <v>35</v>
      </c>
      <c r="D18" s="55" t="s">
        <v>12</v>
      </c>
      <c r="E18" s="55" t="str">
        <f>IF(AND('6. Gender &amp; Age Distribution'!$C18&gt;=18,'6. Gender &amp; Age Distribution'!$C18&lt;=30),"Youth",IF(AND('6. Gender &amp; Age Distribution'!$C18&gt;=31,'6. Gender &amp; Age Distribution'!$C18&lt;=45),"Adults",IF('6. Gender &amp; Age Distribution'!$C18&gt;45,"Senior")))</f>
        <v>Adults</v>
      </c>
      <c r="F18" s="55" t="s">
        <v>22</v>
      </c>
      <c r="G18" s="56">
        <v>45329</v>
      </c>
      <c r="H18" s="56">
        <v>45685</v>
      </c>
      <c r="I18" s="55">
        <v>1200</v>
      </c>
      <c r="J18" s="55">
        <v>25</v>
      </c>
      <c r="K18" s="55" t="s">
        <v>23</v>
      </c>
      <c r="L18" s="55"/>
      <c r="M18" s="57">
        <f>'6. Gender &amp; Age Distribution'!$H18-'6. Gender &amp; Age Distribution'!$G18</f>
        <v>356</v>
      </c>
      <c r="N18" s="58">
        <f>'6. Gender &amp; Age Distribution'!$M18/30</f>
        <v>11.866666666666667</v>
      </c>
      <c r="O18" s="65">
        <f>'6. Gender &amp; Age Distribution'!$I18*'6. Gender &amp; Age Distribution'!$N18</f>
        <v>14240</v>
      </c>
      <c r="R18" s="36" t="s">
        <v>22</v>
      </c>
      <c r="S18" s="70">
        <v>6</v>
      </c>
      <c r="T18" s="70">
        <v>2</v>
      </c>
      <c r="U18" s="70">
        <v>4</v>
      </c>
      <c r="V18" s="70">
        <v>12</v>
      </c>
    </row>
    <row r="19" spans="1:22" x14ac:dyDescent="0.35">
      <c r="A19" s="62" t="s">
        <v>65</v>
      </c>
      <c r="B19" s="59" t="s">
        <v>66</v>
      </c>
      <c r="C19" s="59">
        <v>56</v>
      </c>
      <c r="D19" s="59" t="s">
        <v>27</v>
      </c>
      <c r="E19" s="59" t="str">
        <f>IF(AND('6. Gender &amp; Age Distribution'!$C19&gt;=18,'6. Gender &amp; Age Distribution'!$C19&lt;=30),"Youth",IF(AND('6. Gender &amp; Age Distribution'!$C19&gt;=31,'6. Gender &amp; Age Distribution'!$C19&lt;=45),"Adults",IF('6. Gender &amp; Age Distribution'!$C19&gt;45,"Senior")))</f>
        <v>Senior</v>
      </c>
      <c r="F19" s="59" t="s">
        <v>31</v>
      </c>
      <c r="G19" s="60">
        <v>45213</v>
      </c>
      <c r="H19" s="60">
        <v>45649</v>
      </c>
      <c r="I19" s="59">
        <v>2500</v>
      </c>
      <c r="J19" s="59">
        <v>13</v>
      </c>
      <c r="K19" s="59" t="s">
        <v>67</v>
      </c>
      <c r="L19" s="59"/>
      <c r="M19" s="57">
        <f>'6. Gender &amp; Age Distribution'!$H19-'6. Gender &amp; Age Distribution'!$G19</f>
        <v>436</v>
      </c>
      <c r="N19" s="58">
        <f>'6. Gender &amp; Age Distribution'!$M19/30</f>
        <v>14.533333333333333</v>
      </c>
      <c r="O19" s="64">
        <f>'6. Gender &amp; Age Distribution'!$I19*'6. Gender &amp; Age Distribution'!$N19</f>
        <v>36333.333333333336</v>
      </c>
      <c r="R19" s="36" t="s">
        <v>117</v>
      </c>
      <c r="S19" s="70">
        <v>13</v>
      </c>
      <c r="T19" s="70">
        <v>9</v>
      </c>
      <c r="U19" s="70">
        <v>13</v>
      </c>
      <c r="V19" s="70">
        <v>35</v>
      </c>
    </row>
    <row r="20" spans="1:22" x14ac:dyDescent="0.35">
      <c r="A20" s="61" t="s">
        <v>68</v>
      </c>
      <c r="B20" s="55" t="s">
        <v>69</v>
      </c>
      <c r="C20" s="55">
        <v>27</v>
      </c>
      <c r="D20" s="55" t="s">
        <v>27</v>
      </c>
      <c r="E20" s="55" t="str">
        <f>IF(AND('6. Gender &amp; Age Distribution'!$C20&gt;=18,'6. Gender &amp; Age Distribution'!$C20&lt;=30),"Youth",IF(AND('6. Gender &amp; Age Distribution'!$C20&gt;=31,'6. Gender &amp; Age Distribution'!$C20&lt;=45),"Adults",IF('6. Gender &amp; Age Distribution'!$C20&gt;45,"Senior")))</f>
        <v>Youth</v>
      </c>
      <c r="F20" s="55" t="s">
        <v>13</v>
      </c>
      <c r="G20" s="56">
        <v>45354</v>
      </c>
      <c r="H20" s="56">
        <v>45664</v>
      </c>
      <c r="I20" s="55">
        <v>800</v>
      </c>
      <c r="J20" s="55">
        <v>26</v>
      </c>
      <c r="K20" s="55" t="s">
        <v>35</v>
      </c>
      <c r="L20" s="55"/>
      <c r="M20" s="57">
        <f>'6. Gender &amp; Age Distribution'!$H20-'6. Gender &amp; Age Distribution'!$G20</f>
        <v>310</v>
      </c>
      <c r="N20" s="58">
        <f>'6. Gender &amp; Age Distribution'!$M20/30</f>
        <v>10.333333333333334</v>
      </c>
      <c r="O20" s="65">
        <f>'6. Gender &amp; Age Distribution'!$I20*'6. Gender &amp; Age Distribution'!$N20</f>
        <v>8266.6666666666679</v>
      </c>
    </row>
    <row r="21" spans="1:22" x14ac:dyDescent="0.35">
      <c r="A21" s="62" t="s">
        <v>70</v>
      </c>
      <c r="B21" s="59" t="s">
        <v>71</v>
      </c>
      <c r="C21" s="59">
        <v>28</v>
      </c>
      <c r="D21" s="59" t="s">
        <v>12</v>
      </c>
      <c r="E21" s="59" t="str">
        <f>IF(AND('6. Gender &amp; Age Distribution'!$C21&gt;=18,'6. Gender &amp; Age Distribution'!$C21&lt;=30),"Youth",IF(AND('6. Gender &amp; Age Distribution'!$C21&gt;=31,'6. Gender &amp; Age Distribution'!$C21&lt;=45),"Adults",IF('6. Gender &amp; Age Distribution'!$C21&gt;45,"Senior")))</f>
        <v>Youth</v>
      </c>
      <c r="F21" s="59" t="s">
        <v>31</v>
      </c>
      <c r="G21" s="60">
        <v>45417</v>
      </c>
      <c r="H21" s="60">
        <v>45608</v>
      </c>
      <c r="I21" s="59">
        <v>2500</v>
      </c>
      <c r="J21" s="59">
        <v>21</v>
      </c>
      <c r="K21" s="59" t="s">
        <v>35</v>
      </c>
      <c r="L21" s="59" t="s">
        <v>72</v>
      </c>
      <c r="M21" s="57">
        <f>'6. Gender &amp; Age Distribution'!$H21-'6. Gender &amp; Age Distribution'!$G21</f>
        <v>191</v>
      </c>
      <c r="N21" s="58">
        <f>'6. Gender &amp; Age Distribution'!$M21/30</f>
        <v>6.3666666666666663</v>
      </c>
      <c r="O21" s="64">
        <f>'6. Gender &amp; Age Distribution'!$I21*'6. Gender &amp; Age Distribution'!$N21</f>
        <v>15916.666666666666</v>
      </c>
    </row>
    <row r="22" spans="1:22" x14ac:dyDescent="0.35">
      <c r="A22" s="61" t="s">
        <v>73</v>
      </c>
      <c r="B22" s="55" t="s">
        <v>74</v>
      </c>
      <c r="C22" s="55">
        <v>57</v>
      </c>
      <c r="D22" s="55" t="s">
        <v>27</v>
      </c>
      <c r="E22" s="55" t="str">
        <f>IF(AND('6. Gender &amp; Age Distribution'!$C22&gt;=18,'6. Gender &amp; Age Distribution'!$C22&lt;=30),"Youth",IF(AND('6. Gender &amp; Age Distribution'!$C22&gt;=31,'6. Gender &amp; Age Distribution'!$C22&lt;=45),"Adults",IF('6. Gender &amp; Age Distribution'!$C22&gt;45,"Senior")))</f>
        <v>Senior</v>
      </c>
      <c r="F22" s="55" t="s">
        <v>41</v>
      </c>
      <c r="G22" s="56">
        <v>45146</v>
      </c>
      <c r="H22" s="56">
        <v>45674</v>
      </c>
      <c r="I22" s="55">
        <v>1800</v>
      </c>
      <c r="J22" s="55">
        <v>19</v>
      </c>
      <c r="K22" s="55" t="s">
        <v>35</v>
      </c>
      <c r="L22" s="55"/>
      <c r="M22" s="57">
        <f>'6. Gender &amp; Age Distribution'!$H22-'6. Gender &amp; Age Distribution'!$G22</f>
        <v>528</v>
      </c>
      <c r="N22" s="58">
        <f>'6. Gender &amp; Age Distribution'!$M22/30</f>
        <v>17.600000000000001</v>
      </c>
      <c r="O22" s="65">
        <f>'6. Gender &amp; Age Distribution'!$I22*'6. Gender &amp; Age Distribution'!$N22</f>
        <v>31680.000000000004</v>
      </c>
    </row>
    <row r="23" spans="1:22" x14ac:dyDescent="0.35">
      <c r="A23" s="62" t="s">
        <v>75</v>
      </c>
      <c r="B23" s="59" t="s">
        <v>76</v>
      </c>
      <c r="C23" s="59">
        <v>26</v>
      </c>
      <c r="D23" s="59" t="s">
        <v>27</v>
      </c>
      <c r="E23" s="59" t="str">
        <f>IF(AND('6. Gender &amp; Age Distribution'!$C23&gt;=18,'6. Gender &amp; Age Distribution'!$C23&lt;=30),"Youth",IF(AND('6. Gender &amp; Age Distribution'!$C23&gt;=31,'6. Gender &amp; Age Distribution'!$C23&lt;=45),"Adults",IF('6. Gender &amp; Age Distribution'!$C23&gt;45,"Senior")))</f>
        <v>Youth</v>
      </c>
      <c r="F23" s="59" t="s">
        <v>41</v>
      </c>
      <c r="G23" s="60">
        <v>45320</v>
      </c>
      <c r="H23" s="60">
        <v>45616</v>
      </c>
      <c r="I23" s="59">
        <v>1800</v>
      </c>
      <c r="J23" s="59">
        <v>5</v>
      </c>
      <c r="K23" s="59" t="s">
        <v>14</v>
      </c>
      <c r="L23" s="59"/>
      <c r="M23" s="57">
        <f>'6. Gender &amp; Age Distribution'!$H23-'6. Gender &amp; Age Distribution'!$G23</f>
        <v>296</v>
      </c>
      <c r="N23" s="58">
        <f>'6. Gender &amp; Age Distribution'!$M23/30</f>
        <v>9.8666666666666671</v>
      </c>
      <c r="O23" s="64">
        <f>'6. Gender &amp; Age Distribution'!$I23*'6. Gender &amp; Age Distribution'!$N23</f>
        <v>17760</v>
      </c>
    </row>
    <row r="24" spans="1:22" x14ac:dyDescent="0.35">
      <c r="A24" s="61" t="s">
        <v>77</v>
      </c>
      <c r="B24" s="55" t="s">
        <v>78</v>
      </c>
      <c r="C24" s="55">
        <v>48</v>
      </c>
      <c r="D24" s="55" t="s">
        <v>12</v>
      </c>
      <c r="E24" s="55" t="str">
        <f>IF(AND('6. Gender &amp; Age Distribution'!$C24&gt;=18,'6. Gender &amp; Age Distribution'!$C24&lt;=30),"Youth",IF(AND('6. Gender &amp; Age Distribution'!$C24&gt;=31,'6. Gender &amp; Age Distribution'!$C24&lt;=45),"Adults",IF('6. Gender &amp; Age Distribution'!$C24&gt;45,"Senior")))</f>
        <v>Senior</v>
      </c>
      <c r="F24" s="55" t="s">
        <v>41</v>
      </c>
      <c r="G24" s="56">
        <v>45451</v>
      </c>
      <c r="H24" s="56">
        <v>45455</v>
      </c>
      <c r="I24" s="55">
        <v>1800</v>
      </c>
      <c r="J24" s="55">
        <v>18</v>
      </c>
      <c r="K24" s="55" t="s">
        <v>67</v>
      </c>
      <c r="L24" s="55"/>
      <c r="M24" s="57">
        <f>'6. Gender &amp; Age Distribution'!$H24-'6. Gender &amp; Age Distribution'!$G24</f>
        <v>4</v>
      </c>
      <c r="N24" s="58">
        <f>'6. Gender &amp; Age Distribution'!$M24/30</f>
        <v>0.13333333333333333</v>
      </c>
      <c r="O24" s="65">
        <f>'6. Gender &amp; Age Distribution'!$I24*'6. Gender &amp; Age Distribution'!$N24</f>
        <v>240</v>
      </c>
    </row>
    <row r="25" spans="1:22" x14ac:dyDescent="0.35">
      <c r="A25" s="62" t="s">
        <v>79</v>
      </c>
      <c r="B25" s="59" t="s">
        <v>80</v>
      </c>
      <c r="C25" s="59">
        <v>25</v>
      </c>
      <c r="D25" s="59" t="s">
        <v>27</v>
      </c>
      <c r="E25" s="59" t="str">
        <f>IF(AND('6. Gender &amp; Age Distribution'!$C25&gt;=18,'6. Gender &amp; Age Distribution'!$C25&lt;=30),"Youth",IF(AND('6. Gender &amp; Age Distribution'!$C25&gt;=31,'6. Gender &amp; Age Distribution'!$C25&lt;=45),"Adults",IF('6. Gender &amp; Age Distribution'!$C25&gt;45,"Senior")))</f>
        <v>Youth</v>
      </c>
      <c r="F25" s="59" t="s">
        <v>22</v>
      </c>
      <c r="G25" s="60">
        <v>45439</v>
      </c>
      <c r="H25" s="60">
        <v>45730</v>
      </c>
      <c r="I25" s="59">
        <v>1200</v>
      </c>
      <c r="J25" s="59">
        <v>6</v>
      </c>
      <c r="K25" s="59" t="s">
        <v>14</v>
      </c>
      <c r="L25" s="59"/>
      <c r="M25" s="57">
        <f>'6. Gender &amp; Age Distribution'!$H25-'6. Gender &amp; Age Distribution'!$G25</f>
        <v>291</v>
      </c>
      <c r="N25" s="58">
        <f>'6. Gender &amp; Age Distribution'!$M25/30</f>
        <v>9.6999999999999993</v>
      </c>
      <c r="O25" s="64">
        <f>'6. Gender &amp; Age Distribution'!$I25*'6. Gender &amp; Age Distribution'!$N25</f>
        <v>11640</v>
      </c>
    </row>
    <row r="26" spans="1:22" x14ac:dyDescent="0.35">
      <c r="A26" s="61" t="s">
        <v>81</v>
      </c>
      <c r="B26" s="55" t="s">
        <v>82</v>
      </c>
      <c r="C26" s="55">
        <v>53</v>
      </c>
      <c r="D26" s="55" t="s">
        <v>12</v>
      </c>
      <c r="E26" s="55" t="str">
        <f>IF(AND('6. Gender &amp; Age Distribution'!$C26&gt;=18,'6. Gender &amp; Age Distribution'!$C26&lt;=30),"Youth",IF(AND('6. Gender &amp; Age Distribution'!$C26&gt;=31,'6. Gender &amp; Age Distribution'!$C26&lt;=45),"Adults",IF('6. Gender &amp; Age Distribution'!$C26&gt;45,"Senior")))</f>
        <v>Senior</v>
      </c>
      <c r="F26" s="55" t="s">
        <v>41</v>
      </c>
      <c r="G26" s="56">
        <v>45286</v>
      </c>
      <c r="H26" s="56">
        <v>45372</v>
      </c>
      <c r="I26" s="55">
        <v>1800</v>
      </c>
      <c r="J26" s="55">
        <v>17</v>
      </c>
      <c r="K26" s="55" t="s">
        <v>35</v>
      </c>
      <c r="L26" s="55" t="s">
        <v>83</v>
      </c>
      <c r="M26" s="57">
        <f>'6. Gender &amp; Age Distribution'!$H26-'6. Gender &amp; Age Distribution'!$G26</f>
        <v>86</v>
      </c>
      <c r="N26" s="58">
        <f>'6. Gender &amp; Age Distribution'!$M26/30</f>
        <v>2.8666666666666667</v>
      </c>
      <c r="O26" s="65">
        <f>'6. Gender &amp; Age Distribution'!$I26*'6. Gender &amp; Age Distribution'!$N26</f>
        <v>5160</v>
      </c>
    </row>
    <row r="27" spans="1:22" x14ac:dyDescent="0.35">
      <c r="A27" s="62" t="s">
        <v>84</v>
      </c>
      <c r="B27" s="59" t="s">
        <v>85</v>
      </c>
      <c r="C27" s="59">
        <v>42</v>
      </c>
      <c r="D27" s="59" t="s">
        <v>27</v>
      </c>
      <c r="E27" s="59" t="str">
        <f>IF(AND('6. Gender &amp; Age Distribution'!$C27&gt;=18,'6. Gender &amp; Age Distribution'!$C27&lt;=30),"Youth",IF(AND('6. Gender &amp; Age Distribution'!$C27&gt;=31,'6. Gender &amp; Age Distribution'!$C27&lt;=45),"Adults",IF('6. Gender &amp; Age Distribution'!$C27&gt;45,"Senior")))</f>
        <v>Adults</v>
      </c>
      <c r="F27" s="59" t="s">
        <v>22</v>
      </c>
      <c r="G27" s="60">
        <v>45702</v>
      </c>
      <c r="H27" s="60">
        <v>45727</v>
      </c>
      <c r="I27" s="59">
        <v>1200</v>
      </c>
      <c r="J27" s="59">
        <v>3</v>
      </c>
      <c r="K27" s="59" t="s">
        <v>67</v>
      </c>
      <c r="L27" s="59"/>
      <c r="M27" s="57">
        <f>'6. Gender &amp; Age Distribution'!$H27-'6. Gender &amp; Age Distribution'!$G27</f>
        <v>25</v>
      </c>
      <c r="N27" s="58">
        <f>'6. Gender &amp; Age Distribution'!$M27/30</f>
        <v>0.83333333333333337</v>
      </c>
      <c r="O27" s="64">
        <f>'6. Gender &amp; Age Distribution'!$I27*'6. Gender &amp; Age Distribution'!$N27</f>
        <v>1000</v>
      </c>
    </row>
    <row r="28" spans="1:22" x14ac:dyDescent="0.35">
      <c r="A28" s="61" t="s">
        <v>86</v>
      </c>
      <c r="B28" s="55" t="s">
        <v>87</v>
      </c>
      <c r="C28" s="55">
        <v>24</v>
      </c>
      <c r="D28" s="55" t="s">
        <v>12</v>
      </c>
      <c r="E28" s="55" t="str">
        <f>IF(AND('6. Gender &amp; Age Distribution'!$C28&gt;=18,'6. Gender &amp; Age Distribution'!$C28&lt;=30),"Youth",IF(AND('6. Gender &amp; Age Distribution'!$C28&gt;=31,'6. Gender &amp; Age Distribution'!$C28&lt;=45),"Adults",IF('6. Gender &amp; Age Distribution'!$C28&gt;45,"Senior")))</f>
        <v>Youth</v>
      </c>
      <c r="F28" s="55" t="s">
        <v>31</v>
      </c>
      <c r="G28" s="56">
        <v>45698</v>
      </c>
      <c r="H28" s="56">
        <v>45726</v>
      </c>
      <c r="I28" s="55">
        <v>2500</v>
      </c>
      <c r="J28" s="55">
        <v>28</v>
      </c>
      <c r="K28" s="55" t="s">
        <v>35</v>
      </c>
      <c r="L28" s="55"/>
      <c r="M28" s="57">
        <f>'6. Gender &amp; Age Distribution'!$H28-'6. Gender &amp; Age Distribution'!$G28</f>
        <v>28</v>
      </c>
      <c r="N28" s="58">
        <f>'6. Gender &amp; Age Distribution'!$M28/30</f>
        <v>0.93333333333333335</v>
      </c>
      <c r="O28" s="65">
        <f>'6. Gender &amp; Age Distribution'!$I28*'6. Gender &amp; Age Distribution'!$N28</f>
        <v>2333.3333333333335</v>
      </c>
    </row>
    <row r="29" spans="1:22" x14ac:dyDescent="0.35">
      <c r="A29" s="62" t="s">
        <v>88</v>
      </c>
      <c r="B29" s="59" t="s">
        <v>89</v>
      </c>
      <c r="C29" s="59">
        <v>53</v>
      </c>
      <c r="D29" s="59" t="s">
        <v>12</v>
      </c>
      <c r="E29" s="59" t="str">
        <f>IF(AND('6. Gender &amp; Age Distribution'!$C29&gt;=18,'6. Gender &amp; Age Distribution'!$C29&lt;=30),"Youth",IF(AND('6. Gender &amp; Age Distribution'!$C29&gt;=31,'6. Gender &amp; Age Distribution'!$C29&lt;=45),"Adults",IF('6. Gender &amp; Age Distribution'!$C29&gt;45,"Senior")))</f>
        <v>Senior</v>
      </c>
      <c r="F29" s="59" t="s">
        <v>22</v>
      </c>
      <c r="G29" s="60">
        <v>45614</v>
      </c>
      <c r="H29" s="60">
        <v>45645</v>
      </c>
      <c r="I29" s="59">
        <v>1200</v>
      </c>
      <c r="J29" s="59">
        <v>23</v>
      </c>
      <c r="K29" s="59" t="s">
        <v>18</v>
      </c>
      <c r="L29" s="59"/>
      <c r="M29" s="57">
        <f>'6. Gender &amp; Age Distribution'!$H29-'6. Gender &amp; Age Distribution'!$G29</f>
        <v>31</v>
      </c>
      <c r="N29" s="58">
        <f>'6. Gender &amp; Age Distribution'!$M29/30</f>
        <v>1.0333333333333334</v>
      </c>
      <c r="O29" s="64">
        <f>'6. Gender &amp; Age Distribution'!$I29*'6. Gender &amp; Age Distribution'!$N29</f>
        <v>1240.0000000000002</v>
      </c>
    </row>
    <row r="30" spans="1:22" x14ac:dyDescent="0.35">
      <c r="A30" s="61" t="s">
        <v>90</v>
      </c>
      <c r="B30" s="55" t="s">
        <v>91</v>
      </c>
      <c r="C30" s="55">
        <v>29</v>
      </c>
      <c r="D30" s="55" t="s">
        <v>27</v>
      </c>
      <c r="E30" s="55" t="str">
        <f>IF(AND('6. Gender &amp; Age Distribution'!$C30&gt;=18,'6. Gender &amp; Age Distribution'!$C30&lt;=30),"Youth",IF(AND('6. Gender &amp; Age Distribution'!$C30&gt;=31,'6. Gender &amp; Age Distribution'!$C30&lt;=45),"Adults",IF('6. Gender &amp; Age Distribution'!$C30&gt;45,"Senior")))</f>
        <v>Youth</v>
      </c>
      <c r="F30" s="55" t="s">
        <v>31</v>
      </c>
      <c r="G30" s="56">
        <v>45401</v>
      </c>
      <c r="H30" s="56">
        <v>45408</v>
      </c>
      <c r="I30" s="55">
        <v>2500</v>
      </c>
      <c r="J30" s="55">
        <v>8</v>
      </c>
      <c r="K30" s="55" t="s">
        <v>23</v>
      </c>
      <c r="L30" s="55"/>
      <c r="M30" s="57">
        <f>'6. Gender &amp; Age Distribution'!$H30-'6. Gender &amp; Age Distribution'!$G30</f>
        <v>7</v>
      </c>
      <c r="N30" s="58">
        <f>'6. Gender &amp; Age Distribution'!$M30/30</f>
        <v>0.23333333333333334</v>
      </c>
      <c r="O30" s="65">
        <f>'6. Gender &amp; Age Distribution'!$I30*'6. Gender &amp; Age Distribution'!$N30</f>
        <v>583.33333333333337</v>
      </c>
    </row>
    <row r="31" spans="1:22" x14ac:dyDescent="0.35">
      <c r="A31" s="62" t="s">
        <v>92</v>
      </c>
      <c r="B31" s="59" t="s">
        <v>93</v>
      </c>
      <c r="C31" s="59">
        <v>31</v>
      </c>
      <c r="D31" s="59" t="s">
        <v>27</v>
      </c>
      <c r="E31" s="59" t="str">
        <f>IF(AND('6. Gender &amp; Age Distribution'!$C31&gt;=18,'6. Gender &amp; Age Distribution'!$C31&lt;=30),"Youth",IF(AND('6. Gender &amp; Age Distribution'!$C31&gt;=31,'6. Gender &amp; Age Distribution'!$C31&lt;=45),"Adults",IF('6. Gender &amp; Age Distribution'!$C31&gt;45,"Senior")))</f>
        <v>Adults</v>
      </c>
      <c r="F31" s="59" t="s">
        <v>31</v>
      </c>
      <c r="G31" s="60">
        <v>45667</v>
      </c>
      <c r="H31" s="60">
        <v>45745</v>
      </c>
      <c r="I31" s="59">
        <v>2500</v>
      </c>
      <c r="J31" s="59">
        <v>23</v>
      </c>
      <c r="K31" s="59" t="s">
        <v>42</v>
      </c>
      <c r="L31" s="59" t="s">
        <v>94</v>
      </c>
      <c r="M31" s="57">
        <f>'6. Gender &amp; Age Distribution'!$H31-'6. Gender &amp; Age Distribution'!$G31</f>
        <v>78</v>
      </c>
      <c r="N31" s="58">
        <f>'6. Gender &amp; Age Distribution'!$M31/30</f>
        <v>2.6</v>
      </c>
      <c r="O31" s="64">
        <f>'6. Gender &amp; Age Distribution'!$I31*'6. Gender &amp; Age Distribution'!$N31</f>
        <v>6500</v>
      </c>
    </row>
    <row r="32" spans="1:22" x14ac:dyDescent="0.35">
      <c r="A32" s="61" t="s">
        <v>95</v>
      </c>
      <c r="B32" s="55" t="s">
        <v>96</v>
      </c>
      <c r="C32" s="55">
        <v>52</v>
      </c>
      <c r="D32" s="55" t="s">
        <v>27</v>
      </c>
      <c r="E32" s="55" t="str">
        <f>IF(AND('6. Gender &amp; Age Distribution'!$C32&gt;=18,'6. Gender &amp; Age Distribution'!$C32&lt;=30),"Youth",IF(AND('6. Gender &amp; Age Distribution'!$C32&gt;=31,'6. Gender &amp; Age Distribution'!$C32&lt;=45),"Adults",IF('6. Gender &amp; Age Distribution'!$C32&gt;45,"Senior")))</f>
        <v>Senior</v>
      </c>
      <c r="F32" s="55" t="s">
        <v>13</v>
      </c>
      <c r="G32" s="56">
        <v>45088</v>
      </c>
      <c r="H32" s="56">
        <v>45656</v>
      </c>
      <c r="I32" s="55">
        <v>800</v>
      </c>
      <c r="J32" s="55">
        <v>9</v>
      </c>
      <c r="K32" s="55" t="s">
        <v>67</v>
      </c>
      <c r="L32" s="55" t="s">
        <v>97</v>
      </c>
      <c r="M32" s="57">
        <f>'6. Gender &amp; Age Distribution'!$H32-'6. Gender &amp; Age Distribution'!$G32</f>
        <v>568</v>
      </c>
      <c r="N32" s="58">
        <f>'6. Gender &amp; Age Distribution'!$M32/30</f>
        <v>18.933333333333334</v>
      </c>
      <c r="O32" s="65">
        <f>'6. Gender &amp; Age Distribution'!$I32*'6. Gender &amp; Age Distribution'!$N32</f>
        <v>15146.666666666666</v>
      </c>
    </row>
    <row r="33" spans="1:15" x14ac:dyDescent="0.35">
      <c r="A33" s="62" t="s">
        <v>98</v>
      </c>
      <c r="B33" s="59" t="s">
        <v>99</v>
      </c>
      <c r="C33" s="59">
        <v>20</v>
      </c>
      <c r="D33" s="59" t="s">
        <v>12</v>
      </c>
      <c r="E33" s="59" t="str">
        <f>IF(AND('6. Gender &amp; Age Distribution'!$C33&gt;=18,'6. Gender &amp; Age Distribution'!$C33&lt;=30),"Youth",IF(AND('6. Gender &amp; Age Distribution'!$C33&gt;=31,'6. Gender &amp; Age Distribution'!$C33&lt;=45),"Adults",IF('6. Gender &amp; Age Distribution'!$C33&gt;45,"Senior")))</f>
        <v>Youth</v>
      </c>
      <c r="F33" s="59" t="s">
        <v>22</v>
      </c>
      <c r="G33" s="60">
        <v>45391</v>
      </c>
      <c r="H33" s="60">
        <v>45604</v>
      </c>
      <c r="I33" s="59">
        <v>1200</v>
      </c>
      <c r="J33" s="59">
        <v>2</v>
      </c>
      <c r="K33" s="59" t="s">
        <v>35</v>
      </c>
      <c r="L33" s="59"/>
      <c r="M33" s="57">
        <f>'6. Gender &amp; Age Distribution'!$H33-'6. Gender &amp; Age Distribution'!$G33</f>
        <v>213</v>
      </c>
      <c r="N33" s="58">
        <f>'6. Gender &amp; Age Distribution'!$M33/30</f>
        <v>7.1</v>
      </c>
      <c r="O33" s="64">
        <f>'6. Gender &amp; Age Distribution'!$I33*'6. Gender &amp; Age Distribution'!$N33</f>
        <v>8520</v>
      </c>
    </row>
    <row r="34" spans="1:15" x14ac:dyDescent="0.35">
      <c r="A34" s="61" t="s">
        <v>100</v>
      </c>
      <c r="B34" s="55" t="s">
        <v>101</v>
      </c>
      <c r="C34" s="55">
        <v>22</v>
      </c>
      <c r="D34" s="55" t="s">
        <v>12</v>
      </c>
      <c r="E34" s="55" t="str">
        <f>IF(AND('6. Gender &amp; Age Distribution'!$C34&gt;=18,'6. Gender &amp; Age Distribution'!$C34&lt;=30),"Youth",IF(AND('6. Gender &amp; Age Distribution'!$C34&gt;=31,'6. Gender &amp; Age Distribution'!$C34&lt;=45),"Adults",IF('6. Gender &amp; Age Distribution'!$C34&gt;45,"Senior")))</f>
        <v>Youth</v>
      </c>
      <c r="F34" s="55" t="s">
        <v>13</v>
      </c>
      <c r="G34" s="56">
        <v>45699</v>
      </c>
      <c r="H34" s="56">
        <v>45740</v>
      </c>
      <c r="I34" s="55">
        <v>800</v>
      </c>
      <c r="J34" s="55">
        <v>30</v>
      </c>
      <c r="K34" s="55" t="s">
        <v>35</v>
      </c>
      <c r="L34" s="55"/>
      <c r="M34" s="57">
        <f>'6. Gender &amp; Age Distribution'!$H34-'6. Gender &amp; Age Distribution'!$G34</f>
        <v>41</v>
      </c>
      <c r="N34" s="58">
        <f>'6. Gender &amp; Age Distribution'!$M34/30</f>
        <v>1.3666666666666667</v>
      </c>
      <c r="O34" s="65">
        <f>'6. Gender &amp; Age Distribution'!$I34*'6. Gender &amp; Age Distribution'!$N34</f>
        <v>1093.3333333333333</v>
      </c>
    </row>
    <row r="35" spans="1:15" x14ac:dyDescent="0.35">
      <c r="A35" s="62" t="s">
        <v>102</v>
      </c>
      <c r="B35" s="59" t="s">
        <v>103</v>
      </c>
      <c r="C35" s="59">
        <v>23</v>
      </c>
      <c r="D35" s="59" t="s">
        <v>12</v>
      </c>
      <c r="E35" s="59" t="str">
        <f>IF(AND('6. Gender &amp; Age Distribution'!$C35&gt;=18,'6. Gender &amp; Age Distribution'!$C35&lt;=30),"Youth",IF(AND('6. Gender &amp; Age Distribution'!$C35&gt;=31,'6. Gender &amp; Age Distribution'!$C35&lt;=45),"Adults",IF('6. Gender &amp; Age Distribution'!$C35&gt;45,"Senior")))</f>
        <v>Youth</v>
      </c>
      <c r="F35" s="59" t="s">
        <v>41</v>
      </c>
      <c r="G35" s="60">
        <v>45588</v>
      </c>
      <c r="H35" s="60">
        <v>45721</v>
      </c>
      <c r="I35" s="59">
        <v>1800</v>
      </c>
      <c r="J35" s="59">
        <v>23</v>
      </c>
      <c r="K35" s="59" t="s">
        <v>18</v>
      </c>
      <c r="L35" s="59" t="s">
        <v>104</v>
      </c>
      <c r="M35" s="57">
        <f>'6. Gender &amp; Age Distribution'!$H35-'6. Gender &amp; Age Distribution'!$G35</f>
        <v>133</v>
      </c>
      <c r="N35" s="58">
        <f>'6. Gender &amp; Age Distribution'!$M35/30</f>
        <v>4.4333333333333336</v>
      </c>
      <c r="O35" s="64">
        <f>'6. Gender &amp; Age Distribution'!$I35*'6. Gender &amp; Age Distribution'!$N35</f>
        <v>7980</v>
      </c>
    </row>
    <row r="36" spans="1:15" x14ac:dyDescent="0.35">
      <c r="A36" s="61" t="s">
        <v>105</v>
      </c>
      <c r="B36" s="55" t="s">
        <v>106</v>
      </c>
      <c r="C36" s="55">
        <v>27</v>
      </c>
      <c r="D36" s="55" t="s">
        <v>27</v>
      </c>
      <c r="E36" s="55" t="str">
        <f>IF(AND('6. Gender &amp; Age Distribution'!$C36&gt;=18,'6. Gender &amp; Age Distribution'!$C36&lt;=30),"Youth",IF(AND('6. Gender &amp; Age Distribution'!$C36&gt;=31,'6. Gender &amp; Age Distribution'!$C36&lt;=45),"Adults",IF('6. Gender &amp; Age Distribution'!$C36&gt;45,"Senior")))</f>
        <v>Youth</v>
      </c>
      <c r="F36" s="55" t="s">
        <v>22</v>
      </c>
      <c r="G36" s="56">
        <v>45312</v>
      </c>
      <c r="H36" s="56">
        <v>45652</v>
      </c>
      <c r="I36" s="55">
        <v>1200</v>
      </c>
      <c r="J36" s="55">
        <v>27</v>
      </c>
      <c r="K36" s="55" t="s">
        <v>18</v>
      </c>
      <c r="L36" s="55"/>
      <c r="M36" s="57">
        <f>'6. Gender &amp; Age Distribution'!$H36-'6. Gender &amp; Age Distribution'!$G36</f>
        <v>340</v>
      </c>
      <c r="N36" s="58">
        <f>'6. Gender &amp; Age Distribution'!$M36/30</f>
        <v>11.333333333333334</v>
      </c>
      <c r="O36" s="65">
        <f>'6. Gender &amp; Age Distribution'!$I36*'6. Gender &amp; Age Distribution'!$N36</f>
        <v>13600</v>
      </c>
    </row>
  </sheetData>
  <pageMargins left="0.7" right="0.7" top="0.75" bottom="0.75" header="0.3" footer="0.3"/>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09F62-7A47-41CC-9ACF-E7C2935D78BD}">
  <dimension ref="A1:N36"/>
  <sheetViews>
    <sheetView workbookViewId="0">
      <selection sqref="A1:N36"/>
    </sheetView>
  </sheetViews>
  <sheetFormatPr defaultRowHeight="14.5" x14ac:dyDescent="0.35"/>
  <sheetData>
    <row r="1" spans="1:14" x14ac:dyDescent="0.35">
      <c r="A1" s="31" t="s">
        <v>107</v>
      </c>
      <c r="B1" s="31" t="s">
        <v>0</v>
      </c>
      <c r="C1" s="31" t="s">
        <v>1</v>
      </c>
      <c r="D1" s="31" t="s">
        <v>2</v>
      </c>
      <c r="E1" s="31" t="s">
        <v>3</v>
      </c>
      <c r="F1" s="31" t="s">
        <v>4</v>
      </c>
      <c r="G1" s="31" t="s">
        <v>5</v>
      </c>
      <c r="H1" s="31" t="s">
        <v>6</v>
      </c>
      <c r="I1" s="31" t="s">
        <v>7</v>
      </c>
      <c r="J1" s="31" t="s">
        <v>8</v>
      </c>
      <c r="K1" s="32" t="s">
        <v>9</v>
      </c>
      <c r="L1" s="33" t="s">
        <v>111</v>
      </c>
      <c r="M1" s="34" t="s">
        <v>112</v>
      </c>
      <c r="N1" s="31" t="s">
        <v>123</v>
      </c>
    </row>
    <row r="2" spans="1:14" x14ac:dyDescent="0.35">
      <c r="A2" s="26" t="s">
        <v>10</v>
      </c>
      <c r="B2" s="26" t="s">
        <v>11</v>
      </c>
      <c r="C2" s="26">
        <v>59</v>
      </c>
      <c r="D2" s="26" t="s">
        <v>12</v>
      </c>
      <c r="E2" s="26" t="s">
        <v>13</v>
      </c>
      <c r="F2" s="27">
        <v>45235</v>
      </c>
      <c r="G2" s="27">
        <v>45425</v>
      </c>
      <c r="H2" s="26">
        <v>800</v>
      </c>
      <c r="I2" s="26">
        <v>25</v>
      </c>
      <c r="J2" s="26" t="s">
        <v>14</v>
      </c>
      <c r="K2" s="28" t="s">
        <v>15</v>
      </c>
      <c r="L2" s="29">
        <f>Table156[[#This Row],[End_Date]]-Table156[[#This Row],[Start_Date]]</f>
        <v>190</v>
      </c>
      <c r="M2" s="21">
        <f>Table156[[#This Row],[Total Days]]/30</f>
        <v>6.333333333333333</v>
      </c>
      <c r="N2" s="40">
        <f>Table156[[#This Row],[Monthly_Fee]]*Table156[[#This Row],[Membership_Duration_Months]]</f>
        <v>5066.6666666666661</v>
      </c>
    </row>
    <row r="3" spans="1:14" x14ac:dyDescent="0.35">
      <c r="A3" s="4" t="s">
        <v>16</v>
      </c>
      <c r="B3" s="4" t="s">
        <v>17</v>
      </c>
      <c r="C3" s="4">
        <v>27</v>
      </c>
      <c r="D3" s="4" t="s">
        <v>12</v>
      </c>
      <c r="E3" s="4" t="s">
        <v>13</v>
      </c>
      <c r="F3" s="3">
        <v>45714</v>
      </c>
      <c r="G3" s="3">
        <v>45740</v>
      </c>
      <c r="H3" s="4">
        <v>800</v>
      </c>
      <c r="I3" s="4">
        <v>20</v>
      </c>
      <c r="J3" s="4" t="s">
        <v>18</v>
      </c>
      <c r="K3" s="7" t="s">
        <v>19</v>
      </c>
      <c r="L3" s="30">
        <f>Table156[[#This Row],[End_Date]]-Table156[[#This Row],[Start_Date]]</f>
        <v>26</v>
      </c>
      <c r="M3" s="22">
        <f>Table156[[#This Row],[Total Days]]/30</f>
        <v>0.8666666666666667</v>
      </c>
      <c r="N3" s="41">
        <f>Table156[[#This Row],[Monthly_Fee]]*Table156[[#This Row],[Membership_Duration_Months]]</f>
        <v>693.33333333333337</v>
      </c>
    </row>
    <row r="4" spans="1:14" x14ac:dyDescent="0.35">
      <c r="A4" s="26" t="s">
        <v>20</v>
      </c>
      <c r="B4" s="26" t="s">
        <v>21</v>
      </c>
      <c r="C4" s="26">
        <v>24</v>
      </c>
      <c r="D4" s="26" t="s">
        <v>12</v>
      </c>
      <c r="E4" s="26" t="s">
        <v>22</v>
      </c>
      <c r="F4" s="27">
        <v>45191</v>
      </c>
      <c r="G4" s="27">
        <v>45371</v>
      </c>
      <c r="H4" s="26">
        <v>1200</v>
      </c>
      <c r="I4" s="26">
        <v>18</v>
      </c>
      <c r="J4" s="26" t="s">
        <v>23</v>
      </c>
      <c r="K4" s="28" t="s">
        <v>24</v>
      </c>
      <c r="L4" s="30">
        <f>Table156[[#This Row],[End_Date]]-Table156[[#This Row],[Start_Date]]</f>
        <v>180</v>
      </c>
      <c r="M4" s="22">
        <f>Table156[[#This Row],[Total Days]]/30</f>
        <v>6</v>
      </c>
      <c r="N4" s="40">
        <f>Table156[[#This Row],[Monthly_Fee]]*Table156[[#This Row],[Membership_Duration_Months]]</f>
        <v>7200</v>
      </c>
    </row>
    <row r="5" spans="1:14" x14ac:dyDescent="0.35">
      <c r="A5" s="4" t="s">
        <v>25</v>
      </c>
      <c r="B5" s="4" t="s">
        <v>26</v>
      </c>
      <c r="C5" s="4">
        <v>31</v>
      </c>
      <c r="D5" s="4" t="s">
        <v>27</v>
      </c>
      <c r="E5" s="4" t="s">
        <v>22</v>
      </c>
      <c r="F5" s="3">
        <v>45479</v>
      </c>
      <c r="G5" s="3">
        <v>45587</v>
      </c>
      <c r="H5" s="4">
        <v>1200</v>
      </c>
      <c r="I5" s="4">
        <v>16</v>
      </c>
      <c r="J5" s="4" t="s">
        <v>23</v>
      </c>
      <c r="K5" s="7" t="s">
        <v>28</v>
      </c>
      <c r="L5" s="30">
        <f>Table156[[#This Row],[End_Date]]-Table156[[#This Row],[Start_Date]]</f>
        <v>108</v>
      </c>
      <c r="M5" s="22">
        <f>Table156[[#This Row],[Total Days]]/30</f>
        <v>3.6</v>
      </c>
      <c r="N5" s="41">
        <f>Table156[[#This Row],[Monthly_Fee]]*Table156[[#This Row],[Membership_Duration_Months]]</f>
        <v>4320</v>
      </c>
    </row>
    <row r="6" spans="1:14" x14ac:dyDescent="0.35">
      <c r="A6" s="26" t="s">
        <v>29</v>
      </c>
      <c r="B6" s="26" t="s">
        <v>30</v>
      </c>
      <c r="C6" s="26">
        <v>19</v>
      </c>
      <c r="D6" s="26" t="s">
        <v>12</v>
      </c>
      <c r="E6" s="26" t="s">
        <v>31</v>
      </c>
      <c r="F6" s="27">
        <v>45286</v>
      </c>
      <c r="G6" s="27">
        <v>45501</v>
      </c>
      <c r="H6" s="26">
        <v>2500</v>
      </c>
      <c r="I6" s="26">
        <v>12</v>
      </c>
      <c r="J6" s="26" t="s">
        <v>14</v>
      </c>
      <c r="K6" s="28" t="s">
        <v>32</v>
      </c>
      <c r="L6" s="30">
        <f>Table156[[#This Row],[End_Date]]-Table156[[#This Row],[Start_Date]]</f>
        <v>215</v>
      </c>
      <c r="M6" s="22">
        <f>Table156[[#This Row],[Total Days]]/30</f>
        <v>7.166666666666667</v>
      </c>
      <c r="N6" s="40">
        <f>Table156[[#This Row],[Monthly_Fee]]*Table156[[#This Row],[Membership_Duration_Months]]</f>
        <v>17916.666666666668</v>
      </c>
    </row>
    <row r="7" spans="1:14" x14ac:dyDescent="0.35">
      <c r="A7" s="4" t="s">
        <v>33</v>
      </c>
      <c r="B7" s="4" t="s">
        <v>34</v>
      </c>
      <c r="C7" s="4">
        <v>40</v>
      </c>
      <c r="D7" s="4" t="s">
        <v>12</v>
      </c>
      <c r="E7" s="4" t="s">
        <v>13</v>
      </c>
      <c r="F7" s="3">
        <v>45317</v>
      </c>
      <c r="G7" s="3">
        <v>45392</v>
      </c>
      <c r="H7" s="4">
        <v>800</v>
      </c>
      <c r="I7" s="4">
        <v>14</v>
      </c>
      <c r="J7" s="4" t="s">
        <v>35</v>
      </c>
      <c r="K7" s="7" t="s">
        <v>36</v>
      </c>
      <c r="L7" s="30">
        <f>Table156[[#This Row],[End_Date]]-Table156[[#This Row],[Start_Date]]</f>
        <v>75</v>
      </c>
      <c r="M7" s="22">
        <f>Table156[[#This Row],[Total Days]]/30</f>
        <v>2.5</v>
      </c>
      <c r="N7" s="41">
        <f>Table156[[#This Row],[Monthly_Fee]]*Table156[[#This Row],[Membership_Duration_Months]]</f>
        <v>2000</v>
      </c>
    </row>
    <row r="8" spans="1:14" x14ac:dyDescent="0.35">
      <c r="A8" s="26" t="s">
        <v>37</v>
      </c>
      <c r="B8" s="26" t="s">
        <v>38</v>
      </c>
      <c r="C8" s="26">
        <v>41</v>
      </c>
      <c r="D8" s="26" t="s">
        <v>27</v>
      </c>
      <c r="E8" s="26" t="s">
        <v>13</v>
      </c>
      <c r="F8" s="27">
        <v>45588</v>
      </c>
      <c r="G8" s="27">
        <v>45677</v>
      </c>
      <c r="H8" s="26">
        <v>800</v>
      </c>
      <c r="I8" s="26">
        <v>25</v>
      </c>
      <c r="J8" s="26" t="s">
        <v>18</v>
      </c>
      <c r="K8" s="28"/>
      <c r="L8" s="30">
        <f>Table156[[#This Row],[End_Date]]-Table156[[#This Row],[Start_Date]]</f>
        <v>89</v>
      </c>
      <c r="M8" s="22">
        <f>Table156[[#This Row],[Total Days]]/30</f>
        <v>2.9666666666666668</v>
      </c>
      <c r="N8" s="40">
        <f>Table156[[#This Row],[Monthly_Fee]]*Table156[[#This Row],[Membership_Duration_Months]]</f>
        <v>2373.3333333333335</v>
      </c>
    </row>
    <row r="9" spans="1:14" x14ac:dyDescent="0.35">
      <c r="A9" s="4" t="s">
        <v>39</v>
      </c>
      <c r="B9" s="4" t="s">
        <v>40</v>
      </c>
      <c r="C9" s="4">
        <v>43</v>
      </c>
      <c r="D9" s="4" t="s">
        <v>12</v>
      </c>
      <c r="E9" s="4" t="s">
        <v>41</v>
      </c>
      <c r="F9" s="3">
        <v>45450</v>
      </c>
      <c r="G9" s="3">
        <v>45563</v>
      </c>
      <c r="H9" s="4">
        <v>1800</v>
      </c>
      <c r="I9" s="4">
        <v>28</v>
      </c>
      <c r="J9" s="4" t="s">
        <v>42</v>
      </c>
      <c r="K9" s="7"/>
      <c r="L9" s="30">
        <f>Table156[[#This Row],[End_Date]]-Table156[[#This Row],[Start_Date]]</f>
        <v>113</v>
      </c>
      <c r="M9" s="22">
        <f>Table156[[#This Row],[Total Days]]/30</f>
        <v>3.7666666666666666</v>
      </c>
      <c r="N9" s="41">
        <f>Table156[[#This Row],[Monthly_Fee]]*Table156[[#This Row],[Membership_Duration_Months]]</f>
        <v>6780</v>
      </c>
    </row>
    <row r="10" spans="1:14" x14ac:dyDescent="0.35">
      <c r="A10" s="26" t="s">
        <v>43</v>
      </c>
      <c r="B10" s="26" t="s">
        <v>44</v>
      </c>
      <c r="C10" s="26">
        <v>42</v>
      </c>
      <c r="D10" s="26" t="s">
        <v>12</v>
      </c>
      <c r="E10" s="26" t="s">
        <v>13</v>
      </c>
      <c r="F10" s="27">
        <v>45569</v>
      </c>
      <c r="G10" s="27">
        <v>45582</v>
      </c>
      <c r="H10" s="26">
        <v>800</v>
      </c>
      <c r="I10" s="26">
        <v>3</v>
      </c>
      <c r="J10" s="26" t="s">
        <v>42</v>
      </c>
      <c r="K10" s="28" t="s">
        <v>45</v>
      </c>
      <c r="L10" s="30">
        <f>Table156[[#This Row],[End_Date]]-Table156[[#This Row],[Start_Date]]</f>
        <v>13</v>
      </c>
      <c r="M10" s="22">
        <f>Table156[[#This Row],[Total Days]]/30</f>
        <v>0.43333333333333335</v>
      </c>
      <c r="N10" s="40">
        <f>Table156[[#This Row],[Monthly_Fee]]*Table156[[#This Row],[Membership_Duration_Months]]</f>
        <v>346.66666666666669</v>
      </c>
    </row>
    <row r="11" spans="1:14" x14ac:dyDescent="0.35">
      <c r="A11" s="4" t="s">
        <v>46</v>
      </c>
      <c r="B11" s="4" t="s">
        <v>47</v>
      </c>
      <c r="C11" s="4">
        <v>37</v>
      </c>
      <c r="D11" s="4" t="s">
        <v>12</v>
      </c>
      <c r="E11" s="4" t="s">
        <v>22</v>
      </c>
      <c r="F11" s="3">
        <v>45202</v>
      </c>
      <c r="G11" s="3">
        <v>45280</v>
      </c>
      <c r="H11" s="4">
        <v>1200</v>
      </c>
      <c r="I11" s="4">
        <v>29</v>
      </c>
      <c r="J11" s="4" t="s">
        <v>35</v>
      </c>
      <c r="K11" s="7" t="s">
        <v>48</v>
      </c>
      <c r="L11" s="30">
        <f>Table156[[#This Row],[End_Date]]-Table156[[#This Row],[Start_Date]]</f>
        <v>78</v>
      </c>
      <c r="M11" s="22">
        <f>Table156[[#This Row],[Total Days]]/30</f>
        <v>2.6</v>
      </c>
      <c r="N11" s="41">
        <f>Table156[[#This Row],[Monthly_Fee]]*Table156[[#This Row],[Membership_Duration_Months]]</f>
        <v>3120</v>
      </c>
    </row>
    <row r="12" spans="1:14" x14ac:dyDescent="0.35">
      <c r="A12" s="26" t="s">
        <v>49</v>
      </c>
      <c r="B12" s="26" t="s">
        <v>50</v>
      </c>
      <c r="C12" s="26">
        <v>48</v>
      </c>
      <c r="D12" s="26" t="s">
        <v>27</v>
      </c>
      <c r="E12" s="26" t="s">
        <v>22</v>
      </c>
      <c r="F12" s="27">
        <v>45297</v>
      </c>
      <c r="G12" s="27">
        <v>45459</v>
      </c>
      <c r="H12" s="26">
        <v>1200</v>
      </c>
      <c r="I12" s="26">
        <v>13</v>
      </c>
      <c r="J12" s="26" t="s">
        <v>14</v>
      </c>
      <c r="K12" s="28" t="s">
        <v>51</v>
      </c>
      <c r="L12" s="30">
        <f>Table156[[#This Row],[End_Date]]-Table156[[#This Row],[Start_Date]]</f>
        <v>162</v>
      </c>
      <c r="M12" s="22">
        <f>Table156[[#This Row],[Total Days]]/30</f>
        <v>5.4</v>
      </c>
      <c r="N12" s="40">
        <f>Table156[[#This Row],[Monthly_Fee]]*Table156[[#This Row],[Membership_Duration_Months]]</f>
        <v>6480</v>
      </c>
    </row>
    <row r="13" spans="1:14" x14ac:dyDescent="0.35">
      <c r="A13" s="4" t="s">
        <v>52</v>
      </c>
      <c r="B13" s="4" t="s">
        <v>53</v>
      </c>
      <c r="C13" s="4">
        <v>36</v>
      </c>
      <c r="D13" s="4" t="s">
        <v>12</v>
      </c>
      <c r="E13" s="4" t="s">
        <v>22</v>
      </c>
      <c r="F13" s="3">
        <v>45154</v>
      </c>
      <c r="G13" s="3">
        <v>45568</v>
      </c>
      <c r="H13" s="4">
        <v>1200</v>
      </c>
      <c r="I13" s="4">
        <v>19</v>
      </c>
      <c r="J13" s="4" t="s">
        <v>42</v>
      </c>
      <c r="K13" s="7" t="s">
        <v>54</v>
      </c>
      <c r="L13" s="30">
        <f>Table156[[#This Row],[End_Date]]-Table156[[#This Row],[Start_Date]]</f>
        <v>414</v>
      </c>
      <c r="M13" s="22">
        <f>Table156[[#This Row],[Total Days]]/30</f>
        <v>13.8</v>
      </c>
      <c r="N13" s="41">
        <f>Table156[[#This Row],[Monthly_Fee]]*Table156[[#This Row],[Membership_Duration_Months]]</f>
        <v>16560</v>
      </c>
    </row>
    <row r="14" spans="1:14" x14ac:dyDescent="0.35">
      <c r="A14" s="26" t="s">
        <v>55</v>
      </c>
      <c r="B14" s="26" t="s">
        <v>56</v>
      </c>
      <c r="C14" s="26">
        <v>48</v>
      </c>
      <c r="D14" s="26" t="s">
        <v>27</v>
      </c>
      <c r="E14" s="26" t="s">
        <v>41</v>
      </c>
      <c r="F14" s="27">
        <v>45556</v>
      </c>
      <c r="G14" s="27">
        <v>45641</v>
      </c>
      <c r="H14" s="26">
        <v>1800</v>
      </c>
      <c r="I14" s="26">
        <v>22</v>
      </c>
      <c r="J14" s="26" t="s">
        <v>42</v>
      </c>
      <c r="K14" s="28"/>
      <c r="L14" s="30">
        <f>Table156[[#This Row],[End_Date]]-Table156[[#This Row],[Start_Date]]</f>
        <v>85</v>
      </c>
      <c r="M14" s="22">
        <f>Table156[[#This Row],[Total Days]]/30</f>
        <v>2.8333333333333335</v>
      </c>
      <c r="N14" s="40">
        <f>Table156[[#This Row],[Monthly_Fee]]*Table156[[#This Row],[Membership_Duration_Months]]</f>
        <v>5100</v>
      </c>
    </row>
    <row r="15" spans="1:14" x14ac:dyDescent="0.35">
      <c r="A15" s="4" t="s">
        <v>57</v>
      </c>
      <c r="B15" s="4" t="s">
        <v>58</v>
      </c>
      <c r="C15" s="4">
        <v>39</v>
      </c>
      <c r="D15" s="4" t="s">
        <v>12</v>
      </c>
      <c r="E15" s="4" t="s">
        <v>22</v>
      </c>
      <c r="F15" s="3">
        <v>45065</v>
      </c>
      <c r="G15" s="3">
        <v>45242</v>
      </c>
      <c r="H15" s="4">
        <v>1200</v>
      </c>
      <c r="I15" s="4">
        <v>28</v>
      </c>
      <c r="J15" s="4" t="s">
        <v>35</v>
      </c>
      <c r="K15" s="7"/>
      <c r="L15" s="30">
        <f>Table156[[#This Row],[End_Date]]-Table156[[#This Row],[Start_Date]]</f>
        <v>177</v>
      </c>
      <c r="M15" s="22">
        <f>Table156[[#This Row],[Total Days]]/30</f>
        <v>5.9</v>
      </c>
      <c r="N15" s="41">
        <f>Table156[[#This Row],[Monthly_Fee]]*Table156[[#This Row],[Membership_Duration_Months]]</f>
        <v>7080</v>
      </c>
    </row>
    <row r="16" spans="1:14" x14ac:dyDescent="0.35">
      <c r="A16" s="26" t="s">
        <v>59</v>
      </c>
      <c r="B16" s="26" t="s">
        <v>60</v>
      </c>
      <c r="C16" s="26">
        <v>44</v>
      </c>
      <c r="D16" s="26" t="s">
        <v>27</v>
      </c>
      <c r="E16" s="26" t="s">
        <v>13</v>
      </c>
      <c r="F16" s="27">
        <v>45333</v>
      </c>
      <c r="G16" s="27">
        <v>45540</v>
      </c>
      <c r="H16" s="26">
        <v>800</v>
      </c>
      <c r="I16" s="26">
        <v>8</v>
      </c>
      <c r="J16" s="26" t="s">
        <v>23</v>
      </c>
      <c r="K16" s="28"/>
      <c r="L16" s="30">
        <f>Table156[[#This Row],[End_Date]]-Table156[[#This Row],[Start_Date]]</f>
        <v>207</v>
      </c>
      <c r="M16" s="22">
        <f>Table156[[#This Row],[Total Days]]/30</f>
        <v>6.9</v>
      </c>
      <c r="N16" s="40">
        <f>Table156[[#This Row],[Monthly_Fee]]*Table156[[#This Row],[Membership_Duration_Months]]</f>
        <v>5520</v>
      </c>
    </row>
    <row r="17" spans="1:14" x14ac:dyDescent="0.35">
      <c r="A17" s="4" t="s">
        <v>61</v>
      </c>
      <c r="B17" s="4" t="s">
        <v>62</v>
      </c>
      <c r="C17" s="4">
        <v>39</v>
      </c>
      <c r="D17" s="4" t="s">
        <v>12</v>
      </c>
      <c r="E17" s="4" t="s">
        <v>31</v>
      </c>
      <c r="F17" s="3">
        <v>45702</v>
      </c>
      <c r="G17" s="3">
        <v>45732</v>
      </c>
      <c r="H17" s="4">
        <v>2500</v>
      </c>
      <c r="I17" s="4">
        <v>14</v>
      </c>
      <c r="J17" s="4" t="s">
        <v>42</v>
      </c>
      <c r="K17" s="7"/>
      <c r="L17" s="30">
        <f>Table156[[#This Row],[End_Date]]-Table156[[#This Row],[Start_Date]]</f>
        <v>30</v>
      </c>
      <c r="M17" s="22">
        <f>Table156[[#This Row],[Total Days]]/30</f>
        <v>1</v>
      </c>
      <c r="N17" s="41">
        <f>Table156[[#This Row],[Monthly_Fee]]*Table156[[#This Row],[Membership_Duration_Months]]</f>
        <v>2500</v>
      </c>
    </row>
    <row r="18" spans="1:14" x14ac:dyDescent="0.35">
      <c r="A18" s="26" t="s">
        <v>63</v>
      </c>
      <c r="B18" s="26" t="s">
        <v>64</v>
      </c>
      <c r="C18" s="26">
        <v>35</v>
      </c>
      <c r="D18" s="26" t="s">
        <v>12</v>
      </c>
      <c r="E18" s="26" t="s">
        <v>22</v>
      </c>
      <c r="F18" s="27">
        <v>45329</v>
      </c>
      <c r="G18" s="27">
        <v>45685</v>
      </c>
      <c r="H18" s="26">
        <v>1200</v>
      </c>
      <c r="I18" s="26">
        <v>25</v>
      </c>
      <c r="J18" s="26" t="s">
        <v>23</v>
      </c>
      <c r="K18" s="28"/>
      <c r="L18" s="30">
        <f>Table156[[#This Row],[End_Date]]-Table156[[#This Row],[Start_Date]]</f>
        <v>356</v>
      </c>
      <c r="M18" s="22">
        <f>Table156[[#This Row],[Total Days]]/30</f>
        <v>11.866666666666667</v>
      </c>
      <c r="N18" s="40">
        <f>Table156[[#This Row],[Monthly_Fee]]*Table156[[#This Row],[Membership_Duration_Months]]</f>
        <v>14240</v>
      </c>
    </row>
    <row r="19" spans="1:14" x14ac:dyDescent="0.35">
      <c r="A19" s="4" t="s">
        <v>65</v>
      </c>
      <c r="B19" s="4" t="s">
        <v>66</v>
      </c>
      <c r="C19" s="4">
        <v>56</v>
      </c>
      <c r="D19" s="4" t="s">
        <v>27</v>
      </c>
      <c r="E19" s="4" t="s">
        <v>31</v>
      </c>
      <c r="F19" s="3">
        <v>45213</v>
      </c>
      <c r="G19" s="3">
        <v>45649</v>
      </c>
      <c r="H19" s="4">
        <v>2500</v>
      </c>
      <c r="I19" s="4">
        <v>13</v>
      </c>
      <c r="J19" s="4" t="s">
        <v>67</v>
      </c>
      <c r="K19" s="7"/>
      <c r="L19" s="30">
        <f>Table156[[#This Row],[End_Date]]-Table156[[#This Row],[Start_Date]]</f>
        <v>436</v>
      </c>
      <c r="M19" s="22">
        <f>Table156[[#This Row],[Total Days]]/30</f>
        <v>14.533333333333333</v>
      </c>
      <c r="N19" s="41">
        <f>Table156[[#This Row],[Monthly_Fee]]*Table156[[#This Row],[Membership_Duration_Months]]</f>
        <v>36333.333333333336</v>
      </c>
    </row>
    <row r="20" spans="1:14" x14ac:dyDescent="0.35">
      <c r="A20" s="26" t="s">
        <v>68</v>
      </c>
      <c r="B20" s="26" t="s">
        <v>69</v>
      </c>
      <c r="C20" s="26">
        <v>27</v>
      </c>
      <c r="D20" s="26" t="s">
        <v>27</v>
      </c>
      <c r="E20" s="26" t="s">
        <v>13</v>
      </c>
      <c r="F20" s="27">
        <v>45354</v>
      </c>
      <c r="G20" s="27">
        <v>45664</v>
      </c>
      <c r="H20" s="26">
        <v>800</v>
      </c>
      <c r="I20" s="26">
        <v>26</v>
      </c>
      <c r="J20" s="26" t="s">
        <v>35</v>
      </c>
      <c r="K20" s="28"/>
      <c r="L20" s="30">
        <f>Table156[[#This Row],[End_Date]]-Table156[[#This Row],[Start_Date]]</f>
        <v>310</v>
      </c>
      <c r="M20" s="22">
        <f>Table156[[#This Row],[Total Days]]/30</f>
        <v>10.333333333333334</v>
      </c>
      <c r="N20" s="40">
        <f>Table156[[#This Row],[Monthly_Fee]]*Table156[[#This Row],[Membership_Duration_Months]]</f>
        <v>8266.6666666666679</v>
      </c>
    </row>
    <row r="21" spans="1:14" x14ac:dyDescent="0.35">
      <c r="A21" s="4" t="s">
        <v>70</v>
      </c>
      <c r="B21" s="4" t="s">
        <v>71</v>
      </c>
      <c r="C21" s="4">
        <v>28</v>
      </c>
      <c r="D21" s="4" t="s">
        <v>12</v>
      </c>
      <c r="E21" s="4" t="s">
        <v>31</v>
      </c>
      <c r="F21" s="3">
        <v>45417</v>
      </c>
      <c r="G21" s="3">
        <v>45608</v>
      </c>
      <c r="H21" s="4">
        <v>2500</v>
      </c>
      <c r="I21" s="4">
        <v>21</v>
      </c>
      <c r="J21" s="4" t="s">
        <v>35</v>
      </c>
      <c r="K21" s="7" t="s">
        <v>72</v>
      </c>
      <c r="L21" s="30">
        <f>Table156[[#This Row],[End_Date]]-Table156[[#This Row],[Start_Date]]</f>
        <v>191</v>
      </c>
      <c r="M21" s="22">
        <f>Table156[[#This Row],[Total Days]]/30</f>
        <v>6.3666666666666663</v>
      </c>
      <c r="N21" s="41">
        <f>Table156[[#This Row],[Monthly_Fee]]*Table156[[#This Row],[Membership_Duration_Months]]</f>
        <v>15916.666666666666</v>
      </c>
    </row>
    <row r="22" spans="1:14" x14ac:dyDescent="0.35">
      <c r="A22" s="26" t="s">
        <v>73</v>
      </c>
      <c r="B22" s="26" t="s">
        <v>74</v>
      </c>
      <c r="C22" s="26">
        <v>57</v>
      </c>
      <c r="D22" s="26" t="s">
        <v>27</v>
      </c>
      <c r="E22" s="26" t="s">
        <v>41</v>
      </c>
      <c r="F22" s="27">
        <v>45146</v>
      </c>
      <c r="G22" s="27">
        <v>45674</v>
      </c>
      <c r="H22" s="26">
        <v>1800</v>
      </c>
      <c r="I22" s="26">
        <v>19</v>
      </c>
      <c r="J22" s="26" t="s">
        <v>35</v>
      </c>
      <c r="K22" s="28"/>
      <c r="L22" s="30">
        <f>Table156[[#This Row],[End_Date]]-Table156[[#This Row],[Start_Date]]</f>
        <v>528</v>
      </c>
      <c r="M22" s="22">
        <f>Table156[[#This Row],[Total Days]]/30</f>
        <v>17.600000000000001</v>
      </c>
      <c r="N22" s="40">
        <f>Table156[[#This Row],[Monthly_Fee]]*Table156[[#This Row],[Membership_Duration_Months]]</f>
        <v>31680.000000000004</v>
      </c>
    </row>
    <row r="23" spans="1:14" x14ac:dyDescent="0.35">
      <c r="A23" s="4" t="s">
        <v>75</v>
      </c>
      <c r="B23" s="4" t="s">
        <v>76</v>
      </c>
      <c r="C23" s="4">
        <v>26</v>
      </c>
      <c r="D23" s="4" t="s">
        <v>27</v>
      </c>
      <c r="E23" s="4" t="s">
        <v>41</v>
      </c>
      <c r="F23" s="3">
        <v>45320</v>
      </c>
      <c r="G23" s="3">
        <v>45616</v>
      </c>
      <c r="H23" s="4">
        <v>1800</v>
      </c>
      <c r="I23" s="4">
        <v>5</v>
      </c>
      <c r="J23" s="4" t="s">
        <v>14</v>
      </c>
      <c r="K23" s="7"/>
      <c r="L23" s="30">
        <f>Table156[[#This Row],[End_Date]]-Table156[[#This Row],[Start_Date]]</f>
        <v>296</v>
      </c>
      <c r="M23" s="22">
        <f>Table156[[#This Row],[Total Days]]/30</f>
        <v>9.8666666666666671</v>
      </c>
      <c r="N23" s="41">
        <f>Table156[[#This Row],[Monthly_Fee]]*Table156[[#This Row],[Membership_Duration_Months]]</f>
        <v>17760</v>
      </c>
    </row>
    <row r="24" spans="1:14" x14ac:dyDescent="0.35">
      <c r="A24" s="26" t="s">
        <v>77</v>
      </c>
      <c r="B24" s="26" t="s">
        <v>78</v>
      </c>
      <c r="C24" s="26">
        <v>48</v>
      </c>
      <c r="D24" s="26" t="s">
        <v>12</v>
      </c>
      <c r="E24" s="26" t="s">
        <v>41</v>
      </c>
      <c r="F24" s="27">
        <v>45451</v>
      </c>
      <c r="G24" s="27">
        <v>45455</v>
      </c>
      <c r="H24" s="26">
        <v>1800</v>
      </c>
      <c r="I24" s="26">
        <v>18</v>
      </c>
      <c r="J24" s="26" t="s">
        <v>67</v>
      </c>
      <c r="K24" s="28"/>
      <c r="L24" s="30">
        <f>Table156[[#This Row],[End_Date]]-Table156[[#This Row],[Start_Date]]</f>
        <v>4</v>
      </c>
      <c r="M24" s="22">
        <f>Table156[[#This Row],[Total Days]]/30</f>
        <v>0.13333333333333333</v>
      </c>
      <c r="N24" s="40">
        <f>Table156[[#This Row],[Monthly_Fee]]*Table156[[#This Row],[Membership_Duration_Months]]</f>
        <v>240</v>
      </c>
    </row>
    <row r="25" spans="1:14" x14ac:dyDescent="0.35">
      <c r="A25" s="4" t="s">
        <v>79</v>
      </c>
      <c r="B25" s="4" t="s">
        <v>80</v>
      </c>
      <c r="C25" s="4">
        <v>25</v>
      </c>
      <c r="D25" s="4" t="s">
        <v>27</v>
      </c>
      <c r="E25" s="4" t="s">
        <v>22</v>
      </c>
      <c r="F25" s="3">
        <v>45439</v>
      </c>
      <c r="G25" s="3">
        <v>45730</v>
      </c>
      <c r="H25" s="4">
        <v>1200</v>
      </c>
      <c r="I25" s="4">
        <v>6</v>
      </c>
      <c r="J25" s="4" t="s">
        <v>14</v>
      </c>
      <c r="K25" s="7"/>
      <c r="L25" s="30">
        <f>Table156[[#This Row],[End_Date]]-Table156[[#This Row],[Start_Date]]</f>
        <v>291</v>
      </c>
      <c r="M25" s="22">
        <f>Table156[[#This Row],[Total Days]]/30</f>
        <v>9.6999999999999993</v>
      </c>
      <c r="N25" s="41">
        <f>Table156[[#This Row],[Monthly_Fee]]*Table156[[#This Row],[Membership_Duration_Months]]</f>
        <v>11640</v>
      </c>
    </row>
    <row r="26" spans="1:14" x14ac:dyDescent="0.35">
      <c r="A26" s="26" t="s">
        <v>81</v>
      </c>
      <c r="B26" s="26" t="s">
        <v>82</v>
      </c>
      <c r="C26" s="26">
        <v>53</v>
      </c>
      <c r="D26" s="26" t="s">
        <v>12</v>
      </c>
      <c r="E26" s="26" t="s">
        <v>41</v>
      </c>
      <c r="F26" s="27">
        <v>45286</v>
      </c>
      <c r="G26" s="27">
        <v>45372</v>
      </c>
      <c r="H26" s="26">
        <v>1800</v>
      </c>
      <c r="I26" s="26">
        <v>17</v>
      </c>
      <c r="J26" s="26" t="s">
        <v>35</v>
      </c>
      <c r="K26" s="28" t="s">
        <v>83</v>
      </c>
      <c r="L26" s="30">
        <f>Table156[[#This Row],[End_Date]]-Table156[[#This Row],[Start_Date]]</f>
        <v>86</v>
      </c>
      <c r="M26" s="22">
        <f>Table156[[#This Row],[Total Days]]/30</f>
        <v>2.8666666666666667</v>
      </c>
      <c r="N26" s="40">
        <f>Table156[[#This Row],[Monthly_Fee]]*Table156[[#This Row],[Membership_Duration_Months]]</f>
        <v>5160</v>
      </c>
    </row>
    <row r="27" spans="1:14" x14ac:dyDescent="0.35">
      <c r="A27" s="4" t="s">
        <v>84</v>
      </c>
      <c r="B27" s="4" t="s">
        <v>85</v>
      </c>
      <c r="C27" s="4">
        <v>42</v>
      </c>
      <c r="D27" s="4" t="s">
        <v>27</v>
      </c>
      <c r="E27" s="4" t="s">
        <v>22</v>
      </c>
      <c r="F27" s="3">
        <v>45702</v>
      </c>
      <c r="G27" s="3">
        <v>45727</v>
      </c>
      <c r="H27" s="4">
        <v>1200</v>
      </c>
      <c r="I27" s="4">
        <v>3</v>
      </c>
      <c r="J27" s="4" t="s">
        <v>67</v>
      </c>
      <c r="K27" s="7"/>
      <c r="L27" s="30">
        <f>Table156[[#This Row],[End_Date]]-Table156[[#This Row],[Start_Date]]</f>
        <v>25</v>
      </c>
      <c r="M27" s="22">
        <f>Table156[[#This Row],[Total Days]]/30</f>
        <v>0.83333333333333337</v>
      </c>
      <c r="N27" s="41">
        <f>Table156[[#This Row],[Monthly_Fee]]*Table156[[#This Row],[Membership_Duration_Months]]</f>
        <v>1000</v>
      </c>
    </row>
    <row r="28" spans="1:14" x14ac:dyDescent="0.35">
      <c r="A28" s="26" t="s">
        <v>86</v>
      </c>
      <c r="B28" s="26" t="s">
        <v>87</v>
      </c>
      <c r="C28" s="26">
        <v>24</v>
      </c>
      <c r="D28" s="26" t="s">
        <v>12</v>
      </c>
      <c r="E28" s="26" t="s">
        <v>31</v>
      </c>
      <c r="F28" s="27">
        <v>45698</v>
      </c>
      <c r="G28" s="27">
        <v>45726</v>
      </c>
      <c r="H28" s="26">
        <v>2500</v>
      </c>
      <c r="I28" s="26">
        <v>28</v>
      </c>
      <c r="J28" s="26" t="s">
        <v>35</v>
      </c>
      <c r="K28" s="28"/>
      <c r="L28" s="30">
        <f>Table156[[#This Row],[End_Date]]-Table156[[#This Row],[Start_Date]]</f>
        <v>28</v>
      </c>
      <c r="M28" s="22">
        <f>Table156[[#This Row],[Total Days]]/30</f>
        <v>0.93333333333333335</v>
      </c>
      <c r="N28" s="40">
        <f>Table156[[#This Row],[Monthly_Fee]]*Table156[[#This Row],[Membership_Duration_Months]]</f>
        <v>2333.3333333333335</v>
      </c>
    </row>
    <row r="29" spans="1:14" x14ac:dyDescent="0.35">
      <c r="A29" s="4" t="s">
        <v>88</v>
      </c>
      <c r="B29" s="4" t="s">
        <v>89</v>
      </c>
      <c r="C29" s="4">
        <v>53</v>
      </c>
      <c r="D29" s="4" t="s">
        <v>12</v>
      </c>
      <c r="E29" s="4" t="s">
        <v>22</v>
      </c>
      <c r="F29" s="3">
        <v>45614</v>
      </c>
      <c r="G29" s="3">
        <v>45645</v>
      </c>
      <c r="H29" s="4">
        <v>1200</v>
      </c>
      <c r="I29" s="4">
        <v>23</v>
      </c>
      <c r="J29" s="4" t="s">
        <v>18</v>
      </c>
      <c r="K29" s="7"/>
      <c r="L29" s="30">
        <f>Table156[[#This Row],[End_Date]]-Table156[[#This Row],[Start_Date]]</f>
        <v>31</v>
      </c>
      <c r="M29" s="22">
        <f>Table156[[#This Row],[Total Days]]/30</f>
        <v>1.0333333333333334</v>
      </c>
      <c r="N29" s="41">
        <f>Table156[[#This Row],[Monthly_Fee]]*Table156[[#This Row],[Membership_Duration_Months]]</f>
        <v>1240.0000000000002</v>
      </c>
    </row>
    <row r="30" spans="1:14" x14ac:dyDescent="0.35">
      <c r="A30" s="26" t="s">
        <v>90</v>
      </c>
      <c r="B30" s="26" t="s">
        <v>91</v>
      </c>
      <c r="C30" s="26">
        <v>29</v>
      </c>
      <c r="D30" s="26" t="s">
        <v>27</v>
      </c>
      <c r="E30" s="26" t="s">
        <v>31</v>
      </c>
      <c r="F30" s="27">
        <v>45401</v>
      </c>
      <c r="G30" s="27">
        <v>45408</v>
      </c>
      <c r="H30" s="26">
        <v>2500</v>
      </c>
      <c r="I30" s="26">
        <v>8</v>
      </c>
      <c r="J30" s="26" t="s">
        <v>23</v>
      </c>
      <c r="K30" s="28"/>
      <c r="L30" s="30">
        <f>Table156[[#This Row],[End_Date]]-Table156[[#This Row],[Start_Date]]</f>
        <v>7</v>
      </c>
      <c r="M30" s="22">
        <f>Table156[[#This Row],[Total Days]]/30</f>
        <v>0.23333333333333334</v>
      </c>
      <c r="N30" s="40">
        <f>Table156[[#This Row],[Monthly_Fee]]*Table156[[#This Row],[Membership_Duration_Months]]</f>
        <v>583.33333333333337</v>
      </c>
    </row>
    <row r="31" spans="1:14" x14ac:dyDescent="0.35">
      <c r="A31" s="4" t="s">
        <v>92</v>
      </c>
      <c r="B31" s="4" t="s">
        <v>93</v>
      </c>
      <c r="C31" s="4">
        <v>31</v>
      </c>
      <c r="D31" s="4" t="s">
        <v>27</v>
      </c>
      <c r="E31" s="4" t="s">
        <v>31</v>
      </c>
      <c r="F31" s="3">
        <v>45667</v>
      </c>
      <c r="G31" s="3">
        <v>45745</v>
      </c>
      <c r="H31" s="4">
        <v>2500</v>
      </c>
      <c r="I31" s="4">
        <v>23</v>
      </c>
      <c r="J31" s="4" t="s">
        <v>42</v>
      </c>
      <c r="K31" s="7" t="s">
        <v>94</v>
      </c>
      <c r="L31" s="30">
        <f>Table156[[#This Row],[End_Date]]-Table156[[#This Row],[Start_Date]]</f>
        <v>78</v>
      </c>
      <c r="M31" s="22">
        <f>Table156[[#This Row],[Total Days]]/30</f>
        <v>2.6</v>
      </c>
      <c r="N31" s="41">
        <f>Table156[[#This Row],[Monthly_Fee]]*Table156[[#This Row],[Membership_Duration_Months]]</f>
        <v>6500</v>
      </c>
    </row>
    <row r="32" spans="1:14" x14ac:dyDescent="0.35">
      <c r="A32" s="26" t="s">
        <v>95</v>
      </c>
      <c r="B32" s="26" t="s">
        <v>96</v>
      </c>
      <c r="C32" s="26">
        <v>52</v>
      </c>
      <c r="D32" s="26" t="s">
        <v>27</v>
      </c>
      <c r="E32" s="26" t="s">
        <v>13</v>
      </c>
      <c r="F32" s="27">
        <v>45088</v>
      </c>
      <c r="G32" s="27">
        <v>45656</v>
      </c>
      <c r="H32" s="26">
        <v>800</v>
      </c>
      <c r="I32" s="26">
        <v>9</v>
      </c>
      <c r="J32" s="26" t="s">
        <v>67</v>
      </c>
      <c r="K32" s="28" t="s">
        <v>97</v>
      </c>
      <c r="L32" s="30">
        <f>Table156[[#This Row],[End_Date]]-Table156[[#This Row],[Start_Date]]</f>
        <v>568</v>
      </c>
      <c r="M32" s="22">
        <f>Table156[[#This Row],[Total Days]]/30</f>
        <v>18.933333333333334</v>
      </c>
      <c r="N32" s="40">
        <f>Table156[[#This Row],[Monthly_Fee]]*Table156[[#This Row],[Membership_Duration_Months]]</f>
        <v>15146.666666666666</v>
      </c>
    </row>
    <row r="33" spans="1:14" x14ac:dyDescent="0.35">
      <c r="A33" s="4" t="s">
        <v>98</v>
      </c>
      <c r="B33" s="4" t="s">
        <v>99</v>
      </c>
      <c r="C33" s="4">
        <v>20</v>
      </c>
      <c r="D33" s="4" t="s">
        <v>12</v>
      </c>
      <c r="E33" s="4" t="s">
        <v>22</v>
      </c>
      <c r="F33" s="3">
        <v>45391</v>
      </c>
      <c r="G33" s="3">
        <v>45604</v>
      </c>
      <c r="H33" s="4">
        <v>1200</v>
      </c>
      <c r="I33" s="4">
        <v>2</v>
      </c>
      <c r="J33" s="4" t="s">
        <v>35</v>
      </c>
      <c r="K33" s="7"/>
      <c r="L33" s="30">
        <f>Table156[[#This Row],[End_Date]]-Table156[[#This Row],[Start_Date]]</f>
        <v>213</v>
      </c>
      <c r="M33" s="22">
        <f>Table156[[#This Row],[Total Days]]/30</f>
        <v>7.1</v>
      </c>
      <c r="N33" s="41">
        <f>Table156[[#This Row],[Monthly_Fee]]*Table156[[#This Row],[Membership_Duration_Months]]</f>
        <v>8520</v>
      </c>
    </row>
    <row r="34" spans="1:14" x14ac:dyDescent="0.35">
      <c r="A34" s="26" t="s">
        <v>100</v>
      </c>
      <c r="B34" s="26" t="s">
        <v>101</v>
      </c>
      <c r="C34" s="26">
        <v>22</v>
      </c>
      <c r="D34" s="26" t="s">
        <v>12</v>
      </c>
      <c r="E34" s="26" t="s">
        <v>13</v>
      </c>
      <c r="F34" s="27">
        <v>45699</v>
      </c>
      <c r="G34" s="27">
        <v>45740</v>
      </c>
      <c r="H34" s="26">
        <v>800</v>
      </c>
      <c r="I34" s="26">
        <v>30</v>
      </c>
      <c r="J34" s="26" t="s">
        <v>35</v>
      </c>
      <c r="K34" s="28"/>
      <c r="L34" s="30">
        <f>Table156[[#This Row],[End_Date]]-Table156[[#This Row],[Start_Date]]</f>
        <v>41</v>
      </c>
      <c r="M34" s="22">
        <f>Table156[[#This Row],[Total Days]]/30</f>
        <v>1.3666666666666667</v>
      </c>
      <c r="N34" s="40">
        <f>Table156[[#This Row],[Monthly_Fee]]*Table156[[#This Row],[Membership_Duration_Months]]</f>
        <v>1093.3333333333333</v>
      </c>
    </row>
    <row r="35" spans="1:14" x14ac:dyDescent="0.35">
      <c r="A35" s="4" t="s">
        <v>102</v>
      </c>
      <c r="B35" s="4" t="s">
        <v>103</v>
      </c>
      <c r="C35" s="4">
        <v>23</v>
      </c>
      <c r="D35" s="4" t="s">
        <v>12</v>
      </c>
      <c r="E35" s="4" t="s">
        <v>41</v>
      </c>
      <c r="F35" s="3">
        <v>45588</v>
      </c>
      <c r="G35" s="3">
        <v>45721</v>
      </c>
      <c r="H35" s="4">
        <v>1800</v>
      </c>
      <c r="I35" s="4">
        <v>23</v>
      </c>
      <c r="J35" s="4" t="s">
        <v>18</v>
      </c>
      <c r="K35" s="7" t="s">
        <v>104</v>
      </c>
      <c r="L35" s="30">
        <f>Table156[[#This Row],[End_Date]]-Table156[[#This Row],[Start_Date]]</f>
        <v>133</v>
      </c>
      <c r="M35" s="22">
        <f>Table156[[#This Row],[Total Days]]/30</f>
        <v>4.4333333333333336</v>
      </c>
      <c r="N35" s="41">
        <f>Table156[[#This Row],[Monthly_Fee]]*Table156[[#This Row],[Membership_Duration_Months]]</f>
        <v>7980</v>
      </c>
    </row>
    <row r="36" spans="1:14" x14ac:dyDescent="0.35">
      <c r="A36" s="26" t="s">
        <v>105</v>
      </c>
      <c r="B36" s="26" t="s">
        <v>106</v>
      </c>
      <c r="C36" s="26">
        <v>27</v>
      </c>
      <c r="D36" s="26" t="s">
        <v>27</v>
      </c>
      <c r="E36" s="26" t="s">
        <v>22</v>
      </c>
      <c r="F36" s="27">
        <v>45312</v>
      </c>
      <c r="G36" s="27">
        <v>45652</v>
      </c>
      <c r="H36" s="26">
        <v>1200</v>
      </c>
      <c r="I36" s="26">
        <v>27</v>
      </c>
      <c r="J36" s="26" t="s">
        <v>18</v>
      </c>
      <c r="K36" s="28"/>
      <c r="L36" s="30">
        <f>Table156[[#This Row],[End_Date]]-Table156[[#This Row],[Start_Date]]</f>
        <v>340</v>
      </c>
      <c r="M36" s="22">
        <f>Table156[[#This Row],[Total Days]]/30</f>
        <v>11.333333333333334</v>
      </c>
      <c r="N36" s="42">
        <f>Table156[[#This Row],[Monthly_Fee]]*Table156[[#This Row],[Membership_Duration_Months]]</f>
        <v>13600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 1. Membership DurationinMonths</vt:lpstr>
      <vt:lpstr>2. Referral Impact</vt:lpstr>
      <vt:lpstr>3.Revenue Calculation</vt:lpstr>
      <vt:lpstr>4.IdentifyLowEngagementMembers</vt:lpstr>
      <vt:lpstr>5.SegmentProfitability</vt:lpstr>
      <vt:lpstr>5.SegmentProfitabilityDashboard</vt:lpstr>
      <vt:lpstr>6. Gender &amp; Age Distribution</vt:lpstr>
      <vt:lpstr>4.Identify Low Engagement Membe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saurabh sonawane</cp:lastModifiedBy>
  <dcterms:created xsi:type="dcterms:W3CDTF">2015-06-05T18:17:20Z</dcterms:created>
  <dcterms:modified xsi:type="dcterms:W3CDTF">2025-04-23T04:47:53Z</dcterms:modified>
</cp:coreProperties>
</file>