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activeTab="7"/>
  </bookViews>
  <sheets>
    <sheet name="PnL" sheetId="1" r:id="rId1"/>
    <sheet name="Balance Sheet" sheetId="3" r:id="rId2"/>
    <sheet name="Working" sheetId="5" r:id="rId3"/>
    <sheet name="PnL Forecast" sheetId="4" r:id="rId4"/>
    <sheet name="Debt Forecast" sheetId="6" r:id="rId5"/>
    <sheet name="FA Forecast" sheetId="7" r:id="rId6"/>
    <sheet name="Balance Sheet Forecast" sheetId="2" r:id="rId7"/>
    <sheet name="Valuations" sheetId="8" r:id="rId8"/>
  </sheets>
  <definedNames>
    <definedName name="g">Working!$G$29</definedName>
    <definedName name="kd">Working!$G$22</definedName>
    <definedName name="ked">Working!$G$27</definedName>
    <definedName name="kel">Working!$G$27</definedName>
    <definedName name="keu">Working!$G$27</definedName>
    <definedName name="l">'Balance Sheet Forecast'!#REF!</definedName>
    <definedName name="ljfbu">Working!$G$22</definedName>
    <definedName name="m">'Balance Sheet Forecast'!#REF!</definedName>
    <definedName name="tax">Working!$G$22</definedName>
    <definedName name="tax_rate">Working!$G$22</definedName>
    <definedName name="taxe">Working!$G$25</definedName>
  </definedNames>
  <calcPr calcId="144525"/>
</workbook>
</file>

<file path=xl/calcChain.xml><?xml version="1.0" encoding="utf-8"?>
<calcChain xmlns="http://schemas.openxmlformats.org/spreadsheetml/2006/main">
  <c r="B32" i="8" l="1"/>
  <c r="B23" i="8" l="1"/>
  <c r="B20" i="8"/>
  <c r="L19" i="8"/>
  <c r="C19" i="8"/>
  <c r="D19" i="8"/>
  <c r="E19" i="8"/>
  <c r="F19" i="8"/>
  <c r="G19" i="8"/>
  <c r="H19" i="8"/>
  <c r="I19" i="8"/>
  <c r="J19" i="8"/>
  <c r="K19" i="8"/>
  <c r="L18" i="8"/>
  <c r="M17" i="8"/>
  <c r="M16" i="8"/>
  <c r="C17" i="8"/>
  <c r="D17" i="8"/>
  <c r="E17" i="8"/>
  <c r="F17" i="8"/>
  <c r="G17" i="8"/>
  <c r="H17" i="8"/>
  <c r="I17" i="8"/>
  <c r="J17" i="8"/>
  <c r="K17" i="8"/>
  <c r="L17" i="8"/>
  <c r="B17" i="8"/>
  <c r="C16" i="8"/>
  <c r="D16" i="8"/>
  <c r="E16" i="8"/>
  <c r="F16" i="8"/>
  <c r="G16" i="8"/>
  <c r="H16" i="8"/>
  <c r="I16" i="8"/>
  <c r="J16" i="8"/>
  <c r="K16" i="8"/>
  <c r="L16" i="8"/>
  <c r="B16" i="8"/>
  <c r="C12" i="8"/>
  <c r="D12" i="8"/>
  <c r="E12" i="8"/>
  <c r="F12" i="8"/>
  <c r="G12" i="8"/>
  <c r="H12" i="8"/>
  <c r="I12" i="8"/>
  <c r="J12" i="8"/>
  <c r="K12" i="8"/>
  <c r="L11" i="8"/>
  <c r="L12" i="8" s="1"/>
  <c r="M10" i="8"/>
  <c r="C10" i="8"/>
  <c r="D10" i="8"/>
  <c r="E10" i="8"/>
  <c r="F10" i="8"/>
  <c r="G10" i="8"/>
  <c r="H10" i="8"/>
  <c r="I10" i="8"/>
  <c r="J10" i="8"/>
  <c r="K10" i="8"/>
  <c r="L10" i="8"/>
  <c r="B10" i="8"/>
  <c r="B14" i="8" l="1"/>
  <c r="B22" i="8" s="1"/>
  <c r="B25" i="8" s="1"/>
  <c r="B30" i="8" l="1"/>
  <c r="B34" i="8" s="1"/>
  <c r="B28" i="8"/>
  <c r="D9" i="8" l="1"/>
  <c r="E9" i="8"/>
  <c r="F9" i="8"/>
  <c r="G9" i="8"/>
  <c r="H9" i="8"/>
  <c r="I9" i="8"/>
  <c r="J9" i="8"/>
  <c r="K9" i="8"/>
  <c r="L9" i="8"/>
  <c r="C9" i="8"/>
  <c r="D42" i="2"/>
  <c r="E42" i="2"/>
  <c r="F42" i="2"/>
  <c r="G42" i="2"/>
  <c r="H42" i="2"/>
  <c r="I42" i="2"/>
  <c r="J42" i="2"/>
  <c r="K42" i="2"/>
  <c r="L42" i="2"/>
  <c r="C42" i="2"/>
  <c r="E40" i="2"/>
  <c r="F40" i="2"/>
  <c r="G40" i="2"/>
  <c r="H40" i="2"/>
  <c r="I40" i="2"/>
  <c r="J40" i="2"/>
  <c r="K40" i="2"/>
  <c r="L40" i="2"/>
  <c r="C40" i="2"/>
  <c r="D40" i="2"/>
  <c r="B40" i="2"/>
  <c r="C8" i="8"/>
  <c r="D8" i="8"/>
  <c r="E8" i="8"/>
  <c r="F8" i="8"/>
  <c r="G8" i="8"/>
  <c r="H8" i="8"/>
  <c r="I8" i="8"/>
  <c r="J8" i="8"/>
  <c r="K8" i="8"/>
  <c r="L8" i="8"/>
  <c r="B8" i="8"/>
  <c r="C7" i="8"/>
  <c r="D7" i="8"/>
  <c r="E7" i="8"/>
  <c r="F7" i="8"/>
  <c r="G7" i="8"/>
  <c r="H7" i="8"/>
  <c r="I7" i="8"/>
  <c r="J7" i="8"/>
  <c r="K7" i="8"/>
  <c r="L7" i="8"/>
  <c r="B7" i="8"/>
  <c r="C5" i="8"/>
  <c r="C6" i="8" s="1"/>
  <c r="D5" i="8"/>
  <c r="E5" i="8"/>
  <c r="E6" i="8" s="1"/>
  <c r="F5" i="8"/>
  <c r="G5" i="8"/>
  <c r="G6" i="8" s="1"/>
  <c r="H5" i="8"/>
  <c r="I5" i="8"/>
  <c r="I6" i="8" s="1"/>
  <c r="J5" i="8"/>
  <c r="K5" i="8"/>
  <c r="K6" i="8" s="1"/>
  <c r="L5" i="8"/>
  <c r="B5" i="8"/>
  <c r="B6" i="8" s="1"/>
  <c r="D6" i="8"/>
  <c r="F6" i="8"/>
  <c r="H6" i="8"/>
  <c r="J6" i="8"/>
  <c r="L6" i="8"/>
  <c r="C4" i="8"/>
  <c r="D4" i="8"/>
  <c r="E4" i="8"/>
  <c r="F4" i="8"/>
  <c r="G4" i="8"/>
  <c r="H4" i="8"/>
  <c r="I4" i="8"/>
  <c r="J4" i="8"/>
  <c r="K4" i="8"/>
  <c r="L4" i="8"/>
  <c r="B4" i="8"/>
  <c r="B35" i="2" l="1"/>
  <c r="D28" i="2"/>
  <c r="E28" i="2"/>
  <c r="F28" i="2"/>
  <c r="G28" i="2"/>
  <c r="H28" i="2"/>
  <c r="I28" i="2"/>
  <c r="J28" i="2"/>
  <c r="K28" i="2"/>
  <c r="L28" i="2"/>
  <c r="C28" i="2"/>
  <c r="D27" i="2"/>
  <c r="E27" i="2"/>
  <c r="F27" i="2"/>
  <c r="G27" i="2"/>
  <c r="H27" i="2"/>
  <c r="I27" i="2"/>
  <c r="J27" i="2"/>
  <c r="K27" i="2"/>
  <c r="L27" i="2"/>
  <c r="C27" i="2"/>
  <c r="D20" i="2"/>
  <c r="D24" i="2" s="1"/>
  <c r="E20" i="2"/>
  <c r="E24" i="2" s="1"/>
  <c r="F20" i="2"/>
  <c r="F24" i="2" s="1"/>
  <c r="G20" i="2"/>
  <c r="G24" i="2" s="1"/>
  <c r="H20" i="2"/>
  <c r="H24" i="2" s="1"/>
  <c r="I20" i="2"/>
  <c r="I24" i="2" s="1"/>
  <c r="J20" i="2"/>
  <c r="J24" i="2" s="1"/>
  <c r="K20" i="2"/>
  <c r="K24" i="2" s="1"/>
  <c r="L20" i="2"/>
  <c r="L24" i="2" s="1"/>
  <c r="C20" i="2"/>
  <c r="C24" i="2" s="1"/>
  <c r="D13" i="2"/>
  <c r="E13" i="2"/>
  <c r="F13" i="2"/>
  <c r="G13" i="2"/>
  <c r="H13" i="2"/>
  <c r="I13" i="2"/>
  <c r="J13" i="2"/>
  <c r="K13" i="2"/>
  <c r="L13" i="2"/>
  <c r="C13" i="5"/>
  <c r="D13" i="5"/>
  <c r="E13" i="5"/>
  <c r="F13" i="5" s="1"/>
  <c r="B13" i="5"/>
  <c r="C13" i="2"/>
  <c r="D13" i="4"/>
  <c r="E13" i="4"/>
  <c r="F13" i="4"/>
  <c r="G13" i="4"/>
  <c r="H13" i="4"/>
  <c r="I13" i="4"/>
  <c r="J13" i="4"/>
  <c r="K13" i="4"/>
  <c r="L13" i="4"/>
  <c r="C13" i="4"/>
  <c r="C5" i="5"/>
  <c r="D5" i="5"/>
  <c r="E5" i="5"/>
  <c r="B5" i="5"/>
  <c r="D12" i="4"/>
  <c r="E12" i="4" s="1"/>
  <c r="F12" i="4" s="1"/>
  <c r="G12" i="4" s="1"/>
  <c r="H12" i="4" s="1"/>
  <c r="I12" i="4" s="1"/>
  <c r="J12" i="4" s="1"/>
  <c r="K12" i="4" s="1"/>
  <c r="L12" i="4" s="1"/>
  <c r="C12" i="4"/>
  <c r="D10" i="4"/>
  <c r="D11" i="4" s="1"/>
  <c r="E10" i="4"/>
  <c r="E11" i="4" s="1"/>
  <c r="F10" i="4"/>
  <c r="F11" i="4" s="1"/>
  <c r="G10" i="4"/>
  <c r="G11" i="4" s="1"/>
  <c r="H10" i="4"/>
  <c r="H11" i="4" s="1"/>
  <c r="I10" i="4"/>
  <c r="I11" i="4" s="1"/>
  <c r="J10" i="4"/>
  <c r="J11" i="4" s="1"/>
  <c r="K10" i="4"/>
  <c r="K11" i="4" s="1"/>
  <c r="L10" i="4"/>
  <c r="L11" i="4" s="1"/>
  <c r="C10" i="4"/>
  <c r="C11" i="4" s="1"/>
  <c r="D8" i="4"/>
  <c r="E8" i="4"/>
  <c r="F8" i="4"/>
  <c r="G8" i="4"/>
  <c r="H8" i="4"/>
  <c r="I8" i="4"/>
  <c r="J8" i="4"/>
  <c r="K8" i="4"/>
  <c r="L8" i="4"/>
  <c r="C8" i="4"/>
  <c r="D6" i="4"/>
  <c r="E6" i="4" s="1"/>
  <c r="F6" i="4" s="1"/>
  <c r="G6" i="4" s="1"/>
  <c r="H6" i="4" s="1"/>
  <c r="I6" i="4" s="1"/>
  <c r="J6" i="4" s="1"/>
  <c r="K6" i="4" s="1"/>
  <c r="L6" i="4" s="1"/>
  <c r="C6" i="4"/>
  <c r="B23" i="4"/>
  <c r="B10" i="4"/>
  <c r="B13" i="4"/>
  <c r="B11" i="4" s="1"/>
  <c r="D8" i="7"/>
  <c r="E8" i="7"/>
  <c r="F8" i="7"/>
  <c r="G8" i="7"/>
  <c r="H8" i="7"/>
  <c r="I8" i="7"/>
  <c r="J8" i="7"/>
  <c r="K8" i="7"/>
  <c r="L8" i="7"/>
  <c r="C8" i="7"/>
  <c r="D6" i="7"/>
  <c r="E4" i="7" s="1"/>
  <c r="E6" i="7" s="1"/>
  <c r="F4" i="7" s="1"/>
  <c r="F6" i="7" s="1"/>
  <c r="G4" i="7" s="1"/>
  <c r="G6" i="7" s="1"/>
  <c r="H4" i="7" s="1"/>
  <c r="H6" i="7" s="1"/>
  <c r="I4" i="7" s="1"/>
  <c r="I6" i="7" s="1"/>
  <c r="J4" i="7" s="1"/>
  <c r="J6" i="7" s="1"/>
  <c r="K4" i="7" s="1"/>
  <c r="K6" i="7" s="1"/>
  <c r="L4" i="7" s="1"/>
  <c r="L6" i="7" s="1"/>
  <c r="D4" i="7"/>
  <c r="C6" i="7"/>
  <c r="B6" i="7"/>
  <c r="C4" i="7" s="1"/>
  <c r="B6" i="6"/>
  <c r="C4" i="6" s="1"/>
  <c r="B9" i="2"/>
  <c r="C20" i="5"/>
  <c r="D20" i="5"/>
  <c r="E20" i="5"/>
  <c r="B20" i="5"/>
  <c r="C19" i="5"/>
  <c r="D19" i="5"/>
  <c r="E19" i="5"/>
  <c r="B19" i="5"/>
  <c r="C17" i="5"/>
  <c r="D17" i="5"/>
  <c r="E17" i="5"/>
  <c r="B17" i="5"/>
  <c r="F15" i="5"/>
  <c r="E15" i="5"/>
  <c r="C15" i="5"/>
  <c r="D15" i="5"/>
  <c r="B15" i="5"/>
  <c r="F11" i="5"/>
  <c r="C11" i="5"/>
  <c r="D11" i="5"/>
  <c r="E11" i="5"/>
  <c r="B11" i="5"/>
  <c r="C9" i="5"/>
  <c r="D9" i="5"/>
  <c r="E9" i="5"/>
  <c r="B9" i="5"/>
  <c r="F7" i="5"/>
  <c r="C7" i="5"/>
  <c r="D7" i="5"/>
  <c r="E7" i="5"/>
  <c r="B7" i="5"/>
  <c r="F4" i="5"/>
  <c r="E4" i="5"/>
  <c r="C8" i="6" l="1"/>
  <c r="C14" i="4" s="1"/>
  <c r="C15" i="4" s="1"/>
  <c r="C6" i="6"/>
  <c r="F5" i="5"/>
  <c r="F20" i="5"/>
  <c r="F19" i="5"/>
  <c r="F17" i="5"/>
  <c r="D4" i="5"/>
  <c r="C4" i="5"/>
  <c r="B4" i="5"/>
  <c r="F9" i="5"/>
  <c r="C16" i="4" l="1"/>
  <c r="C17" i="4" s="1"/>
  <c r="D4" i="6"/>
  <c r="D6" i="6" s="1"/>
  <c r="C10" i="2"/>
  <c r="C20" i="4" l="1"/>
  <c r="C23" i="4" s="1"/>
  <c r="C8" i="2" s="1"/>
  <c r="E4" i="6"/>
  <c r="E6" i="6" s="1"/>
  <c r="D10" i="2"/>
  <c r="C9" i="2" l="1"/>
  <c r="F4" i="6"/>
  <c r="F6" i="6" s="1"/>
  <c r="E10" i="2"/>
  <c r="G4" i="6" l="1"/>
  <c r="G6" i="6" s="1"/>
  <c r="F10" i="2"/>
  <c r="H4" i="6" l="1"/>
  <c r="H6" i="6" s="1"/>
  <c r="G10" i="2"/>
  <c r="I4" i="6" l="1"/>
  <c r="I6" i="6" s="1"/>
  <c r="H10" i="2"/>
  <c r="J4" i="6" l="1"/>
  <c r="J6" i="6" s="1"/>
  <c r="I10" i="2"/>
  <c r="K4" i="6" l="1"/>
  <c r="K6" i="6" s="1"/>
  <c r="J10" i="2"/>
  <c r="L4" i="6" l="1"/>
  <c r="L6" i="6" s="1"/>
  <c r="L10" i="2" s="1"/>
  <c r="K10" i="2"/>
  <c r="L8" i="6" l="1"/>
  <c r="L14" i="4" s="1"/>
  <c r="L15" i="4" s="1"/>
  <c r="E8" i="6"/>
  <c r="E14" i="4" s="1"/>
  <c r="E15" i="4" s="1"/>
  <c r="K8" i="6"/>
  <c r="K14" i="4" s="1"/>
  <c r="K15" i="4" s="1"/>
  <c r="H8" i="6"/>
  <c r="H14" i="4" s="1"/>
  <c r="H15" i="4" s="1"/>
  <c r="I8" i="6"/>
  <c r="I14" i="4" s="1"/>
  <c r="I15" i="4" s="1"/>
  <c r="J8" i="6"/>
  <c r="J14" i="4" s="1"/>
  <c r="J15" i="4" s="1"/>
  <c r="F8" i="6"/>
  <c r="F14" i="4" s="1"/>
  <c r="F15" i="4" s="1"/>
  <c r="D8" i="6"/>
  <c r="D14" i="4" s="1"/>
  <c r="D15" i="4" s="1"/>
  <c r="G8" i="6"/>
  <c r="G14" i="4" s="1"/>
  <c r="G15" i="4" s="1"/>
  <c r="F16" i="4" l="1"/>
  <c r="F17" i="4" s="1"/>
  <c r="K16" i="4"/>
  <c r="K17" i="4" s="1"/>
  <c r="J16" i="4"/>
  <c r="J17" i="4" s="1"/>
  <c r="E16" i="4"/>
  <c r="E17" i="4" s="1"/>
  <c r="G16" i="4"/>
  <c r="G17" i="4" s="1"/>
  <c r="I16" i="4"/>
  <c r="I17" i="4" s="1"/>
  <c r="L16" i="4"/>
  <c r="L17" i="4" s="1"/>
  <c r="D16" i="4"/>
  <c r="D17" i="4" s="1"/>
  <c r="H16" i="4"/>
  <c r="H17" i="4" s="1"/>
  <c r="H20" i="4" s="1"/>
  <c r="H23" i="4" s="1"/>
  <c r="F20" i="4" l="1"/>
  <c r="F23" i="4" s="1"/>
  <c r="J20" i="4"/>
  <c r="J23" i="4" s="1"/>
  <c r="E20" i="4"/>
  <c r="E23" i="4" s="1"/>
  <c r="I20" i="4"/>
  <c r="I23" i="4" s="1"/>
  <c r="L20" i="4"/>
  <c r="L23" i="4" s="1"/>
  <c r="G20" i="4"/>
  <c r="G23" i="4" s="1"/>
  <c r="D20" i="4"/>
  <c r="D23" i="4" s="1"/>
  <c r="D8" i="2" s="1"/>
  <c r="K20" i="4"/>
  <c r="K23" i="4" s="1"/>
  <c r="E8" i="2" l="1"/>
  <c r="D9" i="2"/>
  <c r="F8" i="2" l="1"/>
  <c r="E9" i="2"/>
  <c r="G8" i="2" l="1"/>
  <c r="F9" i="2"/>
  <c r="H8" i="2" l="1"/>
  <c r="G9" i="2"/>
  <c r="I8" i="2" l="1"/>
  <c r="H9" i="2"/>
  <c r="J8" i="2" l="1"/>
  <c r="I9" i="2"/>
  <c r="K8" i="2" l="1"/>
  <c r="J9" i="2"/>
  <c r="L8" i="2" l="1"/>
  <c r="L9" i="2" s="1"/>
  <c r="K9" i="2"/>
  <c r="H16" i="2"/>
  <c r="H17" i="2" s="1"/>
  <c r="E16" i="2"/>
  <c r="E17" i="2" s="1"/>
  <c r="J16" i="2"/>
  <c r="J17" i="2" s="1"/>
  <c r="F16" i="2"/>
  <c r="F17" i="2" s="1"/>
  <c r="C16" i="2"/>
  <c r="C17" i="2" s="1"/>
  <c r="G16" i="2"/>
  <c r="G17" i="2" s="1"/>
  <c r="I16" i="2"/>
  <c r="I17" i="2" s="1"/>
  <c r="K16" i="2"/>
  <c r="K17" i="2" s="1"/>
  <c r="D16" i="2"/>
  <c r="D17" i="2" s="1"/>
  <c r="L16" i="2"/>
  <c r="L17" i="2" l="1"/>
  <c r="J32" i="2" l="1"/>
  <c r="J33" i="2"/>
  <c r="J35" i="2"/>
  <c r="J29" i="2"/>
  <c r="D29" i="2"/>
  <c r="D32" i="2"/>
  <c r="D33" i="2"/>
  <c r="D35" i="2"/>
  <c r="C33" i="2"/>
  <c r="C35" i="2"/>
  <c r="C29" i="2"/>
  <c r="C32" i="2"/>
  <c r="H29" i="2"/>
  <c r="H32" i="2"/>
  <c r="H33" i="2"/>
  <c r="H35" i="2"/>
  <c r="G32" i="2"/>
  <c r="G33" i="2"/>
  <c r="G35" i="2"/>
  <c r="G29" i="2"/>
  <c r="I32" i="2"/>
  <c r="I33" i="2"/>
  <c r="I35" i="2"/>
  <c r="I29" i="2"/>
  <c r="K32" i="2"/>
  <c r="K33" i="2"/>
  <c r="K35" i="2"/>
  <c r="K29" i="2"/>
  <c r="L29" i="2"/>
  <c r="L32" i="2"/>
  <c r="L33" i="2"/>
  <c r="L35" i="2"/>
  <c r="F35" i="2"/>
  <c r="F29" i="2"/>
  <c r="F32" i="2"/>
  <c r="F33" i="2"/>
  <c r="E33" i="2"/>
  <c r="E35" i="2"/>
  <c r="E29" i="2"/>
  <c r="E32" i="2"/>
</calcChain>
</file>

<file path=xl/sharedStrings.xml><?xml version="1.0" encoding="utf-8"?>
<sst xmlns="http://schemas.openxmlformats.org/spreadsheetml/2006/main" count="269" uniqueCount="175">
  <si>
    <t>Profit &amp; Loss account of Varroc Engineering</t>
  </si>
  <si>
    <t>------------------- in Rs. Cr. -------------------</t>
  </si>
  <si>
    <t xml:space="preserve">12 mths </t>
  </si>
  <si>
    <t>12 mths</t>
  </si>
  <si>
    <t xml:space="preserve">INCOME </t>
  </si>
  <si>
    <t xml:space="preserve">Revenue From Operations [Gross] </t>
  </si>
  <si>
    <t xml:space="preserve">Less: Excise/Sevice Tax/Other Levies </t>
  </si>
  <si>
    <t xml:space="preserve">Revenue From Operations [Net] </t>
  </si>
  <si>
    <t xml:space="preserve">Other Operating Revenues </t>
  </si>
  <si>
    <t xml:space="preserve">Total Operating Revenues </t>
  </si>
  <si>
    <t xml:space="preserve">Other Income </t>
  </si>
  <si>
    <t xml:space="preserve">Total Revenue </t>
  </si>
  <si>
    <t xml:space="preserve">EXPENSES </t>
  </si>
  <si>
    <t xml:space="preserve">Cost Of Materials Consumed </t>
  </si>
  <si>
    <t xml:space="preserve">Purchase Of Stock-In Trade </t>
  </si>
  <si>
    <t xml:space="preserve">Changes In Inventories Of FG,WIP And Stock-In Trade </t>
  </si>
  <si>
    <t xml:space="preserve">Employee Benefit Expenses </t>
  </si>
  <si>
    <t xml:space="preserve">Finance Costs </t>
  </si>
  <si>
    <t xml:space="preserve">Depreciation And Amortisation Expenses </t>
  </si>
  <si>
    <t xml:space="preserve">Other Expenses </t>
  </si>
  <si>
    <t xml:space="preserve">Total Expenses </t>
  </si>
  <si>
    <t xml:space="preserve">Profit/Loss Before Exceptional, ExtraOrdinary Items And Tax </t>
  </si>
  <si>
    <t xml:space="preserve">Exceptional Items </t>
  </si>
  <si>
    <t xml:space="preserve">Profit/Loss Before Tax </t>
  </si>
  <si>
    <t xml:space="preserve">Tax Expenses-Continued Operations </t>
  </si>
  <si>
    <t xml:space="preserve">Current Tax </t>
  </si>
  <si>
    <t xml:space="preserve">Less: MAT Credit Entitlement </t>
  </si>
  <si>
    <t xml:space="preserve">Deferred Tax </t>
  </si>
  <si>
    <t xml:space="preserve">Total Tax Expenses </t>
  </si>
  <si>
    <t xml:space="preserve">Profit/Loss After Tax And Before ExtraOrdinary Items </t>
  </si>
  <si>
    <t xml:space="preserve">Profit/Loss From Continuing Operations </t>
  </si>
  <si>
    <t xml:space="preserve">Profit/Loss For The Period </t>
  </si>
  <si>
    <t xml:space="preserve">OTHER ADDITIONAL INFORMATION </t>
  </si>
  <si>
    <t xml:space="preserve">EARNINGS PER SHARE </t>
  </si>
  <si>
    <t xml:space="preserve">Basic EPS (Rs.) </t>
  </si>
  <si>
    <t xml:space="preserve">Diluted EPS (Rs.) </t>
  </si>
  <si>
    <t xml:space="preserve">VALUE OF IMPORTED AND INDIGENIOUS RAW MATERIALS </t>
  </si>
  <si>
    <t xml:space="preserve">STORES, SPARES AND LOOSE TOOLS </t>
  </si>
  <si>
    <t xml:space="preserve">Imported Stores And Spares </t>
  </si>
  <si>
    <t xml:space="preserve">Indigenous Stores And Spares </t>
  </si>
  <si>
    <t xml:space="preserve">DIVIDEND AND DIVIDEND PERCENTAGE </t>
  </si>
  <si>
    <t xml:space="preserve">Equity Share Dividend </t>
  </si>
  <si>
    <t xml:space="preserve">Equity Dividend Rate (%) </t>
  </si>
  <si>
    <t>Source : Dion Global Solutions Limited</t>
  </si>
  <si>
    <t>Balance Sheet of Varroc Engineering</t>
  </si>
  <si>
    <t xml:space="preserve">EQUITIES AND LIABILITIES </t>
  </si>
  <si>
    <t xml:space="preserve">SHAREHOLDER'S FUNDS </t>
  </si>
  <si>
    <t xml:space="preserve">Equity Share Capital </t>
  </si>
  <si>
    <t xml:space="preserve">Preference Share Capital </t>
  </si>
  <si>
    <t xml:space="preserve">Total Share Capital </t>
  </si>
  <si>
    <t xml:space="preserve">Reserves and Surplus </t>
  </si>
  <si>
    <t xml:space="preserve">Total Reserves and Surplus </t>
  </si>
  <si>
    <t xml:space="preserve">Total Shareholders Funds </t>
  </si>
  <si>
    <t xml:space="preserve">NON-CURRENT LIABILITIES </t>
  </si>
  <si>
    <t xml:space="preserve">Long Term Borrowings </t>
  </si>
  <si>
    <t xml:space="preserve">Deferred Tax Liabilities [Net] </t>
  </si>
  <si>
    <t xml:space="preserve">Other Long Term Liabilities </t>
  </si>
  <si>
    <t xml:space="preserve">Long Term Provisions </t>
  </si>
  <si>
    <t xml:space="preserve">Total Non-Current Liabilities </t>
  </si>
  <si>
    <t xml:space="preserve">CURRENT LIABILITIES </t>
  </si>
  <si>
    <t xml:space="preserve">Short Term Borrowings </t>
  </si>
  <si>
    <t xml:space="preserve">Trade Payables </t>
  </si>
  <si>
    <t xml:space="preserve">Other Current Liabilities </t>
  </si>
  <si>
    <t xml:space="preserve">Short Term Provisions </t>
  </si>
  <si>
    <t xml:space="preserve">Total Current Liabilities </t>
  </si>
  <si>
    <t xml:space="preserve">Total Capital And Liabilities </t>
  </si>
  <si>
    <t xml:space="preserve">ASSETS </t>
  </si>
  <si>
    <t xml:space="preserve">NON-CURRENT ASSETS </t>
  </si>
  <si>
    <t xml:space="preserve">Tangible Assets </t>
  </si>
  <si>
    <t xml:space="preserve">Intangible Assets </t>
  </si>
  <si>
    <t xml:space="preserve">Capital Work-In-Progress </t>
  </si>
  <si>
    <t xml:space="preserve">Intangible Assets Under Development </t>
  </si>
  <si>
    <t xml:space="preserve">Other Assets </t>
  </si>
  <si>
    <t xml:space="preserve">Fixed Assets </t>
  </si>
  <si>
    <t xml:space="preserve">Non-Current Investments </t>
  </si>
  <si>
    <t xml:space="preserve">Long Term Loans And Advances </t>
  </si>
  <si>
    <t xml:space="preserve">Other Non-Current Assets </t>
  </si>
  <si>
    <t xml:space="preserve">Total Non-Current Assets </t>
  </si>
  <si>
    <t xml:space="preserve">CURRENT ASSETS </t>
  </si>
  <si>
    <t xml:space="preserve">Current Investments </t>
  </si>
  <si>
    <t xml:space="preserve">Inventories </t>
  </si>
  <si>
    <t xml:space="preserve">Trade Receivables </t>
  </si>
  <si>
    <t xml:space="preserve">Cash And Cash Equivalents </t>
  </si>
  <si>
    <t xml:space="preserve">Short Term Loans And Advances </t>
  </si>
  <si>
    <t xml:space="preserve">OtherCurrentAssets </t>
  </si>
  <si>
    <t xml:space="preserve">Total Current Assets </t>
  </si>
  <si>
    <t xml:space="preserve">Total Assets </t>
  </si>
  <si>
    <t xml:space="preserve">CONTINGENT LIABILITIES, COMMITMENTS </t>
  </si>
  <si>
    <t xml:space="preserve">Contingent Liabilities </t>
  </si>
  <si>
    <t xml:space="preserve">CIF VALUE OF IMPORTS </t>
  </si>
  <si>
    <t xml:space="preserve">Raw Materials </t>
  </si>
  <si>
    <t xml:space="preserve">Stores, Spares And Loose Tools </t>
  </si>
  <si>
    <t xml:space="preserve">Capital Goods </t>
  </si>
  <si>
    <t xml:space="preserve">EXPENDITURE IN FOREIGN EXCHANGE </t>
  </si>
  <si>
    <t xml:space="preserve">Expenditure In Foreign Currency </t>
  </si>
  <si>
    <t xml:space="preserve">REMITTANCES IN FOREIGN CURRENCIES FOR DIVIDENDS </t>
  </si>
  <si>
    <t xml:space="preserve">Dividend Remittance In Foreign Currency </t>
  </si>
  <si>
    <t xml:space="preserve">- </t>
  </si>
  <si>
    <t>-</t>
  </si>
  <si>
    <t xml:space="preserve">EARNINGS IN FOREIGN EXCHANGE </t>
  </si>
  <si>
    <t xml:space="preserve">FOB Value Of Goods </t>
  </si>
  <si>
    <t xml:space="preserve">Other Earnings </t>
  </si>
  <si>
    <t xml:space="preserve">BONUS DETAILS </t>
  </si>
  <si>
    <t xml:space="preserve">Bonus Equity Share Capital </t>
  </si>
  <si>
    <t xml:space="preserve">NON-CURRENT INVESTMENTS </t>
  </si>
  <si>
    <t xml:space="preserve">Non-Current Investments Quoted Market Value </t>
  </si>
  <si>
    <t xml:space="preserve">Non-Current Investments Unquoted Book Value </t>
  </si>
  <si>
    <t xml:space="preserve">CURRENT INVESTMENTS </t>
  </si>
  <si>
    <t xml:space="preserve">Current Investments Quoted Market Value </t>
  </si>
  <si>
    <t xml:space="preserve">Current Investments Unquoted Book Value </t>
  </si>
  <si>
    <t>Average</t>
  </si>
  <si>
    <t>Assumed</t>
  </si>
  <si>
    <t>Revenue Growth Rate</t>
  </si>
  <si>
    <t>Expenses/Revenue</t>
  </si>
  <si>
    <t>Payout Ratio</t>
  </si>
  <si>
    <t>Change in Debt</t>
  </si>
  <si>
    <t>Interest Rate</t>
  </si>
  <si>
    <t>Payables/COGS</t>
  </si>
  <si>
    <t>Addition to FA</t>
  </si>
  <si>
    <t>Depreciation Rate</t>
  </si>
  <si>
    <t>Inventory/Sales</t>
  </si>
  <si>
    <t>Receivables/Sales</t>
  </si>
  <si>
    <t>Previous Years »</t>
  </si>
  <si>
    <t xml:space="preserve">Mar '18 </t>
  </si>
  <si>
    <t>Opening Debt</t>
  </si>
  <si>
    <t>Addition/Repayment</t>
  </si>
  <si>
    <t>Closting Debt</t>
  </si>
  <si>
    <t>Interest</t>
  </si>
  <si>
    <t>Tax rate</t>
  </si>
  <si>
    <t>Cost of Unlevered equity</t>
  </si>
  <si>
    <t>Terminal Growth rate</t>
  </si>
  <si>
    <t>Interest rate</t>
  </si>
  <si>
    <t>Addition/Sale</t>
  </si>
  <si>
    <t>Closing FA</t>
  </si>
  <si>
    <t>Depreciation</t>
  </si>
  <si>
    <t>Opening FA</t>
  </si>
  <si>
    <t>Mar '19</t>
  </si>
  <si>
    <t>Mar '20</t>
  </si>
  <si>
    <t>Mar '21</t>
  </si>
  <si>
    <t>Mar '22</t>
  </si>
  <si>
    <t>Mar '23</t>
  </si>
  <si>
    <t>Mar '24</t>
  </si>
  <si>
    <t>Mar '25</t>
  </si>
  <si>
    <t>Mar '26</t>
  </si>
  <si>
    <t>Mar '27</t>
  </si>
  <si>
    <t>Mar '28</t>
  </si>
  <si>
    <t>PAT</t>
  </si>
  <si>
    <t>PBT</t>
  </si>
  <si>
    <t>EBITDA</t>
  </si>
  <si>
    <t>EBIT</t>
  </si>
  <si>
    <t>Retained Earnings</t>
  </si>
  <si>
    <t xml:space="preserve"> </t>
  </si>
  <si>
    <t>TL-TA</t>
  </si>
  <si>
    <t>Tax</t>
  </si>
  <si>
    <t>Depreciations</t>
  </si>
  <si>
    <t>Inc in CAPEX</t>
  </si>
  <si>
    <t>Inc in WC</t>
  </si>
  <si>
    <t>FCF_U</t>
  </si>
  <si>
    <t>PV(FCF_U)</t>
  </si>
  <si>
    <t>V_U</t>
  </si>
  <si>
    <t>Interest Tax Shield</t>
  </si>
  <si>
    <t>PV(ITS)</t>
  </si>
  <si>
    <t>SUM</t>
  </si>
  <si>
    <t>V_L</t>
  </si>
  <si>
    <t>Debt</t>
  </si>
  <si>
    <t>Equity_levered</t>
  </si>
  <si>
    <t>No. of Shares</t>
  </si>
  <si>
    <t>Share price</t>
  </si>
  <si>
    <t>kel(calculated)</t>
  </si>
  <si>
    <t>kel_actual(from CAPM)</t>
  </si>
  <si>
    <t>Diff</t>
  </si>
  <si>
    <t>Profits(EBI)</t>
  </si>
  <si>
    <t>Working Capital</t>
  </si>
  <si>
    <t>Increase in Working Capital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</si>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</sst>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" fontId="0" fillId="0" borderId="0" xfId="0" applyNumberFormat="1"/>
    <xf numFmtId="17" fontId="0" fillId="0" borderId="0" xfId="0" applyNumberFormat="1"/>
    <xf numFmtId="0" fontId="1" fillId="0" borderId="0" xfId="0" applyFont="1"/>
    <xf numFmtId="4" fontId="1" fillId="0" borderId="0" xfId="0" applyNumberFormat="1" applyFont="1"/>
    <xf numFmtId="17" fontId="1" fillId="0" borderId="0" xfId="0" applyNumberFormat="1" applyFont="1"/>
    <xf numFmtId="164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65" fontId="0" fillId="0" borderId="0" xfId="0" applyNumberFormat="1"/>
    <xf numFmtId="165" fontId="1" fillId="0" borderId="0" xfId="0" applyNumberFormat="1" applyFont="1"/>
    <xf numFmtId="2" fontId="0" fillId="0" borderId="0" xfId="0" applyNumberFormat="1"/>
    <xf numFmtId="0" fontId="0" fillId="2" borderId="0" xfId="0" applyFill="1"/>
    <xf numFmtId="0" fontId="0" fillId="0" borderId="0" xfId="0" applyFont="1"/>
    <xf numFmtId="4" fontId="0" fillId="0" borderId="0" xfId="0" applyNumberFormat="1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0" fillId="0" borderId="0" xfId="0" applyFont="1" applyFill="1"/>
    <xf numFmtId="4" fontId="0" fillId="0" borderId="0" xfId="0" applyNumberFormat="1" applyFont="1" applyFill="1"/>
    <xf numFmtId="0" fontId="0" fillId="2" borderId="0" xfId="0" applyFont="1" applyFill="1"/>
    <xf numFmtId="165" fontId="0" fillId="2" borderId="0" xfId="0" applyNumberFormat="1" applyFont="1" applyFill="1"/>
    <xf numFmtId="165" fontId="0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2" workbookViewId="0">
      <selection activeCell="C28" sqref="C28"/>
    </sheetView>
  </sheetViews>
  <sheetFormatPr defaultRowHeight="15" x14ac:dyDescent="0.25"/>
  <cols>
    <col min="1" max="1" width="33.85546875" customWidth="1"/>
    <col min="2" max="2" width="11.42578125" customWidth="1"/>
    <col min="3" max="3" width="12.85546875" customWidth="1"/>
    <col min="4" max="4" width="8.28515625" bestFit="1" customWidth="1"/>
    <col min="5" max="5" width="15.5703125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3"/>
      <c r="B2" s="3" t="s">
        <v>1</v>
      </c>
      <c r="C2" s="3"/>
      <c r="D2" s="3"/>
      <c r="E2" s="3"/>
      <c r="F2" s="3"/>
      <c r="G2" s="3"/>
    </row>
    <row r="3" spans="1:7" x14ac:dyDescent="0.25">
      <c r="A3" s="3"/>
      <c r="B3" s="5">
        <v>43160</v>
      </c>
      <c r="C3" s="5">
        <v>42795</v>
      </c>
      <c r="D3" s="5">
        <v>42430</v>
      </c>
      <c r="E3" s="5">
        <v>42064</v>
      </c>
      <c r="F3" s="5">
        <v>41699</v>
      </c>
      <c r="G3" s="3"/>
    </row>
    <row r="4" spans="1:7" s="3" customFormat="1" x14ac:dyDescent="0.25">
      <c r="B4" s="4" t="s">
        <v>2</v>
      </c>
      <c r="C4" s="4" t="s">
        <v>2</v>
      </c>
      <c r="D4" s="4" t="s">
        <v>2</v>
      </c>
      <c r="E4" s="4" t="s">
        <v>2</v>
      </c>
      <c r="F4" s="3" t="s">
        <v>3</v>
      </c>
    </row>
    <row r="5" spans="1:7" x14ac:dyDescent="0.25">
      <c r="A5" t="s">
        <v>4</v>
      </c>
    </row>
    <row r="6" spans="1:7" x14ac:dyDescent="0.25">
      <c r="A6" s="3" t="s">
        <v>5</v>
      </c>
      <c r="B6" s="4">
        <v>2060.42</v>
      </c>
      <c r="C6" s="4">
        <v>1777.37</v>
      </c>
      <c r="D6" s="4">
        <v>1659.11</v>
      </c>
      <c r="E6" s="4">
        <v>1566.94</v>
      </c>
      <c r="F6" s="4">
        <v>1473.38</v>
      </c>
    </row>
    <row r="7" spans="1:7" x14ac:dyDescent="0.25">
      <c r="A7" s="3" t="s">
        <v>6</v>
      </c>
      <c r="B7">
        <v>48.58</v>
      </c>
      <c r="C7">
        <v>136.04</v>
      </c>
      <c r="D7">
        <v>129.91999999999999</v>
      </c>
      <c r="E7">
        <v>110.7</v>
      </c>
      <c r="F7">
        <v>107.2</v>
      </c>
    </row>
    <row r="8" spans="1:7" x14ac:dyDescent="0.25">
      <c r="A8" t="s">
        <v>7</v>
      </c>
      <c r="B8" s="1">
        <v>2011.83</v>
      </c>
      <c r="C8" s="1">
        <v>1641.32</v>
      </c>
      <c r="D8" s="1">
        <v>1529.19</v>
      </c>
      <c r="E8" s="1">
        <v>1456.24</v>
      </c>
      <c r="F8" s="1">
        <v>1366.18</v>
      </c>
    </row>
    <row r="9" spans="1:7" x14ac:dyDescent="0.25">
      <c r="A9" t="s">
        <v>8</v>
      </c>
      <c r="B9">
        <v>35.06</v>
      </c>
      <c r="C9">
        <v>34.69</v>
      </c>
      <c r="D9">
        <v>29.73</v>
      </c>
      <c r="E9">
        <v>22.2</v>
      </c>
      <c r="F9">
        <v>17.760000000000002</v>
      </c>
    </row>
    <row r="10" spans="1:7" x14ac:dyDescent="0.25">
      <c r="A10" t="s">
        <v>9</v>
      </c>
      <c r="B10" s="1">
        <v>2046.89</v>
      </c>
      <c r="C10" s="1">
        <v>1676.01</v>
      </c>
      <c r="D10" s="1">
        <v>1558.92</v>
      </c>
      <c r="E10" s="1">
        <v>1478.43</v>
      </c>
      <c r="F10" s="1">
        <v>1383.94</v>
      </c>
    </row>
    <row r="11" spans="1:7" x14ac:dyDescent="0.25">
      <c r="A11" t="s">
        <v>10</v>
      </c>
      <c r="B11">
        <v>28.77</v>
      </c>
      <c r="C11">
        <v>32.450000000000003</v>
      </c>
      <c r="D11">
        <v>16.89</v>
      </c>
      <c r="E11">
        <v>20.170000000000002</v>
      </c>
      <c r="F11">
        <v>11.84</v>
      </c>
    </row>
    <row r="12" spans="1:7" x14ac:dyDescent="0.25">
      <c r="A12" t="s">
        <v>11</v>
      </c>
      <c r="B12" s="1">
        <v>2075.66</v>
      </c>
      <c r="C12" s="1">
        <v>1708.46</v>
      </c>
      <c r="D12" s="1">
        <v>1575.81</v>
      </c>
      <c r="E12" s="1">
        <v>1498.61</v>
      </c>
      <c r="F12" s="1">
        <v>1395.78</v>
      </c>
    </row>
    <row r="13" spans="1:7" x14ac:dyDescent="0.25">
      <c r="A13" t="s">
        <v>12</v>
      </c>
    </row>
    <row r="14" spans="1:7" x14ac:dyDescent="0.25">
      <c r="A14" t="s">
        <v>13</v>
      </c>
      <c r="B14" s="1">
        <v>1253.58</v>
      </c>
      <c r="C14" s="1">
        <v>1012.66</v>
      </c>
      <c r="D14">
        <v>956.66</v>
      </c>
      <c r="E14">
        <v>945.82</v>
      </c>
      <c r="F14">
        <v>912.69</v>
      </c>
    </row>
    <row r="15" spans="1:7" x14ac:dyDescent="0.25">
      <c r="A15" t="s">
        <v>14</v>
      </c>
      <c r="B15">
        <v>50.96</v>
      </c>
      <c r="C15">
        <v>65.760000000000005</v>
      </c>
      <c r="D15">
        <v>64.900000000000006</v>
      </c>
      <c r="E15">
        <v>36.200000000000003</v>
      </c>
      <c r="F15">
        <v>27.09</v>
      </c>
    </row>
    <row r="16" spans="1:7" x14ac:dyDescent="0.25">
      <c r="A16" t="s">
        <v>15</v>
      </c>
      <c r="B16">
        <v>-1.05</v>
      </c>
      <c r="C16">
        <v>-6.72</v>
      </c>
      <c r="D16">
        <v>-16.38</v>
      </c>
      <c r="E16">
        <v>-11.19</v>
      </c>
      <c r="F16">
        <v>-15.43</v>
      </c>
    </row>
    <row r="17" spans="1:6" x14ac:dyDescent="0.25">
      <c r="A17" t="s">
        <v>16</v>
      </c>
      <c r="B17">
        <v>175.38</v>
      </c>
      <c r="C17">
        <v>143.18</v>
      </c>
      <c r="D17">
        <v>126.12</v>
      </c>
      <c r="E17">
        <v>109.48</v>
      </c>
      <c r="F17">
        <v>88.89</v>
      </c>
    </row>
    <row r="18" spans="1:6" x14ac:dyDescent="0.25">
      <c r="A18" t="s">
        <v>17</v>
      </c>
      <c r="B18">
        <v>40.15</v>
      </c>
      <c r="C18">
        <v>46.85</v>
      </c>
      <c r="D18">
        <v>-79.19</v>
      </c>
      <c r="E18">
        <v>424.8</v>
      </c>
      <c r="F18">
        <v>46.61</v>
      </c>
    </row>
    <row r="19" spans="1:6" x14ac:dyDescent="0.25">
      <c r="A19" t="s">
        <v>18</v>
      </c>
      <c r="B19">
        <v>101.61</v>
      </c>
      <c r="C19">
        <v>96.28</v>
      </c>
      <c r="D19">
        <v>81.93</v>
      </c>
      <c r="E19">
        <v>80.28</v>
      </c>
      <c r="F19">
        <v>62.08</v>
      </c>
    </row>
    <row r="20" spans="1:6" x14ac:dyDescent="0.25">
      <c r="A20" t="s">
        <v>19</v>
      </c>
      <c r="B20">
        <v>349.88</v>
      </c>
      <c r="C20">
        <v>300.45</v>
      </c>
      <c r="D20">
        <v>294.32</v>
      </c>
      <c r="E20">
        <v>243.6</v>
      </c>
      <c r="F20">
        <v>239.18</v>
      </c>
    </row>
    <row r="21" spans="1:6" s="3" customFormat="1" x14ac:dyDescent="0.25">
      <c r="A21" s="3" t="s">
        <v>20</v>
      </c>
      <c r="B21" s="4">
        <v>1970.5</v>
      </c>
      <c r="C21" s="4">
        <v>1658.45</v>
      </c>
      <c r="D21" s="4">
        <v>1428.36</v>
      </c>
      <c r="E21" s="4">
        <v>1828.98</v>
      </c>
      <c r="F21" s="4">
        <v>1361.11</v>
      </c>
    </row>
    <row r="22" spans="1:6" x14ac:dyDescent="0.25">
      <c r="B22" s="2">
        <v>43160</v>
      </c>
      <c r="C22" s="2">
        <v>42795</v>
      </c>
      <c r="D22" s="2">
        <v>42430</v>
      </c>
      <c r="E22" s="2">
        <v>42064</v>
      </c>
      <c r="F22" s="2">
        <v>41699</v>
      </c>
    </row>
    <row r="23" spans="1:6" s="3" customFormat="1" x14ac:dyDescent="0.25">
      <c r="B23" s="4" t="s">
        <v>2</v>
      </c>
      <c r="C23" s="3" t="s">
        <v>2</v>
      </c>
      <c r="D23" s="3" t="s">
        <v>2</v>
      </c>
      <c r="E23" s="3" t="s">
        <v>2</v>
      </c>
      <c r="F23" s="3" t="s">
        <v>3</v>
      </c>
    </row>
    <row r="24" spans="1:6" x14ac:dyDescent="0.25">
      <c r="A24" t="s">
        <v>21</v>
      </c>
      <c r="B24">
        <v>105.16</v>
      </c>
      <c r="C24">
        <v>50.01</v>
      </c>
      <c r="D24">
        <v>147.46</v>
      </c>
      <c r="E24">
        <v>-330.37</v>
      </c>
      <c r="F24">
        <v>34.67</v>
      </c>
    </row>
    <row r="25" spans="1:6" x14ac:dyDescent="0.25">
      <c r="A25" t="s">
        <v>22</v>
      </c>
      <c r="B25" s="1">
        <v>0</v>
      </c>
      <c r="C25">
        <v>0</v>
      </c>
      <c r="D25">
        <v>0</v>
      </c>
      <c r="E25">
        <v>0</v>
      </c>
      <c r="F25">
        <v>-8.17</v>
      </c>
    </row>
    <row r="26" spans="1:6" x14ac:dyDescent="0.25">
      <c r="A26" t="s">
        <v>23</v>
      </c>
      <c r="B26">
        <v>105.16</v>
      </c>
      <c r="C26">
        <v>50.01</v>
      </c>
      <c r="D26">
        <v>147.46</v>
      </c>
      <c r="E26">
        <v>-330.37</v>
      </c>
      <c r="F26">
        <v>26.5</v>
      </c>
    </row>
    <row r="27" spans="1:6" s="3" customFormat="1" x14ac:dyDescent="0.25">
      <c r="A27" s="3" t="s">
        <v>24</v>
      </c>
      <c r="B27" s="4"/>
    </row>
    <row r="28" spans="1:6" s="3" customFormat="1" x14ac:dyDescent="0.25">
      <c r="A28" s="3" t="s">
        <v>25</v>
      </c>
      <c r="B28" s="3">
        <v>23.3</v>
      </c>
      <c r="C28" s="3">
        <v>10.77</v>
      </c>
      <c r="D28" s="3">
        <v>5.48</v>
      </c>
      <c r="E28" s="3">
        <v>9.81</v>
      </c>
      <c r="F28" s="3">
        <v>9.0299999999999994</v>
      </c>
    </row>
    <row r="29" spans="1:6" s="3" customFormat="1" x14ac:dyDescent="0.25">
      <c r="A29" s="3" t="s">
        <v>26</v>
      </c>
      <c r="B29" s="3">
        <v>0</v>
      </c>
      <c r="C29" s="3">
        <v>0</v>
      </c>
      <c r="D29" s="3">
        <v>0</v>
      </c>
      <c r="E29" s="3">
        <v>0</v>
      </c>
      <c r="F29" s="3">
        <v>10.65</v>
      </c>
    </row>
    <row r="30" spans="1:6" x14ac:dyDescent="0.25">
      <c r="A30" t="s">
        <v>27</v>
      </c>
      <c r="B30">
        <v>12.03</v>
      </c>
      <c r="C30">
        <v>-3.09</v>
      </c>
      <c r="D30">
        <v>-0.7</v>
      </c>
      <c r="E30">
        <v>-1.23</v>
      </c>
      <c r="F30">
        <v>1.1000000000000001</v>
      </c>
    </row>
    <row r="31" spans="1:6" x14ac:dyDescent="0.25">
      <c r="A31" t="s">
        <v>28</v>
      </c>
      <c r="B31">
        <v>35.33</v>
      </c>
      <c r="C31">
        <v>7.68</v>
      </c>
      <c r="D31">
        <v>4.7699999999999996</v>
      </c>
      <c r="E31">
        <v>8.58</v>
      </c>
      <c r="F31">
        <v>-0.53</v>
      </c>
    </row>
    <row r="32" spans="1:6" s="3" customFormat="1" x14ac:dyDescent="0.25">
      <c r="A32" s="3" t="s">
        <v>29</v>
      </c>
      <c r="B32" s="3">
        <v>69.83</v>
      </c>
      <c r="C32" s="3">
        <v>42.34</v>
      </c>
      <c r="D32" s="3">
        <v>142.68</v>
      </c>
      <c r="E32" s="3">
        <v>-338.96</v>
      </c>
      <c r="F32" s="3">
        <v>27.02</v>
      </c>
    </row>
    <row r="33" spans="1:6" x14ac:dyDescent="0.25">
      <c r="A33" t="s">
        <v>30</v>
      </c>
      <c r="B33">
        <v>69.83</v>
      </c>
      <c r="C33">
        <v>42.34</v>
      </c>
      <c r="D33">
        <v>142.68</v>
      </c>
      <c r="E33">
        <v>-338.96</v>
      </c>
      <c r="F33">
        <v>27.02</v>
      </c>
    </row>
    <row r="34" spans="1:6" x14ac:dyDescent="0.25">
      <c r="A34" t="s">
        <v>31</v>
      </c>
      <c r="B34" s="1">
        <v>69.83</v>
      </c>
      <c r="C34" s="1">
        <v>42.34</v>
      </c>
      <c r="D34" s="1">
        <v>142.68</v>
      </c>
      <c r="E34" s="1">
        <v>-338.96</v>
      </c>
      <c r="F34">
        <v>27.02</v>
      </c>
    </row>
    <row r="35" spans="1:6" x14ac:dyDescent="0.25">
      <c r="B35" s="2">
        <v>43160</v>
      </c>
      <c r="C35" s="2">
        <v>42795</v>
      </c>
      <c r="D35" s="2">
        <v>42430</v>
      </c>
      <c r="E35" s="2">
        <v>42064</v>
      </c>
      <c r="F35" s="2">
        <v>41699</v>
      </c>
    </row>
    <row r="36" spans="1:6" x14ac:dyDescent="0.25">
      <c r="B36" t="s">
        <v>2</v>
      </c>
      <c r="C36" t="s">
        <v>2</v>
      </c>
      <c r="D36" t="s">
        <v>2</v>
      </c>
      <c r="E36" t="s">
        <v>2</v>
      </c>
      <c r="F36" t="s">
        <v>3</v>
      </c>
    </row>
    <row r="37" spans="1:6" x14ac:dyDescent="0.25">
      <c r="A37" t="s">
        <v>32</v>
      </c>
    </row>
    <row r="38" spans="1:6" x14ac:dyDescent="0.25">
      <c r="A38" t="s">
        <v>33</v>
      </c>
    </row>
    <row r="39" spans="1:6" x14ac:dyDescent="0.25">
      <c r="A39" t="s">
        <v>34</v>
      </c>
      <c r="B39">
        <v>4.96</v>
      </c>
      <c r="C39">
        <v>3.59</v>
      </c>
      <c r="D39">
        <v>13.63</v>
      </c>
      <c r="E39">
        <v>-32.39</v>
      </c>
      <c r="F39">
        <v>2.58</v>
      </c>
    </row>
    <row r="40" spans="1:6" x14ac:dyDescent="0.25">
      <c r="A40" t="s">
        <v>35</v>
      </c>
      <c r="B40">
        <v>4.96</v>
      </c>
      <c r="C40">
        <v>3.59</v>
      </c>
      <c r="D40">
        <v>1.33</v>
      </c>
      <c r="E40">
        <v>-32.39</v>
      </c>
      <c r="F40">
        <v>2.57</v>
      </c>
    </row>
    <row r="41" spans="1:6" x14ac:dyDescent="0.25">
      <c r="A41" t="s">
        <v>36</v>
      </c>
    </row>
    <row r="42" spans="1:6" x14ac:dyDescent="0.25">
      <c r="A42" t="s">
        <v>37</v>
      </c>
    </row>
    <row r="43" spans="1:6" x14ac:dyDescent="0.25">
      <c r="A43" t="s">
        <v>38</v>
      </c>
      <c r="B43">
        <v>0</v>
      </c>
      <c r="C43">
        <v>0</v>
      </c>
      <c r="D43">
        <v>0</v>
      </c>
      <c r="E43">
        <v>0</v>
      </c>
      <c r="F43">
        <v>0.6</v>
      </c>
    </row>
    <row r="44" spans="1:6" x14ac:dyDescent="0.25">
      <c r="A44" t="s">
        <v>39</v>
      </c>
      <c r="B44">
        <v>0</v>
      </c>
      <c r="C44">
        <v>0</v>
      </c>
      <c r="D44">
        <v>0</v>
      </c>
      <c r="E44">
        <v>0</v>
      </c>
      <c r="F44">
        <v>22.6</v>
      </c>
    </row>
    <row r="45" spans="1:6" x14ac:dyDescent="0.25">
      <c r="A45" t="s">
        <v>40</v>
      </c>
    </row>
    <row r="46" spans="1:6" x14ac:dyDescent="0.25">
      <c r="A46" t="s">
        <v>41</v>
      </c>
      <c r="B46">
        <v>7.28</v>
      </c>
      <c r="C46">
        <v>4.49</v>
      </c>
      <c r="D46">
        <v>4.03</v>
      </c>
      <c r="E46">
        <v>3.28</v>
      </c>
      <c r="F46">
        <v>0.68</v>
      </c>
    </row>
    <row r="47" spans="1:6" x14ac:dyDescent="0.25">
      <c r="A47" t="s">
        <v>42</v>
      </c>
      <c r="B47">
        <v>50</v>
      </c>
      <c r="C47">
        <v>35</v>
      </c>
      <c r="D47">
        <v>35</v>
      </c>
      <c r="E47">
        <v>29</v>
      </c>
      <c r="F47">
        <v>7</v>
      </c>
    </row>
    <row r="49" spans="1:1" x14ac:dyDescent="0.25">
      <c r="A4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22" workbookViewId="0">
      <selection activeCell="B17" sqref="B17"/>
    </sheetView>
  </sheetViews>
  <sheetFormatPr defaultColWidth="24.28515625" defaultRowHeight="15" x14ac:dyDescent="0.25"/>
  <cols>
    <col min="1" max="1" width="26.140625" customWidth="1"/>
    <col min="2" max="2" width="15" customWidth="1"/>
    <col min="3" max="3" width="12.85546875" customWidth="1"/>
    <col min="4" max="4" width="10.85546875" customWidth="1"/>
    <col min="5" max="5" width="12.5703125" customWidth="1"/>
    <col min="6" max="6" width="11.42578125" customWidth="1"/>
  </cols>
  <sheetData>
    <row r="1" spans="1:6" x14ac:dyDescent="0.25">
      <c r="A1" s="3" t="s">
        <v>44</v>
      </c>
      <c r="B1" s="3"/>
      <c r="C1" s="3"/>
      <c r="D1" s="3"/>
      <c r="E1" s="3"/>
      <c r="F1" s="3"/>
    </row>
    <row r="2" spans="1:6" x14ac:dyDescent="0.25">
      <c r="B2" s="3" t="s">
        <v>1</v>
      </c>
      <c r="C2" s="3"/>
      <c r="D2" s="3"/>
      <c r="E2" s="3"/>
      <c r="F2" s="3"/>
    </row>
    <row r="3" spans="1:6" x14ac:dyDescent="0.25">
      <c r="B3" s="5">
        <v>43160</v>
      </c>
      <c r="C3" s="5">
        <v>42795</v>
      </c>
      <c r="D3" s="5">
        <v>42430</v>
      </c>
      <c r="E3" s="5">
        <v>42064</v>
      </c>
      <c r="F3" s="5">
        <v>41699</v>
      </c>
    </row>
    <row r="4" spans="1:6" x14ac:dyDescent="0.25">
      <c r="B4" t="s">
        <v>2</v>
      </c>
      <c r="C4" t="s">
        <v>2</v>
      </c>
      <c r="D4" t="s">
        <v>2</v>
      </c>
      <c r="E4" t="s">
        <v>2</v>
      </c>
      <c r="F4" t="s">
        <v>3</v>
      </c>
    </row>
    <row r="5" spans="1:6" x14ac:dyDescent="0.25">
      <c r="A5" s="3" t="s">
        <v>45</v>
      </c>
    </row>
    <row r="6" spans="1:6" x14ac:dyDescent="0.25">
      <c r="A6" s="3" t="s">
        <v>46</v>
      </c>
    </row>
    <row r="7" spans="1:6" x14ac:dyDescent="0.25">
      <c r="A7" t="s">
        <v>47</v>
      </c>
      <c r="B7">
        <v>12.31</v>
      </c>
      <c r="C7">
        <v>12.31</v>
      </c>
      <c r="D7">
        <v>10.47</v>
      </c>
      <c r="E7">
        <v>10.47</v>
      </c>
      <c r="F7">
        <v>10.47</v>
      </c>
    </row>
    <row r="8" spans="1:6" x14ac:dyDescent="0.25">
      <c r="A8" s="3" t="s">
        <v>48</v>
      </c>
      <c r="B8" s="4">
        <v>1.17</v>
      </c>
      <c r="C8" s="3">
        <v>2.02</v>
      </c>
      <c r="D8" s="3">
        <v>16.62</v>
      </c>
      <c r="E8" s="3">
        <v>0</v>
      </c>
      <c r="F8" s="3">
        <v>30</v>
      </c>
    </row>
    <row r="9" spans="1:6" x14ac:dyDescent="0.25">
      <c r="A9" t="s">
        <v>49</v>
      </c>
      <c r="B9" s="1">
        <v>13.48</v>
      </c>
      <c r="C9" s="1">
        <v>14.33</v>
      </c>
      <c r="D9" s="1">
        <v>27.09</v>
      </c>
      <c r="E9" s="1">
        <v>10.47</v>
      </c>
      <c r="F9">
        <v>40.47</v>
      </c>
    </row>
    <row r="10" spans="1:6" s="3" customFormat="1" x14ac:dyDescent="0.25">
      <c r="A10" s="3" t="s">
        <v>50</v>
      </c>
      <c r="B10" s="4">
        <v>998.07</v>
      </c>
      <c r="C10" s="4">
        <v>932.91</v>
      </c>
      <c r="D10" s="4">
        <v>672.88</v>
      </c>
      <c r="E10" s="4">
        <v>284.39</v>
      </c>
      <c r="F10" s="3">
        <v>827.06</v>
      </c>
    </row>
    <row r="11" spans="1:6" s="3" customFormat="1" x14ac:dyDescent="0.25">
      <c r="A11" s="3" t="s">
        <v>51</v>
      </c>
      <c r="B11" s="4">
        <v>998.07</v>
      </c>
      <c r="C11" s="4">
        <v>932.91</v>
      </c>
      <c r="D11" s="4">
        <v>672.88</v>
      </c>
      <c r="E11" s="4">
        <v>284.39</v>
      </c>
      <c r="F11" s="3">
        <v>827.06</v>
      </c>
    </row>
    <row r="12" spans="1:6" x14ac:dyDescent="0.25">
      <c r="A12" s="3" t="s">
        <v>52</v>
      </c>
      <c r="B12" s="1">
        <v>1011.55</v>
      </c>
      <c r="C12">
        <v>947.24</v>
      </c>
      <c r="D12">
        <v>699.97</v>
      </c>
      <c r="E12">
        <v>294.85000000000002</v>
      </c>
      <c r="F12">
        <v>867.53</v>
      </c>
    </row>
    <row r="13" spans="1:6" x14ac:dyDescent="0.25">
      <c r="A13" t="s">
        <v>53</v>
      </c>
    </row>
    <row r="14" spans="1:6" s="3" customFormat="1" x14ac:dyDescent="0.25">
      <c r="A14" s="3" t="s">
        <v>54</v>
      </c>
      <c r="B14" s="3">
        <v>220.46</v>
      </c>
      <c r="C14" s="3">
        <v>301.47000000000003</v>
      </c>
      <c r="D14" s="3">
        <v>418.99</v>
      </c>
      <c r="E14" s="3">
        <v>797.38</v>
      </c>
      <c r="F14" s="3">
        <v>300.76</v>
      </c>
    </row>
    <row r="15" spans="1:6" x14ac:dyDescent="0.25">
      <c r="A15" s="3" t="s">
        <v>55</v>
      </c>
      <c r="B15">
        <v>13.52</v>
      </c>
      <c r="C15">
        <v>0.49</v>
      </c>
      <c r="D15">
        <v>4.78</v>
      </c>
      <c r="E15">
        <v>7.04</v>
      </c>
      <c r="F15">
        <v>22.92</v>
      </c>
    </row>
    <row r="16" spans="1:6" x14ac:dyDescent="0.25">
      <c r="A16" t="s">
        <v>56</v>
      </c>
      <c r="B16">
        <v>17.829999999999998</v>
      </c>
      <c r="C16">
        <v>0.52</v>
      </c>
      <c r="D16">
        <v>4.7300000000000004</v>
      </c>
      <c r="E16">
        <v>10.61</v>
      </c>
      <c r="F16">
        <v>3.49</v>
      </c>
    </row>
    <row r="17" spans="1:6" x14ac:dyDescent="0.25">
      <c r="A17" t="s">
        <v>57</v>
      </c>
      <c r="B17">
        <v>5.31</v>
      </c>
      <c r="C17">
        <v>5.47</v>
      </c>
      <c r="D17">
        <v>4.8499999999999996</v>
      </c>
      <c r="E17">
        <v>3.88</v>
      </c>
      <c r="F17">
        <v>5.46</v>
      </c>
    </row>
    <row r="18" spans="1:6" x14ac:dyDescent="0.25">
      <c r="A18" t="s">
        <v>58</v>
      </c>
      <c r="B18">
        <v>257.12</v>
      </c>
      <c r="C18">
        <v>307.94</v>
      </c>
      <c r="D18">
        <v>433.35</v>
      </c>
      <c r="E18">
        <v>818.92</v>
      </c>
      <c r="F18">
        <v>332.63</v>
      </c>
    </row>
    <row r="19" spans="1:6" s="3" customFormat="1" x14ac:dyDescent="0.25">
      <c r="A19" s="3" t="s">
        <v>59</v>
      </c>
    </row>
    <row r="20" spans="1:6" s="3" customFormat="1" x14ac:dyDescent="0.25">
      <c r="A20" s="3" t="s">
        <v>60</v>
      </c>
      <c r="B20" s="4">
        <v>172.43</v>
      </c>
      <c r="C20" s="4">
        <v>124.86</v>
      </c>
      <c r="D20" s="4">
        <v>180.39</v>
      </c>
      <c r="E20" s="4">
        <v>172.9</v>
      </c>
      <c r="F20" s="4">
        <v>49.14</v>
      </c>
    </row>
    <row r="21" spans="1:6" x14ac:dyDescent="0.25">
      <c r="A21" s="3" t="s">
        <v>61</v>
      </c>
      <c r="B21" s="1">
        <v>324.33</v>
      </c>
      <c r="C21" s="1">
        <v>221.96</v>
      </c>
      <c r="D21" s="1">
        <v>205.56</v>
      </c>
      <c r="E21" s="1">
        <v>181.43</v>
      </c>
      <c r="F21" s="1">
        <v>244.08</v>
      </c>
    </row>
    <row r="22" spans="1:6" x14ac:dyDescent="0.25">
      <c r="A22" s="3" t="s">
        <v>62</v>
      </c>
      <c r="B22">
        <v>175.19</v>
      </c>
      <c r="C22">
        <v>138.86000000000001</v>
      </c>
      <c r="D22">
        <v>209.85</v>
      </c>
      <c r="E22">
        <v>177.16</v>
      </c>
      <c r="F22">
        <v>142.59</v>
      </c>
    </row>
    <row r="23" spans="1:6" x14ac:dyDescent="0.25">
      <c r="A23" t="s">
        <v>63</v>
      </c>
      <c r="B23">
        <v>19.41</v>
      </c>
      <c r="C23">
        <v>18.010000000000002</v>
      </c>
      <c r="D23">
        <v>17.84</v>
      </c>
      <c r="E23">
        <v>17.96</v>
      </c>
      <c r="F23">
        <v>18.2</v>
      </c>
    </row>
    <row r="24" spans="1:6" x14ac:dyDescent="0.25">
      <c r="A24" t="s">
        <v>64</v>
      </c>
      <c r="B24">
        <v>691.36</v>
      </c>
      <c r="C24">
        <v>503.69</v>
      </c>
      <c r="D24">
        <v>613.65</v>
      </c>
      <c r="E24">
        <v>549.46</v>
      </c>
      <c r="F24">
        <v>454.01</v>
      </c>
    </row>
    <row r="25" spans="1:6" x14ac:dyDescent="0.25">
      <c r="A25" t="s">
        <v>65</v>
      </c>
      <c r="B25" s="1">
        <v>1960.03</v>
      </c>
      <c r="C25" s="1">
        <v>1758.87</v>
      </c>
      <c r="D25" s="1">
        <v>1746.97</v>
      </c>
      <c r="E25" s="1">
        <v>1663.23</v>
      </c>
      <c r="F25" s="1">
        <v>1654.17</v>
      </c>
    </row>
    <row r="26" spans="1:6" s="3" customFormat="1" x14ac:dyDescent="0.25">
      <c r="A26" s="3" t="s">
        <v>66</v>
      </c>
    </row>
    <row r="27" spans="1:6" x14ac:dyDescent="0.25">
      <c r="A27" t="s">
        <v>67</v>
      </c>
    </row>
    <row r="28" spans="1:6" x14ac:dyDescent="0.25">
      <c r="A28" t="s">
        <v>68</v>
      </c>
      <c r="B28">
        <v>763.22</v>
      </c>
      <c r="C28">
        <v>759.57</v>
      </c>
      <c r="D28">
        <v>716.87</v>
      </c>
      <c r="E28">
        <v>690.83</v>
      </c>
      <c r="F28">
        <v>543.11</v>
      </c>
    </row>
    <row r="29" spans="1:6" x14ac:dyDescent="0.25">
      <c r="A29" t="s">
        <v>69</v>
      </c>
      <c r="B29">
        <v>9.11</v>
      </c>
      <c r="C29">
        <v>4.68</v>
      </c>
      <c r="D29">
        <v>4.13</v>
      </c>
      <c r="E29">
        <v>3.8</v>
      </c>
      <c r="F29">
        <v>4.0199999999999996</v>
      </c>
    </row>
    <row r="30" spans="1:6" s="3" customFormat="1" x14ac:dyDescent="0.25">
      <c r="A30" s="3" t="s">
        <v>70</v>
      </c>
      <c r="B30" s="3">
        <v>21.71</v>
      </c>
      <c r="C30" s="3">
        <v>25.31</v>
      </c>
      <c r="D30" s="3">
        <v>44.4</v>
      </c>
      <c r="E30" s="3">
        <v>31.5</v>
      </c>
      <c r="F30" s="3">
        <v>209.38</v>
      </c>
    </row>
    <row r="31" spans="1:6" s="3" customFormat="1" x14ac:dyDescent="0.25">
      <c r="A31" s="3" t="s">
        <v>71</v>
      </c>
      <c r="B31" s="3">
        <v>0.6</v>
      </c>
      <c r="C31" s="3">
        <v>0.02</v>
      </c>
      <c r="D31" s="3">
        <v>0.63</v>
      </c>
      <c r="E31" s="3">
        <v>0.56999999999999995</v>
      </c>
      <c r="F31" s="3">
        <v>0.68</v>
      </c>
    </row>
    <row r="32" spans="1:6" x14ac:dyDescent="0.25">
      <c r="A32" t="s">
        <v>72</v>
      </c>
      <c r="B32" s="1">
        <v>28.64</v>
      </c>
      <c r="C32" s="1">
        <v>29.64</v>
      </c>
      <c r="D32">
        <v>30.77</v>
      </c>
      <c r="E32">
        <v>31.9</v>
      </c>
      <c r="F32">
        <v>0</v>
      </c>
    </row>
    <row r="33" spans="1:6" x14ac:dyDescent="0.25">
      <c r="A33" t="s">
        <v>73</v>
      </c>
      <c r="B33" s="1">
        <v>823.28</v>
      </c>
      <c r="C33" s="1">
        <v>819.22</v>
      </c>
      <c r="D33" s="1">
        <v>796.8</v>
      </c>
      <c r="E33" s="1">
        <v>758.59</v>
      </c>
      <c r="F33" s="1">
        <v>757.18</v>
      </c>
    </row>
    <row r="34" spans="1:6" x14ac:dyDescent="0.25">
      <c r="A34" t="s">
        <v>74</v>
      </c>
      <c r="B34">
        <v>464.72</v>
      </c>
      <c r="C34">
        <v>464.72</v>
      </c>
      <c r="D34">
        <v>464.71</v>
      </c>
      <c r="E34">
        <v>466.67</v>
      </c>
      <c r="F34">
        <v>466.66</v>
      </c>
    </row>
    <row r="35" spans="1:6" x14ac:dyDescent="0.25">
      <c r="A35" t="s">
        <v>75</v>
      </c>
      <c r="B35">
        <v>1.75</v>
      </c>
      <c r="C35">
        <v>1.01</v>
      </c>
      <c r="D35">
        <v>0.52</v>
      </c>
      <c r="E35">
        <v>0.26</v>
      </c>
      <c r="F35">
        <v>29.92</v>
      </c>
    </row>
    <row r="36" spans="1:6" x14ac:dyDescent="0.25">
      <c r="A36" t="s">
        <v>76</v>
      </c>
      <c r="B36">
        <v>35.29</v>
      </c>
      <c r="C36">
        <v>11.21</v>
      </c>
      <c r="D36">
        <v>28.2</v>
      </c>
      <c r="E36">
        <v>19.47</v>
      </c>
      <c r="F36">
        <v>5.99</v>
      </c>
    </row>
    <row r="37" spans="1:6" s="3" customFormat="1" x14ac:dyDescent="0.25">
      <c r="A37" s="3" t="s">
        <v>77</v>
      </c>
      <c r="B37" s="4">
        <v>1325.04</v>
      </c>
      <c r="C37" s="4">
        <v>1296.1600000000001</v>
      </c>
      <c r="D37" s="4">
        <v>1290.23</v>
      </c>
      <c r="E37" s="4">
        <v>1244.99</v>
      </c>
      <c r="F37" s="4">
        <v>1259.76</v>
      </c>
    </row>
    <row r="38" spans="1:6" s="3" customFormat="1" x14ac:dyDescent="0.25">
      <c r="A38" s="3" t="s">
        <v>78</v>
      </c>
      <c r="B38" s="4"/>
      <c r="C38" s="4"/>
      <c r="D38" s="4"/>
      <c r="E38" s="4"/>
      <c r="F38" s="4"/>
    </row>
    <row r="39" spans="1:6" x14ac:dyDescent="0.25">
      <c r="A39" t="s">
        <v>79</v>
      </c>
      <c r="B39">
        <v>0.01</v>
      </c>
      <c r="C39">
        <v>0</v>
      </c>
      <c r="D39">
        <v>11.94</v>
      </c>
      <c r="E39">
        <v>2.42</v>
      </c>
      <c r="F39">
        <v>37.53</v>
      </c>
    </row>
    <row r="40" spans="1:6" x14ac:dyDescent="0.25">
      <c r="A40" t="s">
        <v>80</v>
      </c>
      <c r="B40">
        <v>194.69</v>
      </c>
      <c r="C40">
        <v>173.15</v>
      </c>
      <c r="D40">
        <v>163.85</v>
      </c>
      <c r="E40">
        <v>147.43</v>
      </c>
      <c r="F40">
        <v>123.51</v>
      </c>
    </row>
    <row r="41" spans="1:6" x14ac:dyDescent="0.25">
      <c r="A41" t="s">
        <v>81</v>
      </c>
      <c r="B41">
        <v>388.84</v>
      </c>
      <c r="C41">
        <v>251.74</v>
      </c>
      <c r="D41">
        <v>230.73</v>
      </c>
      <c r="E41">
        <v>180.49</v>
      </c>
      <c r="F41">
        <v>150.53</v>
      </c>
    </row>
    <row r="42" spans="1:6" x14ac:dyDescent="0.25">
      <c r="A42" t="s">
        <v>82</v>
      </c>
      <c r="B42" s="1">
        <v>8.59</v>
      </c>
      <c r="C42" s="1">
        <v>3.13</v>
      </c>
      <c r="D42" s="1">
        <v>14.99</v>
      </c>
      <c r="E42" s="1">
        <v>18.04</v>
      </c>
      <c r="F42" s="1">
        <v>9.24</v>
      </c>
    </row>
    <row r="43" spans="1:6" x14ac:dyDescent="0.25">
      <c r="A43" t="s">
        <v>83</v>
      </c>
      <c r="B43">
        <v>1.87</v>
      </c>
      <c r="C43">
        <v>2.5499999999999998</v>
      </c>
      <c r="D43">
        <v>1.77</v>
      </c>
      <c r="E43">
        <v>28.58</v>
      </c>
      <c r="F43">
        <v>49.15</v>
      </c>
    </row>
    <row r="44" spans="1:6" x14ac:dyDescent="0.25">
      <c r="A44" t="s">
        <v>84</v>
      </c>
      <c r="B44">
        <v>40.99</v>
      </c>
      <c r="C44">
        <v>32.14</v>
      </c>
      <c r="D44">
        <v>33.47</v>
      </c>
      <c r="E44">
        <v>41.29</v>
      </c>
      <c r="F44">
        <v>24.45</v>
      </c>
    </row>
    <row r="45" spans="1:6" x14ac:dyDescent="0.25">
      <c r="A45" t="s">
        <v>85</v>
      </c>
      <c r="B45">
        <v>634.99</v>
      </c>
      <c r="C45">
        <v>462.71</v>
      </c>
      <c r="D45">
        <v>456.74</v>
      </c>
      <c r="E45">
        <v>418.25</v>
      </c>
      <c r="F45">
        <v>394.41</v>
      </c>
    </row>
    <row r="46" spans="1:6" x14ac:dyDescent="0.25">
      <c r="A46" t="s">
        <v>86</v>
      </c>
      <c r="B46" s="1">
        <v>1960.03</v>
      </c>
      <c r="C46" s="1">
        <v>1758.87</v>
      </c>
      <c r="D46" s="1">
        <v>1746.97</v>
      </c>
      <c r="E46" s="1">
        <v>1663.23</v>
      </c>
      <c r="F46" s="1">
        <v>1654.17</v>
      </c>
    </row>
    <row r="47" spans="1:6" x14ac:dyDescent="0.25">
      <c r="A47" t="s">
        <v>32</v>
      </c>
    </row>
    <row r="48" spans="1:6" x14ac:dyDescent="0.25">
      <c r="A48" t="s">
        <v>87</v>
      </c>
    </row>
    <row r="49" spans="1:6" x14ac:dyDescent="0.25">
      <c r="A49" t="s">
        <v>88</v>
      </c>
      <c r="B49">
        <v>160.35</v>
      </c>
      <c r="C49">
        <v>43.32</v>
      </c>
      <c r="D49">
        <v>74.19</v>
      </c>
      <c r="E49">
        <v>44.22</v>
      </c>
      <c r="F49">
        <v>297.54000000000002</v>
      </c>
    </row>
    <row r="50" spans="1:6" x14ac:dyDescent="0.25">
      <c r="A50" t="s">
        <v>89</v>
      </c>
    </row>
    <row r="51" spans="1:6" x14ac:dyDescent="0.25">
      <c r="A51" t="s">
        <v>90</v>
      </c>
      <c r="B51">
        <v>0</v>
      </c>
      <c r="C51">
        <v>0</v>
      </c>
      <c r="D51">
        <v>0</v>
      </c>
      <c r="E51">
        <v>0</v>
      </c>
      <c r="F51">
        <v>68.84</v>
      </c>
    </row>
    <row r="52" spans="1:6" x14ac:dyDescent="0.25">
      <c r="A52" t="s">
        <v>91</v>
      </c>
      <c r="B52">
        <v>0</v>
      </c>
      <c r="C52">
        <v>0</v>
      </c>
      <c r="D52">
        <v>0</v>
      </c>
      <c r="E52">
        <v>0</v>
      </c>
      <c r="F52">
        <v>1.89</v>
      </c>
    </row>
    <row r="53" spans="1:6" x14ac:dyDescent="0.25">
      <c r="A53" t="s">
        <v>92</v>
      </c>
      <c r="B53">
        <v>0</v>
      </c>
      <c r="C53">
        <v>0</v>
      </c>
      <c r="D53">
        <v>0</v>
      </c>
      <c r="E53">
        <v>0</v>
      </c>
      <c r="F53">
        <v>36.81</v>
      </c>
    </row>
    <row r="54" spans="1:6" x14ac:dyDescent="0.25">
      <c r="A54" t="s">
        <v>93</v>
      </c>
    </row>
    <row r="55" spans="1:6" x14ac:dyDescent="0.25">
      <c r="A55" t="s">
        <v>94</v>
      </c>
      <c r="B55">
        <v>0</v>
      </c>
      <c r="C55">
        <v>0</v>
      </c>
      <c r="D55">
        <v>0</v>
      </c>
      <c r="E55">
        <v>0</v>
      </c>
      <c r="F55">
        <v>12.17</v>
      </c>
    </row>
    <row r="56" spans="1:6" x14ac:dyDescent="0.25">
      <c r="A56" t="s">
        <v>95</v>
      </c>
    </row>
    <row r="57" spans="1:6" x14ac:dyDescent="0.25">
      <c r="A57" t="s">
        <v>96</v>
      </c>
      <c r="B57" t="s">
        <v>97</v>
      </c>
      <c r="C57" t="s">
        <v>97</v>
      </c>
      <c r="D57" t="s">
        <v>97</v>
      </c>
      <c r="E57" t="s">
        <v>97</v>
      </c>
      <c r="F57" t="s">
        <v>98</v>
      </c>
    </row>
    <row r="58" spans="1:6" x14ac:dyDescent="0.25">
      <c r="A58" t="s">
        <v>99</v>
      </c>
    </row>
    <row r="59" spans="1:6" x14ac:dyDescent="0.25">
      <c r="A59" t="s">
        <v>100</v>
      </c>
      <c r="B59" t="s">
        <v>97</v>
      </c>
      <c r="C59" t="s">
        <v>97</v>
      </c>
      <c r="D59" t="s">
        <v>97</v>
      </c>
      <c r="E59" t="s">
        <v>97</v>
      </c>
      <c r="F59">
        <v>81.77</v>
      </c>
    </row>
    <row r="60" spans="1:6" x14ac:dyDescent="0.25">
      <c r="A60" t="s">
        <v>101</v>
      </c>
      <c r="B60" t="s">
        <v>97</v>
      </c>
      <c r="C60" t="s">
        <v>97</v>
      </c>
      <c r="D60" t="s">
        <v>97</v>
      </c>
      <c r="E60" t="s">
        <v>97</v>
      </c>
      <c r="F60">
        <v>7.67</v>
      </c>
    </row>
    <row r="61" spans="1:6" x14ac:dyDescent="0.25">
      <c r="A61" t="s">
        <v>102</v>
      </c>
    </row>
    <row r="62" spans="1:6" x14ac:dyDescent="0.25">
      <c r="A62" t="s">
        <v>103</v>
      </c>
      <c r="B62">
        <v>9.73</v>
      </c>
      <c r="C62">
        <v>9.73</v>
      </c>
      <c r="D62">
        <v>9.73</v>
      </c>
      <c r="E62">
        <v>9.73</v>
      </c>
      <c r="F62">
        <v>9.73</v>
      </c>
    </row>
    <row r="63" spans="1:6" x14ac:dyDescent="0.25">
      <c r="A63" t="s">
        <v>104</v>
      </c>
    </row>
    <row r="64" spans="1:6" x14ac:dyDescent="0.25">
      <c r="A64" t="s">
        <v>105</v>
      </c>
      <c r="B64" t="s">
        <v>97</v>
      </c>
      <c r="C64" t="s">
        <v>97</v>
      </c>
      <c r="D64" t="s">
        <v>97</v>
      </c>
      <c r="E64" t="s">
        <v>97</v>
      </c>
      <c r="F64" t="s">
        <v>98</v>
      </c>
    </row>
    <row r="65" spans="1:6" x14ac:dyDescent="0.25">
      <c r="A65" t="s">
        <v>106</v>
      </c>
      <c r="B65">
        <v>464.72</v>
      </c>
      <c r="C65">
        <v>464.72</v>
      </c>
      <c r="D65">
        <v>464.71</v>
      </c>
      <c r="E65">
        <v>466.67</v>
      </c>
      <c r="F65">
        <v>466.66</v>
      </c>
    </row>
    <row r="66" spans="1:6" x14ac:dyDescent="0.25">
      <c r="A66" t="s">
        <v>107</v>
      </c>
    </row>
    <row r="67" spans="1:6" x14ac:dyDescent="0.25">
      <c r="A67" t="s">
        <v>108</v>
      </c>
      <c r="B67" t="s">
        <v>97</v>
      </c>
      <c r="C67" t="s">
        <v>97</v>
      </c>
      <c r="D67" t="s">
        <v>97</v>
      </c>
      <c r="E67" t="s">
        <v>97</v>
      </c>
      <c r="F67" t="s">
        <v>98</v>
      </c>
    </row>
    <row r="68" spans="1:6" x14ac:dyDescent="0.25">
      <c r="A68" t="s">
        <v>109</v>
      </c>
      <c r="B68">
        <v>0.01</v>
      </c>
      <c r="C68" t="s">
        <v>97</v>
      </c>
      <c r="D68">
        <v>11.94</v>
      </c>
      <c r="E68">
        <v>2.42</v>
      </c>
      <c r="F68">
        <v>37.53</v>
      </c>
    </row>
    <row r="70" spans="1:6" x14ac:dyDescent="0.25">
      <c r="A7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opLeftCell="A12" workbookViewId="0">
      <selection activeCell="M20" sqref="M20"/>
    </sheetView>
  </sheetViews>
  <sheetFormatPr defaultRowHeight="15" x14ac:dyDescent="0.25"/>
  <cols>
    <col min="1" max="1" width="23.42578125" bestFit="1" customWidth="1"/>
    <col min="2" max="3" width="8.28515625" customWidth="1"/>
    <col min="4" max="4" width="8.140625" customWidth="1"/>
    <col min="5" max="5" width="8.42578125" customWidth="1"/>
    <col min="6" max="6" width="9.42578125" customWidth="1"/>
    <col min="7" max="7" width="9.85546875" customWidth="1"/>
  </cols>
  <sheetData>
    <row r="2" spans="1:7" x14ac:dyDescent="0.25">
      <c r="B2" s="7">
        <v>43160</v>
      </c>
      <c r="C2" s="7">
        <v>42795</v>
      </c>
      <c r="D2" s="7">
        <v>42430</v>
      </c>
      <c r="E2" s="7">
        <v>42064</v>
      </c>
      <c r="F2" s="8" t="s">
        <v>110</v>
      </c>
      <c r="G2" s="8" t="s">
        <v>111</v>
      </c>
    </row>
    <row r="4" spans="1:7" x14ac:dyDescent="0.25">
      <c r="A4" s="6" t="s">
        <v>112</v>
      </c>
      <c r="B4" s="6">
        <f>(PnL!B6-PnL!C6)/PnL!C6</f>
        <v>0.15925215346270061</v>
      </c>
      <c r="C4" s="6">
        <f>(PnL!C6-PnL!D6)/PnL!D6</f>
        <v>7.1279179801218728E-2</v>
      </c>
      <c r="D4" s="6">
        <f>(PnL!D6-PnL!E6)/PnL!E6</f>
        <v>5.8821652392561194E-2</v>
      </c>
      <c r="E4" s="6">
        <f>(PnL!E6-PnL!F6)/PnL!F6</f>
        <v>6.3500251123267543E-2</v>
      </c>
      <c r="F4" s="6">
        <f>AVERAGE(B4:E4)</f>
        <v>8.8213309194937028E-2</v>
      </c>
      <c r="G4" s="6">
        <v>0.1</v>
      </c>
    </row>
    <row r="5" spans="1:7" x14ac:dyDescent="0.25">
      <c r="A5" s="6" t="s">
        <v>113</v>
      </c>
      <c r="B5" s="6">
        <f>PnL!B21/PnL!B6</f>
        <v>0.95635841236252794</v>
      </c>
      <c r="C5" s="6">
        <f>PnL!C21/PnL!C6</f>
        <v>0.9330921530125974</v>
      </c>
      <c r="D5" s="6">
        <f>PnL!D21/PnL!D6</f>
        <v>0.86091940859858596</v>
      </c>
      <c r="E5" s="6">
        <f>PnL!E21/PnL!E6</f>
        <v>1.1672303981007568</v>
      </c>
      <c r="F5" s="6">
        <f>AVERAGE(B5:E5)</f>
        <v>0.97940009301861708</v>
      </c>
      <c r="G5" s="6">
        <v>0.9</v>
      </c>
    </row>
    <row r="7" spans="1:7" x14ac:dyDescent="0.25">
      <c r="A7" t="s">
        <v>114</v>
      </c>
      <c r="B7">
        <f>PnL!B46/PnL!B34</f>
        <v>0.10425318630960906</v>
      </c>
      <c r="C7">
        <f>PnL!C46/PnL!C34</f>
        <v>0.10604629192253189</v>
      </c>
      <c r="D7">
        <f>PnL!D46/PnL!D34</f>
        <v>2.8245023829548639E-2</v>
      </c>
      <c r="E7">
        <f>PnL!E46/PnL!E34</f>
        <v>-9.6766580127448671E-3</v>
      </c>
      <c r="F7">
        <f>AVERAGE(B7:E7)</f>
        <v>5.7216961012236181E-2</v>
      </c>
      <c r="G7">
        <v>0.05</v>
      </c>
    </row>
    <row r="9" spans="1:7" x14ac:dyDescent="0.25">
      <c r="A9" t="s">
        <v>115</v>
      </c>
      <c r="B9">
        <f>'Balance Sheet'!B14-'Balance Sheet'!C14</f>
        <v>-81.010000000000019</v>
      </c>
      <c r="C9">
        <f>'Balance Sheet'!C14-'Balance Sheet'!D14</f>
        <v>-117.51999999999998</v>
      </c>
      <c r="D9">
        <f>'Balance Sheet'!D14-'Balance Sheet'!E14</f>
        <v>-378.39</v>
      </c>
      <c r="E9">
        <f>'Balance Sheet'!E14-'Balance Sheet'!F14</f>
        <v>496.62</v>
      </c>
      <c r="F9">
        <f>AVERAGE(B9:E9)</f>
        <v>-20.074999999999989</v>
      </c>
      <c r="G9">
        <v>-10</v>
      </c>
    </row>
    <row r="11" spans="1:7" x14ac:dyDescent="0.25">
      <c r="A11" t="s">
        <v>116</v>
      </c>
      <c r="B11">
        <f>PnL!B18/'Balance Sheet'!B14</f>
        <v>0.18211920529801323</v>
      </c>
      <c r="C11">
        <f>PnL!C18/'Balance Sheet'!C14</f>
        <v>0.1554051812784025</v>
      </c>
      <c r="D11">
        <f>PnL!D18/'Balance Sheet'!D14</f>
        <v>-0.18900212415570777</v>
      </c>
      <c r="E11">
        <f>PnL!E18/'Balance Sheet'!E14</f>
        <v>0.53274473902029151</v>
      </c>
      <c r="F11">
        <f t="shared" ref="F11:F20" si="0">AVERAGE(B11:E11)</f>
        <v>0.17031675036024985</v>
      </c>
      <c r="G11">
        <v>0.2</v>
      </c>
    </row>
    <row r="13" spans="1:7" x14ac:dyDescent="0.25">
      <c r="A13" t="s">
        <v>117</v>
      </c>
      <c r="B13">
        <f>'Balance Sheet'!B21/PnL!B21</f>
        <v>0.16459274295863993</v>
      </c>
      <c r="C13">
        <f>'Balance Sheet'!C21/PnL!C21</f>
        <v>0.13383581054599175</v>
      </c>
      <c r="D13">
        <f>'Balance Sheet'!D21/PnL!D21</f>
        <v>0.14391329916827691</v>
      </c>
      <c r="E13">
        <f>'Balance Sheet'!E21/PnL!E21</f>
        <v>9.9197366838347054E-2</v>
      </c>
      <c r="F13">
        <f t="shared" si="0"/>
        <v>0.1353848048778139</v>
      </c>
      <c r="G13">
        <v>0.15</v>
      </c>
    </row>
    <row r="15" spans="1:7" x14ac:dyDescent="0.25">
      <c r="A15" t="s">
        <v>118</v>
      </c>
      <c r="B15" s="1">
        <f>'Balance Sheet'!B33-'Balance Sheet'!C33</f>
        <v>4.0599999999999454</v>
      </c>
      <c r="C15" s="1">
        <f>'Balance Sheet'!C33-'Balance Sheet'!D33</f>
        <v>22.420000000000073</v>
      </c>
      <c r="D15" s="1">
        <f>'Balance Sheet'!D33-'Balance Sheet'!E33</f>
        <v>38.209999999999923</v>
      </c>
      <c r="E15" s="1">
        <f>'Balance Sheet'!E33-'Balance Sheet'!F33</f>
        <v>1.4100000000000819</v>
      </c>
      <c r="F15">
        <f t="shared" si="0"/>
        <v>16.525000000000006</v>
      </c>
      <c r="G15">
        <v>20</v>
      </c>
    </row>
    <row r="17" spans="1:7" x14ac:dyDescent="0.25">
      <c r="A17" t="s">
        <v>119</v>
      </c>
      <c r="B17">
        <f>PnL!B19/'Balance Sheet'!B33</f>
        <v>0.12342095034496162</v>
      </c>
      <c r="C17">
        <f>PnL!C19/'Balance Sheet'!C33</f>
        <v>0.11752642757745171</v>
      </c>
      <c r="D17">
        <f>PnL!D19/'Balance Sheet'!D33</f>
        <v>0.1028237951807229</v>
      </c>
      <c r="E17">
        <f>PnL!E19/'Balance Sheet'!E33</f>
        <v>0.10582791758393861</v>
      </c>
      <c r="F17">
        <f t="shared" si="0"/>
        <v>0.11239977267176871</v>
      </c>
      <c r="G17">
        <v>0.1</v>
      </c>
    </row>
    <row r="19" spans="1:7" x14ac:dyDescent="0.25">
      <c r="A19" t="s">
        <v>120</v>
      </c>
      <c r="B19">
        <f>'Balance Sheet'!B40/PnL!B12</f>
        <v>9.3796671901949263E-2</v>
      </c>
      <c r="C19">
        <f>'Balance Sheet'!C40/PnL!C12</f>
        <v>0.10134858293433853</v>
      </c>
      <c r="D19">
        <f>'Balance Sheet'!D40/PnL!D12</f>
        <v>0.10397827149212151</v>
      </c>
      <c r="E19">
        <f>'Balance Sheet'!E40/PnL!E12</f>
        <v>9.8377830122580265E-2</v>
      </c>
      <c r="F19">
        <f t="shared" si="0"/>
        <v>9.9375339112747402E-2</v>
      </c>
      <c r="G19">
        <v>0.1</v>
      </c>
    </row>
    <row r="20" spans="1:7" x14ac:dyDescent="0.25">
      <c r="A20" t="s">
        <v>121</v>
      </c>
      <c r="B20">
        <f>'Balance Sheet'!B41/PnL!B12</f>
        <v>0.18733318558916201</v>
      </c>
      <c r="C20">
        <f>'Balance Sheet'!C41/PnL!C12</f>
        <v>0.1473490746052</v>
      </c>
      <c r="D20">
        <f>'Balance Sheet'!D41/PnL!D12</f>
        <v>0.14641993641365392</v>
      </c>
      <c r="E20">
        <f>'Balance Sheet'!E41/PnL!E12</f>
        <v>0.12043827279946084</v>
      </c>
      <c r="F20">
        <f t="shared" si="0"/>
        <v>0.15038511735186919</v>
      </c>
      <c r="G20">
        <v>0.15</v>
      </c>
    </row>
    <row r="22" spans="1:7" x14ac:dyDescent="0.25">
      <c r="A22" t="s">
        <v>131</v>
      </c>
      <c r="G22">
        <v>0.08</v>
      </c>
    </row>
    <row r="25" spans="1:7" x14ac:dyDescent="0.25">
      <c r="A25" t="s">
        <v>128</v>
      </c>
      <c r="G25">
        <v>0.3</v>
      </c>
    </row>
    <row r="27" spans="1:7" x14ac:dyDescent="0.25">
      <c r="A27" t="s">
        <v>129</v>
      </c>
      <c r="G27" s="6">
        <v>0.13243725053895283</v>
      </c>
    </row>
    <row r="29" spans="1:7" x14ac:dyDescent="0.25">
      <c r="A29" t="s">
        <v>130</v>
      </c>
      <c r="G29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20" workbookViewId="0">
      <selection activeCell="L14" sqref="L14"/>
    </sheetView>
  </sheetViews>
  <sheetFormatPr defaultRowHeight="15" x14ac:dyDescent="0.25"/>
  <cols>
    <col min="1" max="1" width="55.7109375" bestFit="1" customWidth="1"/>
    <col min="2" max="2" width="23.42578125" customWidth="1"/>
    <col min="3" max="12" width="7.5703125" bestFit="1" customWidth="1"/>
  </cols>
  <sheetData>
    <row r="1" spans="1:12" x14ac:dyDescent="0.25">
      <c r="A1" s="3" t="s">
        <v>0</v>
      </c>
      <c r="B1" s="3" t="s">
        <v>122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 t="s">
        <v>123</v>
      </c>
      <c r="C3" s="3" t="s">
        <v>136</v>
      </c>
      <c r="D3" s="3" t="s">
        <v>137</v>
      </c>
      <c r="E3" s="3" t="s">
        <v>138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</row>
    <row r="4" spans="1:12" x14ac:dyDescent="0.25">
      <c r="A4" s="14"/>
      <c r="B4" s="4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3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s="3" customFormat="1" x14ac:dyDescent="0.25">
      <c r="A6" s="21" t="s">
        <v>9</v>
      </c>
      <c r="B6" s="22">
        <v>2046.89</v>
      </c>
      <c r="C6" s="22">
        <f>B6*(1+Working!$G$4)</f>
        <v>2251.5790000000002</v>
      </c>
      <c r="D6" s="22">
        <f>C6*(1+Working!$G$4)</f>
        <v>2476.7369000000003</v>
      </c>
      <c r="E6" s="22">
        <f>D6*(1+Working!$G$4)</f>
        <v>2724.4105900000004</v>
      </c>
      <c r="F6" s="22">
        <f>E6*(1+Working!$G$4)</f>
        <v>2996.8516490000006</v>
      </c>
      <c r="G6" s="22">
        <f>F6*(1+Working!$G$4)</f>
        <v>3296.5368139000011</v>
      </c>
      <c r="H6" s="22">
        <f>G6*(1+Working!$G$4)</f>
        <v>3626.1904952900013</v>
      </c>
      <c r="I6" s="22">
        <f>H6*(1+Working!$G$4)</f>
        <v>3988.809544819002</v>
      </c>
      <c r="J6" s="22">
        <f>I6*(1+Working!$G$4)</f>
        <v>4387.690499300903</v>
      </c>
      <c r="K6" s="22">
        <f>J6*(1+Working!$G$4)</f>
        <v>4826.4595492309936</v>
      </c>
      <c r="L6" s="22">
        <f>K6*(1+Working!$G$4)</f>
        <v>5309.1055041540931</v>
      </c>
    </row>
    <row r="7" spans="1:12" x14ac:dyDescent="0.25">
      <c r="A7" s="14" t="s">
        <v>10</v>
      </c>
      <c r="B7" s="23">
        <v>28.77</v>
      </c>
      <c r="C7" s="23">
        <v>25</v>
      </c>
      <c r="D7" s="23">
        <v>25</v>
      </c>
      <c r="E7" s="23">
        <v>25</v>
      </c>
      <c r="F7" s="23">
        <v>25</v>
      </c>
      <c r="G7" s="23">
        <v>25</v>
      </c>
      <c r="H7" s="23">
        <v>25</v>
      </c>
      <c r="I7" s="23">
        <v>25</v>
      </c>
      <c r="J7" s="23">
        <v>25</v>
      </c>
      <c r="K7" s="23">
        <v>25</v>
      </c>
      <c r="L7" s="23">
        <v>25</v>
      </c>
    </row>
    <row r="8" spans="1:12" s="3" customFormat="1" x14ac:dyDescent="0.25">
      <c r="A8" s="24" t="s">
        <v>11</v>
      </c>
      <c r="B8" s="25">
        <v>2075.66</v>
      </c>
      <c r="C8" s="25">
        <f>SUM(C6:C7)</f>
        <v>2276.5790000000002</v>
      </c>
      <c r="D8" s="25">
        <f t="shared" ref="D8:L8" si="0">SUM(D6:D7)</f>
        <v>2501.7369000000003</v>
      </c>
      <c r="E8" s="25">
        <f t="shared" si="0"/>
        <v>2749.4105900000004</v>
      </c>
      <c r="F8" s="25">
        <f t="shared" si="0"/>
        <v>3021.8516490000006</v>
      </c>
      <c r="G8" s="25">
        <f t="shared" si="0"/>
        <v>3321.5368139000011</v>
      </c>
      <c r="H8" s="25">
        <f t="shared" si="0"/>
        <v>3651.1904952900013</v>
      </c>
      <c r="I8" s="25">
        <f t="shared" si="0"/>
        <v>4013.809544819002</v>
      </c>
      <c r="J8" s="25">
        <f t="shared" si="0"/>
        <v>4412.690499300903</v>
      </c>
      <c r="K8" s="25">
        <f t="shared" si="0"/>
        <v>4851.4595492309936</v>
      </c>
      <c r="L8" s="25">
        <f t="shared" si="0"/>
        <v>5334.1055041540931</v>
      </c>
    </row>
    <row r="9" spans="1:12" x14ac:dyDescent="0.25">
      <c r="A9" s="3" t="s">
        <v>12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14" t="s">
        <v>20</v>
      </c>
      <c r="B10" s="23">
        <f>1970.5-B12-B14</f>
        <v>1828.74</v>
      </c>
      <c r="C10" s="23">
        <f>C8*Working!$G$5</f>
        <v>2048.9211</v>
      </c>
      <c r="D10" s="23">
        <f>D8*Working!$G$5</f>
        <v>2251.5632100000003</v>
      </c>
      <c r="E10" s="23">
        <f>E8*Working!$G$5</f>
        <v>2474.4695310000006</v>
      </c>
      <c r="F10" s="23">
        <f>F8*Working!$G$5</f>
        <v>2719.6664841000006</v>
      </c>
      <c r="G10" s="23">
        <f>G8*Working!$G$5</f>
        <v>2989.3831325100009</v>
      </c>
      <c r="H10" s="23">
        <f>H8*Working!$G$5</f>
        <v>3286.0714457610011</v>
      </c>
      <c r="I10" s="23">
        <f>I8*Working!$G$5</f>
        <v>3612.4285903371019</v>
      </c>
      <c r="J10" s="23">
        <f>J8*Working!$G$5</f>
        <v>3971.4214493708128</v>
      </c>
      <c r="K10" s="23">
        <f>K8*Working!$G$5</f>
        <v>4366.3135943078942</v>
      </c>
      <c r="L10" s="23">
        <f>L8*Working!$G$5</f>
        <v>4800.6949537386836</v>
      </c>
    </row>
    <row r="11" spans="1:12" x14ac:dyDescent="0.25">
      <c r="A11" s="3" t="s">
        <v>148</v>
      </c>
      <c r="B11" s="23">
        <f>B13+B12</f>
        <v>246.92000000000002</v>
      </c>
      <c r="C11" s="23">
        <f>C8-C10</f>
        <v>227.65790000000015</v>
      </c>
      <c r="D11" s="23">
        <f t="shared" ref="D11:L11" si="1">D8-D10</f>
        <v>250.17369000000008</v>
      </c>
      <c r="E11" s="23">
        <f t="shared" si="1"/>
        <v>274.94105899999977</v>
      </c>
      <c r="F11" s="23">
        <f t="shared" si="1"/>
        <v>302.18516490000002</v>
      </c>
      <c r="G11" s="23">
        <f t="shared" si="1"/>
        <v>332.1536813900002</v>
      </c>
      <c r="H11" s="23">
        <f t="shared" si="1"/>
        <v>365.11904952900022</v>
      </c>
      <c r="I11" s="23">
        <f t="shared" si="1"/>
        <v>401.38095448190006</v>
      </c>
      <c r="J11" s="23">
        <f t="shared" si="1"/>
        <v>441.2690499300902</v>
      </c>
      <c r="K11" s="23">
        <f t="shared" si="1"/>
        <v>485.14595492309945</v>
      </c>
      <c r="L11" s="23">
        <f t="shared" si="1"/>
        <v>533.41055041540949</v>
      </c>
    </row>
    <row r="12" spans="1:12" x14ac:dyDescent="0.25">
      <c r="A12" s="14" t="s">
        <v>18</v>
      </c>
      <c r="B12" s="23">
        <v>101.61</v>
      </c>
      <c r="C12" s="23">
        <f>B12*(1+Working!$G$17)</f>
        <v>111.77100000000002</v>
      </c>
      <c r="D12" s="23">
        <f>C12*(1+Working!$G$17)</f>
        <v>122.94810000000003</v>
      </c>
      <c r="E12" s="23">
        <f>D12*(1+Working!$G$17)</f>
        <v>135.24291000000005</v>
      </c>
      <c r="F12" s="23">
        <f>E12*(1+Working!$G$17)</f>
        <v>148.76720100000006</v>
      </c>
      <c r="G12" s="23">
        <f>F12*(1+Working!$G$17)</f>
        <v>163.64392110000009</v>
      </c>
      <c r="H12" s="23">
        <f>G12*(1+Working!$G$17)</f>
        <v>180.0083132100001</v>
      </c>
      <c r="I12" s="23">
        <f>H12*(1+Working!$G$17)</f>
        <v>198.00914453100012</v>
      </c>
      <c r="J12" s="23">
        <f>I12*(1+Working!$G$17)</f>
        <v>217.81005898410015</v>
      </c>
      <c r="K12" s="23">
        <f>J12*(1+Working!$G$17)</f>
        <v>239.59106488251018</v>
      </c>
      <c r="L12" s="23">
        <f>K12*(1+Working!$G$17)</f>
        <v>263.55017137076123</v>
      </c>
    </row>
    <row r="13" spans="1:12" x14ac:dyDescent="0.25">
      <c r="A13" s="3" t="s">
        <v>149</v>
      </c>
      <c r="B13" s="23">
        <f>B15+B14</f>
        <v>145.31</v>
      </c>
      <c r="C13" s="23">
        <f>C11-C12</f>
        <v>115.88690000000014</v>
      </c>
      <c r="D13" s="23">
        <f t="shared" ref="D13:L13" si="2">D11-D12</f>
        <v>127.22559000000005</v>
      </c>
      <c r="E13" s="23">
        <f t="shared" si="2"/>
        <v>139.69814899999972</v>
      </c>
      <c r="F13" s="23">
        <f t="shared" si="2"/>
        <v>153.41796389999996</v>
      </c>
      <c r="G13" s="23">
        <f t="shared" si="2"/>
        <v>168.50976029000012</v>
      </c>
      <c r="H13" s="23">
        <f t="shared" si="2"/>
        <v>185.11073631900013</v>
      </c>
      <c r="I13" s="23">
        <f t="shared" si="2"/>
        <v>203.37180995089994</v>
      </c>
      <c r="J13" s="23">
        <f t="shared" si="2"/>
        <v>223.45899094599005</v>
      </c>
      <c r="K13" s="23">
        <f t="shared" si="2"/>
        <v>245.55489004058927</v>
      </c>
      <c r="L13" s="23">
        <f t="shared" si="2"/>
        <v>269.86037904464825</v>
      </c>
    </row>
    <row r="14" spans="1:12" x14ac:dyDescent="0.25">
      <c r="A14" s="14" t="s">
        <v>17</v>
      </c>
      <c r="B14" s="23">
        <v>40.15</v>
      </c>
      <c r="C14" s="23">
        <f>'Debt Forecast'!C8</f>
        <v>20.769600000000001</v>
      </c>
      <c r="D14" s="23">
        <f>'Debt Forecast'!D8</f>
        <v>21.169599999999999</v>
      </c>
      <c r="E14" s="23">
        <f>'Debt Forecast'!E8</f>
        <v>21.569600000000001</v>
      </c>
      <c r="F14" s="23">
        <f>'Debt Forecast'!F8</f>
        <v>21.9696</v>
      </c>
      <c r="G14" s="23">
        <f>'Debt Forecast'!G8</f>
        <v>22.369600000000002</v>
      </c>
      <c r="H14" s="23">
        <f>'Debt Forecast'!H8</f>
        <v>22.769600000000001</v>
      </c>
      <c r="I14" s="23">
        <f>'Debt Forecast'!I8</f>
        <v>23.169599999999999</v>
      </c>
      <c r="J14" s="23">
        <f>'Debt Forecast'!J8</f>
        <v>23.569600000000001</v>
      </c>
      <c r="K14" s="23">
        <f>'Debt Forecast'!K8</f>
        <v>23.9696</v>
      </c>
      <c r="L14" s="23">
        <f>'Debt Forecast'!L8</f>
        <v>24.369600000000002</v>
      </c>
    </row>
    <row r="15" spans="1:12" s="3" customFormat="1" x14ac:dyDescent="0.25">
      <c r="A15" s="3" t="s">
        <v>147</v>
      </c>
      <c r="B15" s="23">
        <v>105.16</v>
      </c>
      <c r="C15" s="23">
        <f>C13-C14</f>
        <v>95.117300000000142</v>
      </c>
      <c r="D15" s="23">
        <f t="shared" ref="D15:L15" si="3">D13-D14</f>
        <v>106.05599000000005</v>
      </c>
      <c r="E15" s="23">
        <f t="shared" si="3"/>
        <v>118.12854899999971</v>
      </c>
      <c r="F15" s="23">
        <f t="shared" si="3"/>
        <v>131.44836389999995</v>
      </c>
      <c r="G15" s="23">
        <f t="shared" si="3"/>
        <v>146.14016029000013</v>
      </c>
      <c r="H15" s="23">
        <f t="shared" si="3"/>
        <v>162.34113631900013</v>
      </c>
      <c r="I15" s="23">
        <f t="shared" si="3"/>
        <v>180.20220995089994</v>
      </c>
      <c r="J15" s="23">
        <f t="shared" si="3"/>
        <v>199.88939094599004</v>
      </c>
      <c r="K15" s="23">
        <f t="shared" si="3"/>
        <v>221.58529004058926</v>
      </c>
      <c r="L15" s="23">
        <f t="shared" si="3"/>
        <v>245.49077904464826</v>
      </c>
    </row>
    <row r="16" spans="1:12" x14ac:dyDescent="0.25">
      <c r="A16" s="14" t="s">
        <v>28</v>
      </c>
      <c r="B16" s="23">
        <v>35.33</v>
      </c>
      <c r="C16" s="23">
        <f t="shared" ref="C16:L16" si="4">taxe*C15</f>
        <v>28.535190000000043</v>
      </c>
      <c r="D16" s="23">
        <f t="shared" si="4"/>
        <v>31.816797000000015</v>
      </c>
      <c r="E16" s="23">
        <f t="shared" si="4"/>
        <v>35.438564699999908</v>
      </c>
      <c r="F16" s="23">
        <f t="shared" si="4"/>
        <v>39.434509169999984</v>
      </c>
      <c r="G16" s="23">
        <f t="shared" si="4"/>
        <v>43.842048087000038</v>
      </c>
      <c r="H16" s="23">
        <f t="shared" si="4"/>
        <v>48.70234089570004</v>
      </c>
      <c r="I16" s="23">
        <f t="shared" si="4"/>
        <v>54.060662985269978</v>
      </c>
      <c r="J16" s="23">
        <f t="shared" si="4"/>
        <v>59.966817283797013</v>
      </c>
      <c r="K16" s="23">
        <f t="shared" si="4"/>
        <v>66.475587012176774</v>
      </c>
      <c r="L16" s="23">
        <f t="shared" si="4"/>
        <v>73.647233713394471</v>
      </c>
    </row>
    <row r="17" spans="1:13" x14ac:dyDescent="0.25">
      <c r="A17" s="3" t="s">
        <v>146</v>
      </c>
      <c r="B17" s="23">
        <v>69.83</v>
      </c>
      <c r="C17" s="23">
        <f>C15-C16</f>
        <v>66.5821100000001</v>
      </c>
      <c r="D17" s="23">
        <f t="shared" ref="D17:L17" si="5">D15-D16</f>
        <v>74.239193000000029</v>
      </c>
      <c r="E17" s="23">
        <f t="shared" si="5"/>
        <v>82.689984299999793</v>
      </c>
      <c r="F17" s="23">
        <f t="shared" si="5"/>
        <v>92.013854729999963</v>
      </c>
      <c r="G17" s="23">
        <f t="shared" si="5"/>
        <v>102.29811220300009</v>
      </c>
      <c r="H17" s="23">
        <f t="shared" si="5"/>
        <v>113.63879542330008</v>
      </c>
      <c r="I17" s="23">
        <f t="shared" si="5"/>
        <v>126.14154696562997</v>
      </c>
      <c r="J17" s="23">
        <f t="shared" si="5"/>
        <v>139.92257366219303</v>
      </c>
      <c r="K17" s="23">
        <f t="shared" si="5"/>
        <v>155.10970302841247</v>
      </c>
      <c r="L17" s="23">
        <f t="shared" si="5"/>
        <v>171.84354533125378</v>
      </c>
    </row>
    <row r="18" spans="1:13" x14ac:dyDescent="0.25">
      <c r="A18" s="3"/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3" t="s">
        <v>40</v>
      </c>
    </row>
    <row r="20" spans="1:13" x14ac:dyDescent="0.25">
      <c r="A20" t="s">
        <v>41</v>
      </c>
      <c r="B20">
        <v>7.28</v>
      </c>
      <c r="C20" s="12">
        <f>Working!$G$7*'PnL Forecast'!C17</f>
        <v>3.3291055000000052</v>
      </c>
      <c r="D20" s="12">
        <f>Working!$G$7*'PnL Forecast'!D17</f>
        <v>3.7119596500000016</v>
      </c>
      <c r="E20" s="12">
        <f>Working!$G$7*'PnL Forecast'!E17</f>
        <v>4.1344992149999902</v>
      </c>
      <c r="F20" s="12">
        <f>Working!$G$7*'PnL Forecast'!F17</f>
        <v>4.6006927364999983</v>
      </c>
      <c r="G20" s="12">
        <f>Working!$G$7*'PnL Forecast'!G17</f>
        <v>5.1149056101500046</v>
      </c>
      <c r="H20" s="12">
        <f>Working!$G$7*'PnL Forecast'!H17</f>
        <v>5.6819397711650046</v>
      </c>
      <c r="I20" s="12">
        <f>Working!$G$7*'PnL Forecast'!I17</f>
        <v>6.3070773482814992</v>
      </c>
      <c r="J20" s="12">
        <f>Working!$G$7*'PnL Forecast'!J17</f>
        <v>6.9961286831096521</v>
      </c>
      <c r="K20" s="12">
        <f>Working!$G$7*'PnL Forecast'!K17</f>
        <v>7.7554851514206238</v>
      </c>
      <c r="L20" s="12">
        <f>Working!$G$7*'PnL Forecast'!L17</f>
        <v>8.5921772665626897</v>
      </c>
      <c r="M20" s="12"/>
    </row>
    <row r="21" spans="1:13" x14ac:dyDescent="0.25">
      <c r="A21" t="s">
        <v>42</v>
      </c>
      <c r="B21">
        <v>50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t="s">
        <v>150</v>
      </c>
      <c r="B23">
        <f>B17-B20</f>
        <v>62.55</v>
      </c>
      <c r="C23" s="12">
        <f t="shared" ref="C23:L23" si="6">C17-C20</f>
        <v>63.253004500000095</v>
      </c>
      <c r="D23" s="12">
        <f t="shared" si="6"/>
        <v>70.527233350000031</v>
      </c>
      <c r="E23" s="12">
        <f t="shared" si="6"/>
        <v>78.555485084999802</v>
      </c>
      <c r="F23" s="12">
        <f t="shared" si="6"/>
        <v>87.413161993499969</v>
      </c>
      <c r="G23" s="12">
        <f t="shared" si="6"/>
        <v>97.183206592850084</v>
      </c>
      <c r="H23" s="12">
        <f t="shared" si="6"/>
        <v>107.95685565213508</v>
      </c>
      <c r="I23" s="12">
        <f t="shared" si="6"/>
        <v>119.83446961734847</v>
      </c>
      <c r="J23" s="12">
        <f t="shared" si="6"/>
        <v>132.92644497908339</v>
      </c>
      <c r="K23" s="12">
        <f t="shared" si="6"/>
        <v>147.35421787699184</v>
      </c>
      <c r="L23" s="12">
        <f t="shared" si="6"/>
        <v>163.25136806469109</v>
      </c>
      <c r="M2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"/>
  <sheetViews>
    <sheetView workbookViewId="0">
      <selection activeCell="A26" sqref="A26"/>
    </sheetView>
  </sheetViews>
  <sheetFormatPr defaultRowHeight="15" x14ac:dyDescent="0.25"/>
  <cols>
    <col min="1" max="1" width="20" bestFit="1" customWidth="1"/>
  </cols>
  <sheetData>
    <row r="2" spans="1:21" x14ac:dyDescent="0.25">
      <c r="A2" t="s">
        <v>151</v>
      </c>
      <c r="B2" s="5">
        <v>43160</v>
      </c>
      <c r="C2" s="5">
        <v>43525</v>
      </c>
      <c r="D2" s="5">
        <v>43891</v>
      </c>
      <c r="E2" s="5">
        <v>44256</v>
      </c>
      <c r="F2" s="5">
        <v>44621</v>
      </c>
      <c r="G2" s="5">
        <v>44986</v>
      </c>
      <c r="H2" s="5">
        <v>45352</v>
      </c>
      <c r="I2" s="5">
        <v>45717</v>
      </c>
      <c r="J2" s="5">
        <v>46082</v>
      </c>
      <c r="K2" s="5">
        <v>46447</v>
      </c>
      <c r="L2" s="5">
        <v>46813</v>
      </c>
      <c r="M2" s="2"/>
      <c r="N2" s="2"/>
      <c r="O2" s="2"/>
      <c r="P2" s="2"/>
      <c r="Q2" s="2"/>
      <c r="R2" s="2"/>
      <c r="S2" s="2"/>
      <c r="T2" s="2"/>
      <c r="U2" s="2"/>
    </row>
    <row r="4" spans="1:21" x14ac:dyDescent="0.25">
      <c r="A4" t="s">
        <v>124</v>
      </c>
      <c r="C4">
        <f>B6</f>
        <v>257.12</v>
      </c>
      <c r="D4">
        <f t="shared" ref="D4:L4" si="0">C6</f>
        <v>262.12</v>
      </c>
      <c r="E4">
        <f t="shared" si="0"/>
        <v>267.12</v>
      </c>
      <c r="F4">
        <f t="shared" si="0"/>
        <v>272.12</v>
      </c>
      <c r="G4">
        <f t="shared" si="0"/>
        <v>277.12</v>
      </c>
      <c r="H4">
        <f t="shared" si="0"/>
        <v>282.12</v>
      </c>
      <c r="I4">
        <f t="shared" si="0"/>
        <v>287.12</v>
      </c>
      <c r="J4">
        <f t="shared" si="0"/>
        <v>292.12</v>
      </c>
      <c r="K4">
        <f t="shared" si="0"/>
        <v>297.12</v>
      </c>
      <c r="L4">
        <f t="shared" si="0"/>
        <v>302.12</v>
      </c>
    </row>
    <row r="5" spans="1:21" x14ac:dyDescent="0.25">
      <c r="A5" t="s">
        <v>125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21" x14ac:dyDescent="0.25">
      <c r="A6" t="s">
        <v>126</v>
      </c>
      <c r="B6">
        <f>'Balance Sheet Forecast'!B10</f>
        <v>257.12</v>
      </c>
      <c r="C6">
        <f>SUM(C4:C5)</f>
        <v>262.12</v>
      </c>
      <c r="D6">
        <f t="shared" ref="D6:L6" si="1">SUM(D4:D5)</f>
        <v>267.12</v>
      </c>
      <c r="E6">
        <f t="shared" si="1"/>
        <v>272.12</v>
      </c>
      <c r="F6">
        <f t="shared" si="1"/>
        <v>277.12</v>
      </c>
      <c r="G6">
        <f t="shared" si="1"/>
        <v>282.12</v>
      </c>
      <c r="H6">
        <f t="shared" si="1"/>
        <v>287.12</v>
      </c>
      <c r="I6">
        <f t="shared" si="1"/>
        <v>292.12</v>
      </c>
      <c r="J6">
        <f t="shared" si="1"/>
        <v>297.12</v>
      </c>
      <c r="K6">
        <f t="shared" si="1"/>
        <v>302.12</v>
      </c>
      <c r="L6">
        <f t="shared" si="1"/>
        <v>307.12</v>
      </c>
    </row>
    <row r="8" spans="1:21" x14ac:dyDescent="0.25">
      <c r="A8" t="s">
        <v>127</v>
      </c>
      <c r="C8">
        <f t="shared" ref="C8:L8" si="2">kd*AVERAGE(C4,C6)</f>
        <v>20.769600000000001</v>
      </c>
      <c r="D8">
        <f t="shared" si="2"/>
        <v>21.169599999999999</v>
      </c>
      <c r="E8">
        <f t="shared" si="2"/>
        <v>21.569600000000001</v>
      </c>
      <c r="F8">
        <f t="shared" si="2"/>
        <v>21.9696</v>
      </c>
      <c r="G8">
        <f t="shared" si="2"/>
        <v>22.369600000000002</v>
      </c>
      <c r="H8">
        <f t="shared" si="2"/>
        <v>22.769600000000001</v>
      </c>
      <c r="I8">
        <f t="shared" si="2"/>
        <v>23.169599999999999</v>
      </c>
      <c r="J8">
        <f t="shared" si="2"/>
        <v>23.569600000000001</v>
      </c>
      <c r="K8">
        <f t="shared" si="2"/>
        <v>23.9696</v>
      </c>
      <c r="L8">
        <f t="shared" si="2"/>
        <v>24.369600000000002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"/>
  <sheetViews>
    <sheetView workbookViewId="0">
      <selection activeCell="M6" sqref="M6"/>
    </sheetView>
  </sheetViews>
  <sheetFormatPr defaultRowHeight="15" x14ac:dyDescent="0.25"/>
  <cols>
    <col min="1" max="1" width="13.42578125" bestFit="1" customWidth="1"/>
  </cols>
  <sheetData>
    <row r="2" spans="1:21" x14ac:dyDescent="0.25">
      <c r="B2" s="5">
        <v>43160</v>
      </c>
      <c r="C2" s="5">
        <v>43525</v>
      </c>
      <c r="D2" s="5">
        <v>43891</v>
      </c>
      <c r="E2" s="5">
        <v>44256</v>
      </c>
      <c r="F2" s="5">
        <v>44621</v>
      </c>
      <c r="G2" s="5">
        <v>44986</v>
      </c>
      <c r="H2" s="5">
        <v>45352</v>
      </c>
      <c r="I2" s="5">
        <v>45717</v>
      </c>
      <c r="J2" s="5">
        <v>46082</v>
      </c>
      <c r="K2" s="5">
        <v>46447</v>
      </c>
      <c r="L2" s="5">
        <v>46813</v>
      </c>
      <c r="M2" s="2"/>
      <c r="N2" s="2"/>
      <c r="O2" s="2"/>
      <c r="P2" s="2"/>
      <c r="Q2" s="2"/>
      <c r="R2" s="2"/>
      <c r="S2" s="2"/>
      <c r="T2" s="2"/>
      <c r="U2" s="2"/>
    </row>
    <row r="4" spans="1:21" x14ac:dyDescent="0.25">
      <c r="A4" t="s">
        <v>135</v>
      </c>
      <c r="C4" s="1">
        <f>B6</f>
        <v>823.28</v>
      </c>
      <c r="D4" s="1">
        <f t="shared" ref="D4:L4" si="0">C6</f>
        <v>843.28</v>
      </c>
      <c r="E4" s="1">
        <f t="shared" si="0"/>
        <v>863.28</v>
      </c>
      <c r="F4" s="1">
        <f t="shared" si="0"/>
        <v>883.28</v>
      </c>
      <c r="G4" s="1">
        <f t="shared" si="0"/>
        <v>903.28</v>
      </c>
      <c r="H4" s="1">
        <f t="shared" si="0"/>
        <v>923.28</v>
      </c>
      <c r="I4" s="1">
        <f t="shared" si="0"/>
        <v>943.28</v>
      </c>
      <c r="J4" s="1">
        <f t="shared" si="0"/>
        <v>963.28</v>
      </c>
      <c r="K4" s="1">
        <f t="shared" si="0"/>
        <v>983.28</v>
      </c>
      <c r="L4" s="1">
        <f t="shared" si="0"/>
        <v>1003.28</v>
      </c>
    </row>
    <row r="5" spans="1:21" x14ac:dyDescent="0.25">
      <c r="A5" t="s">
        <v>132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</row>
    <row r="6" spans="1:21" x14ac:dyDescent="0.25">
      <c r="A6" t="s">
        <v>133</v>
      </c>
      <c r="B6" s="1">
        <f>'Balance Sheet'!B33</f>
        <v>823.28</v>
      </c>
      <c r="C6" s="1">
        <f>SUM(C4:C5)</f>
        <v>843.28</v>
      </c>
      <c r="D6" s="1">
        <f t="shared" ref="D6:L6" si="1">SUM(D4:D5)</f>
        <v>863.28</v>
      </c>
      <c r="E6" s="1">
        <f t="shared" si="1"/>
        <v>883.28</v>
      </c>
      <c r="F6" s="1">
        <f t="shared" si="1"/>
        <v>903.28</v>
      </c>
      <c r="G6" s="1">
        <f t="shared" si="1"/>
        <v>923.28</v>
      </c>
      <c r="H6" s="1">
        <f t="shared" si="1"/>
        <v>943.28</v>
      </c>
      <c r="I6" s="1">
        <f t="shared" si="1"/>
        <v>963.28</v>
      </c>
      <c r="J6" s="1">
        <f t="shared" si="1"/>
        <v>983.28</v>
      </c>
      <c r="K6" s="1">
        <f t="shared" si="1"/>
        <v>1003.28</v>
      </c>
      <c r="L6" s="1">
        <f t="shared" si="1"/>
        <v>1023.28</v>
      </c>
    </row>
    <row r="8" spans="1:21" x14ac:dyDescent="0.25">
      <c r="A8" t="s">
        <v>134</v>
      </c>
      <c r="C8">
        <f>Working!$G$17*(AVERAGE(C4,C6))</f>
        <v>83.328000000000003</v>
      </c>
      <c r="D8">
        <f>Working!$G$17*(AVERAGE(D4,D6))</f>
        <v>85.328000000000003</v>
      </c>
      <c r="E8">
        <f>Working!$G$17*(AVERAGE(E4,E6))</f>
        <v>87.328000000000003</v>
      </c>
      <c r="F8">
        <f>Working!$G$17*(AVERAGE(F4,F6))</f>
        <v>89.328000000000003</v>
      </c>
      <c r="G8">
        <f>Working!$G$17*(AVERAGE(G4,G6))</f>
        <v>91.328000000000003</v>
      </c>
      <c r="H8">
        <f>Working!$G$17*(AVERAGE(H4,H6))</f>
        <v>93.328000000000003</v>
      </c>
      <c r="I8">
        <f>Working!$G$17*(AVERAGE(I4,I6))</f>
        <v>95.328000000000003</v>
      </c>
      <c r="J8">
        <f>Working!$G$17*(AVERAGE(J4,J6))</f>
        <v>97.328000000000003</v>
      </c>
      <c r="K8">
        <f>Working!$G$17*(AVERAGE(K4,K6))</f>
        <v>99.328000000000003</v>
      </c>
      <c r="L8">
        <f>Working!$G$17*(AVERAGE(L4,L6))</f>
        <v>101.328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5" workbookViewId="0">
      <selection activeCell="G45" sqref="G45"/>
    </sheetView>
  </sheetViews>
  <sheetFormatPr defaultColWidth="13.42578125" defaultRowHeight="15" x14ac:dyDescent="0.25"/>
  <cols>
    <col min="1" max="1" width="33.85546875" customWidth="1"/>
  </cols>
  <sheetData>
    <row r="1" spans="1:21" x14ac:dyDescent="0.25">
      <c r="A1" s="3" t="s">
        <v>44</v>
      </c>
      <c r="B1" s="3"/>
    </row>
    <row r="2" spans="1:21" x14ac:dyDescent="0.25">
      <c r="B2" s="3" t="s">
        <v>1</v>
      </c>
    </row>
    <row r="3" spans="1:21" x14ac:dyDescent="0.25">
      <c r="B3" s="5">
        <v>43160</v>
      </c>
      <c r="C3" s="5">
        <v>43525</v>
      </c>
      <c r="D3" s="5">
        <v>43891</v>
      </c>
      <c r="E3" s="5">
        <v>44256</v>
      </c>
      <c r="F3" s="5">
        <v>44621</v>
      </c>
      <c r="G3" s="5">
        <v>44986</v>
      </c>
      <c r="H3" s="5">
        <v>45352</v>
      </c>
      <c r="I3" s="5">
        <v>45717</v>
      </c>
      <c r="J3" s="5">
        <v>46082</v>
      </c>
      <c r="K3" s="5">
        <v>46447</v>
      </c>
      <c r="L3" s="5">
        <v>46813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t="s">
        <v>2</v>
      </c>
    </row>
    <row r="5" spans="1:21" x14ac:dyDescent="0.25">
      <c r="A5" s="9" t="s">
        <v>45</v>
      </c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21" x14ac:dyDescent="0.25">
      <c r="A6" s="3" t="s">
        <v>46</v>
      </c>
    </row>
    <row r="7" spans="1:21" x14ac:dyDescent="0.25">
      <c r="A7" t="s">
        <v>49</v>
      </c>
      <c r="B7" s="1">
        <v>13.48</v>
      </c>
      <c r="C7" s="1">
        <v>13.48</v>
      </c>
      <c r="D7" s="1">
        <v>13.48</v>
      </c>
      <c r="E7" s="1">
        <v>13.48</v>
      </c>
      <c r="F7" s="1">
        <v>13.48</v>
      </c>
      <c r="G7" s="1">
        <v>13.48</v>
      </c>
      <c r="H7" s="1">
        <v>13.48</v>
      </c>
      <c r="I7" s="1">
        <v>13.48</v>
      </c>
      <c r="J7" s="1">
        <v>13.48</v>
      </c>
      <c r="K7" s="1">
        <v>13.48</v>
      </c>
      <c r="L7" s="1">
        <v>13.48</v>
      </c>
    </row>
    <row r="8" spans="1:21" x14ac:dyDescent="0.25">
      <c r="A8" s="14" t="s">
        <v>50</v>
      </c>
      <c r="B8" s="15">
        <v>998.07</v>
      </c>
      <c r="C8" s="1">
        <f>B8+'PnL Forecast'!C23</f>
        <v>1061.3230045000003</v>
      </c>
      <c r="D8" s="1">
        <f>C8+'PnL Forecast'!D23</f>
        <v>1131.8502378500002</v>
      </c>
      <c r="E8" s="1">
        <f>D8+'PnL Forecast'!E23</f>
        <v>1210.4057229350001</v>
      </c>
      <c r="F8" s="1">
        <f>E8+'PnL Forecast'!F23</f>
        <v>1297.8188849285</v>
      </c>
      <c r="G8" s="1">
        <f>F8+'PnL Forecast'!G23</f>
        <v>1395.0020915213502</v>
      </c>
      <c r="H8" s="1">
        <f>G8+'PnL Forecast'!H23</f>
        <v>1502.9589471734853</v>
      </c>
      <c r="I8" s="1">
        <f>H8+'PnL Forecast'!I23</f>
        <v>1622.7934167908338</v>
      </c>
      <c r="J8" s="1">
        <f>I8+'PnL Forecast'!J23</f>
        <v>1755.7198617699173</v>
      </c>
      <c r="K8" s="1">
        <f>J8+'PnL Forecast'!K23</f>
        <v>1903.0740796469092</v>
      </c>
      <c r="L8" s="1">
        <f>K8+'PnL Forecast'!L23</f>
        <v>2066.3254477116002</v>
      </c>
    </row>
    <row r="9" spans="1:21" x14ac:dyDescent="0.25">
      <c r="A9" s="14" t="s">
        <v>52</v>
      </c>
      <c r="B9" s="1">
        <f>B7+B8</f>
        <v>1011.5500000000001</v>
      </c>
      <c r="C9" s="1">
        <f t="shared" ref="C9:L9" si="0">C7+C8</f>
        <v>1074.8030045000003</v>
      </c>
      <c r="D9" s="1">
        <f t="shared" si="0"/>
        <v>1145.3302378500002</v>
      </c>
      <c r="E9" s="1">
        <f t="shared" si="0"/>
        <v>1223.8857229350001</v>
      </c>
      <c r="F9" s="1">
        <f t="shared" si="0"/>
        <v>1311.2988849285</v>
      </c>
      <c r="G9" s="1">
        <f t="shared" si="0"/>
        <v>1408.4820915213502</v>
      </c>
      <c r="H9" s="1">
        <f t="shared" si="0"/>
        <v>1516.4389471734853</v>
      </c>
      <c r="I9" s="1">
        <f t="shared" si="0"/>
        <v>1636.2734167908338</v>
      </c>
      <c r="J9" s="1">
        <f t="shared" si="0"/>
        <v>1769.1998617699173</v>
      </c>
      <c r="K9" s="1">
        <f t="shared" si="0"/>
        <v>1916.5540796469093</v>
      </c>
      <c r="L9" s="1">
        <f t="shared" si="0"/>
        <v>2079.8054477116002</v>
      </c>
    </row>
    <row r="10" spans="1:21" x14ac:dyDescent="0.25">
      <c r="A10" t="s">
        <v>58</v>
      </c>
      <c r="B10">
        <v>257.12</v>
      </c>
      <c r="C10">
        <f>'Debt Forecast'!C6</f>
        <v>262.12</v>
      </c>
      <c r="D10">
        <f>'Debt Forecast'!D6</f>
        <v>267.12</v>
      </c>
      <c r="E10">
        <f>'Debt Forecast'!E6</f>
        <v>272.12</v>
      </c>
      <c r="F10">
        <f>'Debt Forecast'!F6</f>
        <v>277.12</v>
      </c>
      <c r="G10">
        <f>'Debt Forecast'!G6</f>
        <v>282.12</v>
      </c>
      <c r="H10">
        <f>'Debt Forecast'!H6</f>
        <v>287.12</v>
      </c>
      <c r="I10">
        <f>'Debt Forecast'!I6</f>
        <v>292.12</v>
      </c>
      <c r="J10">
        <f>'Debt Forecast'!J6</f>
        <v>297.12</v>
      </c>
      <c r="K10">
        <f>'Debt Forecast'!K6</f>
        <v>302.12</v>
      </c>
      <c r="L10">
        <f>'Debt Forecast'!L6</f>
        <v>307.12</v>
      </c>
    </row>
    <row r="11" spans="1:21" x14ac:dyDescent="0.25">
      <c r="A11" s="9" t="s">
        <v>59</v>
      </c>
      <c r="B11" s="9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21" s="16" customFormat="1" x14ac:dyDescent="0.25">
      <c r="A12" s="19" t="s">
        <v>60</v>
      </c>
      <c r="B12" s="20">
        <v>172.43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</row>
    <row r="13" spans="1:21" x14ac:dyDescent="0.25">
      <c r="A13" s="14" t="s">
        <v>61</v>
      </c>
      <c r="B13" s="1">
        <v>324.33</v>
      </c>
      <c r="C13" s="1">
        <f>Working!$G$13*'PnL Forecast'!C10</f>
        <v>307.338165</v>
      </c>
      <c r="D13" s="1">
        <f>Working!$G$13*'PnL Forecast'!D10</f>
        <v>337.73448150000002</v>
      </c>
      <c r="E13" s="1">
        <f>Working!$G$13*'PnL Forecast'!E10</f>
        <v>371.17042965000007</v>
      </c>
      <c r="F13" s="1">
        <f>Working!$G$13*'PnL Forecast'!F10</f>
        <v>407.94997261500009</v>
      </c>
      <c r="G13" s="1">
        <f>Working!$G$13*'PnL Forecast'!G10</f>
        <v>448.4074698765001</v>
      </c>
      <c r="H13" s="1">
        <f>Working!$G$13*'PnL Forecast'!H10</f>
        <v>492.91071686415012</v>
      </c>
      <c r="I13" s="1">
        <f>Working!$G$13*'PnL Forecast'!I10</f>
        <v>541.86428855056522</v>
      </c>
      <c r="J13" s="1">
        <f>Working!$G$13*'PnL Forecast'!J10</f>
        <v>595.71321740562189</v>
      </c>
      <c r="K13" s="1">
        <f>Working!$G$13*'PnL Forecast'!K10</f>
        <v>654.94703914618412</v>
      </c>
      <c r="L13" s="1">
        <f>Working!$G$13*'PnL Forecast'!L10</f>
        <v>720.10424306080256</v>
      </c>
    </row>
    <row r="14" spans="1:21" x14ac:dyDescent="0.25">
      <c r="A14" s="14" t="s">
        <v>62</v>
      </c>
      <c r="B14">
        <v>175.19</v>
      </c>
      <c r="C14" s="1">
        <v>175.19</v>
      </c>
      <c r="D14" s="1">
        <v>175.19</v>
      </c>
      <c r="E14" s="1">
        <v>175.19</v>
      </c>
      <c r="F14" s="1">
        <v>175.19</v>
      </c>
      <c r="G14" s="1">
        <v>175.19</v>
      </c>
      <c r="H14" s="1">
        <v>175.19</v>
      </c>
      <c r="I14" s="1">
        <v>175.19</v>
      </c>
      <c r="J14" s="1">
        <v>175.19</v>
      </c>
      <c r="K14" s="1">
        <v>175.19</v>
      </c>
      <c r="L14" s="1">
        <v>175.19</v>
      </c>
    </row>
    <row r="15" spans="1:21" x14ac:dyDescent="0.25">
      <c r="A15" t="s">
        <v>63</v>
      </c>
      <c r="B15">
        <v>19.41</v>
      </c>
      <c r="C15" s="1">
        <v>19.41</v>
      </c>
      <c r="D15" s="1">
        <v>19.41</v>
      </c>
      <c r="E15" s="1">
        <v>19.41</v>
      </c>
      <c r="F15" s="1">
        <v>19.41</v>
      </c>
      <c r="G15" s="1">
        <v>19.41</v>
      </c>
      <c r="H15" s="1">
        <v>19.41</v>
      </c>
      <c r="I15" s="1">
        <v>19.41</v>
      </c>
      <c r="J15" s="1">
        <v>19.41</v>
      </c>
      <c r="K15" s="1">
        <v>19.41</v>
      </c>
      <c r="L15" s="1">
        <v>19.41</v>
      </c>
    </row>
    <row r="16" spans="1:21" x14ac:dyDescent="0.25">
      <c r="A16" t="s">
        <v>64</v>
      </c>
      <c r="B16">
        <v>691.36</v>
      </c>
      <c r="C16" s="1">
        <f>SUM(C12:C15)</f>
        <v>501.93816500000003</v>
      </c>
      <c r="D16" s="1">
        <f t="shared" ref="D16:L16" si="1">SUM(D12:D15)</f>
        <v>532.33448149999992</v>
      </c>
      <c r="E16" s="1">
        <f t="shared" si="1"/>
        <v>565.77042964999998</v>
      </c>
      <c r="F16" s="1">
        <f t="shared" si="1"/>
        <v>602.549972615</v>
      </c>
      <c r="G16" s="1">
        <f t="shared" si="1"/>
        <v>643.00746987650007</v>
      </c>
      <c r="H16" s="1">
        <f t="shared" si="1"/>
        <v>687.51071686415014</v>
      </c>
      <c r="I16" s="1">
        <f t="shared" si="1"/>
        <v>736.46428855056513</v>
      </c>
      <c r="J16" s="1">
        <f t="shared" si="1"/>
        <v>790.31321740562191</v>
      </c>
      <c r="K16" s="1">
        <f t="shared" si="1"/>
        <v>849.54703914618415</v>
      </c>
      <c r="L16" s="1">
        <f t="shared" si="1"/>
        <v>914.70424306080247</v>
      </c>
    </row>
    <row r="17" spans="1:12" x14ac:dyDescent="0.25">
      <c r="A17" t="s">
        <v>65</v>
      </c>
      <c r="B17" s="1">
        <v>1960.03</v>
      </c>
      <c r="C17" s="1">
        <f>C16+C10+C9</f>
        <v>1838.8611695000004</v>
      </c>
      <c r="D17" s="1">
        <f t="shared" ref="D17:L17" si="2">D16+D10+D9</f>
        <v>1944.7847193500002</v>
      </c>
      <c r="E17" s="1">
        <f t="shared" si="2"/>
        <v>2061.7761525850001</v>
      </c>
      <c r="F17" s="1">
        <f t="shared" si="2"/>
        <v>2190.9688575435002</v>
      </c>
      <c r="G17" s="1">
        <f t="shared" si="2"/>
        <v>2333.6095613978505</v>
      </c>
      <c r="H17" s="1">
        <f t="shared" si="2"/>
        <v>2491.0696640376354</v>
      </c>
      <c r="I17" s="1">
        <f t="shared" si="2"/>
        <v>2664.8577053413992</v>
      </c>
      <c r="J17" s="1">
        <f t="shared" si="2"/>
        <v>2856.633079175539</v>
      </c>
      <c r="K17" s="1">
        <f t="shared" si="2"/>
        <v>3068.2211187930934</v>
      </c>
      <c r="L17" s="1">
        <f t="shared" si="2"/>
        <v>3301.6296907724027</v>
      </c>
    </row>
    <row r="18" spans="1:12" x14ac:dyDescent="0.25">
      <c r="A18" s="9" t="s">
        <v>66</v>
      </c>
      <c r="B18" s="9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3" t="s">
        <v>67</v>
      </c>
    </row>
    <row r="20" spans="1:12" x14ac:dyDescent="0.25">
      <c r="A20" t="s">
        <v>73</v>
      </c>
      <c r="B20" s="1">
        <v>823.28</v>
      </c>
      <c r="C20" s="1">
        <f>'FA Forecast'!C6</f>
        <v>843.28</v>
      </c>
      <c r="D20" s="1">
        <f>'FA Forecast'!D6</f>
        <v>863.28</v>
      </c>
      <c r="E20" s="1">
        <f>'FA Forecast'!E6</f>
        <v>883.28</v>
      </c>
      <c r="F20" s="1">
        <f>'FA Forecast'!F6</f>
        <v>903.28</v>
      </c>
      <c r="G20" s="1">
        <f>'FA Forecast'!G6</f>
        <v>923.28</v>
      </c>
      <c r="H20" s="1">
        <f>'FA Forecast'!H6</f>
        <v>943.28</v>
      </c>
      <c r="I20" s="1">
        <f>'FA Forecast'!I6</f>
        <v>963.28</v>
      </c>
      <c r="J20" s="1">
        <f>'FA Forecast'!J6</f>
        <v>983.28</v>
      </c>
      <c r="K20" s="1">
        <f>'FA Forecast'!K6</f>
        <v>1003.28</v>
      </c>
      <c r="L20" s="1">
        <f>'FA Forecast'!L6</f>
        <v>1023.28</v>
      </c>
    </row>
    <row r="21" spans="1:12" x14ac:dyDescent="0.25">
      <c r="A21" t="s">
        <v>74</v>
      </c>
      <c r="B21">
        <v>464.72</v>
      </c>
      <c r="C21">
        <v>464.72</v>
      </c>
      <c r="D21">
        <v>464.72</v>
      </c>
      <c r="E21">
        <v>464.72</v>
      </c>
      <c r="F21">
        <v>464.72</v>
      </c>
      <c r="G21">
        <v>464.72</v>
      </c>
      <c r="H21">
        <v>464.72</v>
      </c>
      <c r="I21">
        <v>464.72</v>
      </c>
      <c r="J21">
        <v>464.72</v>
      </c>
      <c r="K21">
        <v>464.72</v>
      </c>
      <c r="L21">
        <v>464.72</v>
      </c>
    </row>
    <row r="22" spans="1:12" x14ac:dyDescent="0.25">
      <c r="A22" t="s">
        <v>75</v>
      </c>
      <c r="B22">
        <v>1.75</v>
      </c>
      <c r="C22">
        <v>1.75</v>
      </c>
      <c r="D22">
        <v>1.75</v>
      </c>
      <c r="E22">
        <v>1.75</v>
      </c>
      <c r="F22">
        <v>1.75</v>
      </c>
      <c r="G22">
        <v>1.75</v>
      </c>
      <c r="H22">
        <v>1.75</v>
      </c>
      <c r="I22">
        <v>1.75</v>
      </c>
      <c r="J22">
        <v>1.75</v>
      </c>
      <c r="K22">
        <v>1.75</v>
      </c>
      <c r="L22">
        <v>1.75</v>
      </c>
    </row>
    <row r="23" spans="1:12" x14ac:dyDescent="0.25">
      <c r="A23" t="s">
        <v>76</v>
      </c>
      <c r="B23">
        <v>35.29</v>
      </c>
      <c r="C23">
        <v>35.29</v>
      </c>
      <c r="D23">
        <v>35.29</v>
      </c>
      <c r="E23">
        <v>35.29</v>
      </c>
      <c r="F23">
        <v>35.29</v>
      </c>
      <c r="G23">
        <v>35.29</v>
      </c>
      <c r="H23">
        <v>35.29</v>
      </c>
      <c r="I23">
        <v>35.29</v>
      </c>
      <c r="J23">
        <v>35.29</v>
      </c>
      <c r="K23">
        <v>35.29</v>
      </c>
      <c r="L23">
        <v>35.29</v>
      </c>
    </row>
    <row r="24" spans="1:12" x14ac:dyDescent="0.25">
      <c r="A24" s="14" t="s">
        <v>77</v>
      </c>
      <c r="B24" s="15">
        <v>1325.04</v>
      </c>
      <c r="C24" s="1">
        <f>SUM(C20:C23)</f>
        <v>1345.04</v>
      </c>
      <c r="D24" s="1">
        <f t="shared" ref="D24:L24" si="3">SUM(D20:D23)</f>
        <v>1365.04</v>
      </c>
      <c r="E24" s="1">
        <f t="shared" si="3"/>
        <v>1385.04</v>
      </c>
      <c r="F24" s="1">
        <f t="shared" si="3"/>
        <v>1405.04</v>
      </c>
      <c r="G24" s="1">
        <f t="shared" si="3"/>
        <v>1425.04</v>
      </c>
      <c r="H24" s="1">
        <f t="shared" si="3"/>
        <v>1445.04</v>
      </c>
      <c r="I24" s="1">
        <f t="shared" si="3"/>
        <v>1465.04</v>
      </c>
      <c r="J24" s="1">
        <f t="shared" si="3"/>
        <v>1485.04</v>
      </c>
      <c r="K24" s="1">
        <f t="shared" si="3"/>
        <v>1505.04</v>
      </c>
      <c r="L24" s="1">
        <f t="shared" si="3"/>
        <v>1525.04</v>
      </c>
    </row>
    <row r="25" spans="1:12" x14ac:dyDescent="0.25">
      <c r="A25" s="3" t="s">
        <v>78</v>
      </c>
      <c r="B25" s="4"/>
      <c r="C25" s="1"/>
      <c r="D25" s="1"/>
      <c r="E25" s="1"/>
      <c r="F25" s="1"/>
    </row>
    <row r="26" spans="1:12" x14ac:dyDescent="0.25">
      <c r="A26" t="s">
        <v>79</v>
      </c>
      <c r="B26">
        <v>0.01</v>
      </c>
      <c r="C26">
        <v>0.01</v>
      </c>
      <c r="D26">
        <v>0.01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</row>
    <row r="27" spans="1:12" x14ac:dyDescent="0.25">
      <c r="A27" t="s">
        <v>80</v>
      </c>
      <c r="B27">
        <v>194.69</v>
      </c>
      <c r="C27" s="12">
        <f>Working!$G$19*'PnL Forecast'!B8</f>
        <v>207.566</v>
      </c>
      <c r="D27" s="12">
        <f>Working!$G$19*'PnL Forecast'!C8</f>
        <v>227.65790000000004</v>
      </c>
      <c r="E27" s="12">
        <f>Working!$G$19*'PnL Forecast'!D8</f>
        <v>250.17369000000005</v>
      </c>
      <c r="F27" s="12">
        <f>Working!$G$19*'PnL Forecast'!E8</f>
        <v>274.94105900000005</v>
      </c>
      <c r="G27" s="12">
        <f>Working!$G$19*'PnL Forecast'!F8</f>
        <v>302.18516490000007</v>
      </c>
      <c r="H27" s="12">
        <f>Working!$G$19*'PnL Forecast'!G8</f>
        <v>332.15368139000014</v>
      </c>
      <c r="I27" s="12">
        <f>Working!$G$19*'PnL Forecast'!H8</f>
        <v>365.11904952900016</v>
      </c>
      <c r="J27" s="12">
        <f>Working!$G$19*'PnL Forecast'!I8</f>
        <v>401.38095448190023</v>
      </c>
      <c r="K27" s="12">
        <f>Working!$G$19*'PnL Forecast'!J8</f>
        <v>441.26904993009032</v>
      </c>
      <c r="L27" s="12">
        <f>Working!$G$19*'PnL Forecast'!K8</f>
        <v>485.1459549230994</v>
      </c>
    </row>
    <row r="28" spans="1:12" x14ac:dyDescent="0.25">
      <c r="A28" t="s">
        <v>81</v>
      </c>
      <c r="B28">
        <v>388.84</v>
      </c>
      <c r="C28" s="12">
        <f>Working!$G$20*'PnL Forecast'!C8</f>
        <v>341.48685</v>
      </c>
      <c r="D28" s="12">
        <f>Working!$G$20*'PnL Forecast'!D8</f>
        <v>375.26053500000006</v>
      </c>
      <c r="E28" s="12">
        <f>Working!$G$20*'PnL Forecast'!E8</f>
        <v>412.41158850000005</v>
      </c>
      <c r="F28" s="12">
        <f>Working!$G$20*'PnL Forecast'!F8</f>
        <v>453.27774735000008</v>
      </c>
      <c r="G28" s="12">
        <f>Working!$G$20*'PnL Forecast'!G8</f>
        <v>498.23052208500013</v>
      </c>
      <c r="H28" s="12">
        <f>Working!$G$20*'PnL Forecast'!H8</f>
        <v>547.67857429350022</v>
      </c>
      <c r="I28" s="12">
        <f>Working!$G$20*'PnL Forecast'!I8</f>
        <v>602.07143172285032</v>
      </c>
      <c r="J28" s="12">
        <f>Working!$G$20*'PnL Forecast'!J8</f>
        <v>661.90357489513542</v>
      </c>
      <c r="K28" s="12">
        <f>Working!$G$20*'PnL Forecast'!K8</f>
        <v>727.71893238464907</v>
      </c>
      <c r="L28" s="12">
        <f>Working!$G$20*'PnL Forecast'!L8</f>
        <v>800.11582562311389</v>
      </c>
    </row>
    <row r="29" spans="1:12" s="16" customFormat="1" x14ac:dyDescent="0.25">
      <c r="A29" s="16" t="s">
        <v>82</v>
      </c>
      <c r="B29" s="17">
        <v>8.59</v>
      </c>
      <c r="C29" s="18">
        <f ca="1">IF(C35&gt;0,C35,0)</f>
        <v>51.898319500000298</v>
      </c>
      <c r="D29" s="18">
        <f t="shared" ref="D29:L29" ca="1" si="4">IF(D35&gt;0,D35,0)</f>
        <v>83.95628435000026</v>
      </c>
      <c r="E29" s="18">
        <f t="shared" ca="1" si="4"/>
        <v>121.28087408500005</v>
      </c>
      <c r="F29" s="18">
        <f t="shared" ca="1" si="4"/>
        <v>164.84005119350013</v>
      </c>
      <c r="G29" s="18">
        <f t="shared" ca="1" si="4"/>
        <v>215.28387441285031</v>
      </c>
      <c r="H29" s="18">
        <f t="shared" ca="1" si="4"/>
        <v>273.32740835413506</v>
      </c>
      <c r="I29" s="18">
        <f t="shared" ca="1" si="4"/>
        <v>339.7572240895488</v>
      </c>
      <c r="J29" s="18">
        <f t="shared" ca="1" si="4"/>
        <v>415.43854979850357</v>
      </c>
      <c r="K29" s="18">
        <f t="shared" ca="1" si="4"/>
        <v>501.32313647835417</v>
      </c>
      <c r="L29" s="18">
        <f t="shared" ca="1" si="4"/>
        <v>598.4579102261896</v>
      </c>
    </row>
    <row r="30" spans="1:12" x14ac:dyDescent="0.25">
      <c r="A30" t="s">
        <v>83</v>
      </c>
      <c r="B30">
        <v>1.87</v>
      </c>
      <c r="C30">
        <v>1.87</v>
      </c>
      <c r="D30">
        <v>1.87</v>
      </c>
      <c r="E30">
        <v>1.87</v>
      </c>
      <c r="F30">
        <v>1.87</v>
      </c>
      <c r="G30">
        <v>1.87</v>
      </c>
      <c r="H30">
        <v>1.87</v>
      </c>
      <c r="I30">
        <v>1.87</v>
      </c>
      <c r="J30">
        <v>1.87</v>
      </c>
      <c r="K30">
        <v>1.87</v>
      </c>
      <c r="L30">
        <v>1.87</v>
      </c>
    </row>
    <row r="31" spans="1:12" x14ac:dyDescent="0.25">
      <c r="A31" t="s">
        <v>84</v>
      </c>
      <c r="B31">
        <v>40.99</v>
      </c>
      <c r="C31">
        <v>40.99</v>
      </c>
      <c r="D31">
        <v>40.99</v>
      </c>
      <c r="E31">
        <v>40.99</v>
      </c>
      <c r="F31">
        <v>40.99</v>
      </c>
      <c r="G31">
        <v>40.99</v>
      </c>
      <c r="H31">
        <v>40.99</v>
      </c>
      <c r="I31">
        <v>40.99</v>
      </c>
      <c r="J31">
        <v>40.99</v>
      </c>
      <c r="K31">
        <v>40.99</v>
      </c>
      <c r="L31">
        <v>40.99</v>
      </c>
    </row>
    <row r="32" spans="1:12" x14ac:dyDescent="0.25">
      <c r="A32" t="s">
        <v>85</v>
      </c>
      <c r="B32">
        <v>634.99</v>
      </c>
      <c r="C32" s="12">
        <f ca="1">SUM(C26:C31)</f>
        <v>643.82116950000034</v>
      </c>
      <c r="D32" s="12">
        <f t="shared" ref="D32:L32" ca="1" si="5">SUM(D26:D31)</f>
        <v>729.74471935000031</v>
      </c>
      <c r="E32" s="12">
        <f t="shared" ca="1" si="5"/>
        <v>826.73615258500013</v>
      </c>
      <c r="F32" s="12">
        <f t="shared" ca="1" si="5"/>
        <v>935.92885754350027</v>
      </c>
      <c r="G32" s="12">
        <f t="shared" ca="1" si="5"/>
        <v>1058.5695613978505</v>
      </c>
      <c r="H32" s="12">
        <f t="shared" ca="1" si="5"/>
        <v>1196.0296640376353</v>
      </c>
      <c r="I32" s="12">
        <f t="shared" ca="1" si="5"/>
        <v>1349.8177053413992</v>
      </c>
      <c r="J32" s="12">
        <f t="shared" ca="1" si="5"/>
        <v>1521.5930791755391</v>
      </c>
      <c r="K32" s="12">
        <f t="shared" ca="1" si="5"/>
        <v>1713.1811187930934</v>
      </c>
      <c r="L32" s="12">
        <f t="shared" ca="1" si="5"/>
        <v>1926.5896907724027</v>
      </c>
    </row>
    <row r="33" spans="1:12" x14ac:dyDescent="0.25">
      <c r="A33" t="s">
        <v>86</v>
      </c>
      <c r="B33" s="1">
        <v>1960.03</v>
      </c>
      <c r="C33" s="12">
        <f ca="1">C32+C24</f>
        <v>1988.8611695000004</v>
      </c>
      <c r="D33" s="12">
        <f t="shared" ref="D33:L33" ca="1" si="6">D32+D24</f>
        <v>2094.7847193500002</v>
      </c>
      <c r="E33" s="12">
        <f t="shared" ca="1" si="6"/>
        <v>2211.7761525850001</v>
      </c>
      <c r="F33" s="12">
        <f t="shared" ca="1" si="6"/>
        <v>2340.9688575435002</v>
      </c>
      <c r="G33" s="12">
        <f t="shared" ca="1" si="6"/>
        <v>2483.6095613978505</v>
      </c>
      <c r="H33" s="12">
        <f t="shared" ca="1" si="6"/>
        <v>2641.0696640376354</v>
      </c>
      <c r="I33" s="12">
        <f t="shared" ca="1" si="6"/>
        <v>2814.8577053413992</v>
      </c>
      <c r="J33" s="12">
        <f t="shared" ca="1" si="6"/>
        <v>3006.633079175539</v>
      </c>
      <c r="K33" s="12">
        <f t="shared" ca="1" si="6"/>
        <v>3218.2211187930934</v>
      </c>
      <c r="L33" s="12">
        <f t="shared" ca="1" si="6"/>
        <v>3451.6296907724027</v>
      </c>
    </row>
    <row r="35" spans="1:12" x14ac:dyDescent="0.25">
      <c r="A35" t="s">
        <v>152</v>
      </c>
      <c r="B35" s="1">
        <f>B17-B33</f>
        <v>0</v>
      </c>
      <c r="C35" s="1">
        <f t="shared" ref="C35:L35" ca="1" si="7">C17-C33</f>
        <v>0</v>
      </c>
      <c r="D35" s="1">
        <f t="shared" ca="1" si="7"/>
        <v>0</v>
      </c>
      <c r="E35" s="1">
        <f t="shared" ca="1" si="7"/>
        <v>0</v>
      </c>
      <c r="F35" s="1">
        <f t="shared" ca="1" si="7"/>
        <v>0</v>
      </c>
      <c r="G35" s="1">
        <f t="shared" ca="1" si="7"/>
        <v>0</v>
      </c>
      <c r="H35" s="1">
        <f t="shared" ca="1" si="7"/>
        <v>0</v>
      </c>
      <c r="I35" s="1">
        <f t="shared" ca="1" si="7"/>
        <v>0</v>
      </c>
      <c r="J35" s="1">
        <f t="shared" ca="1" si="7"/>
        <v>0</v>
      </c>
      <c r="K35" s="1">
        <f t="shared" ca="1" si="7"/>
        <v>0</v>
      </c>
      <c r="L35" s="1">
        <f t="shared" ca="1" si="7"/>
        <v>0</v>
      </c>
    </row>
    <row r="37" spans="1:12" x14ac:dyDescent="0.25">
      <c r="A37" t="s">
        <v>64</v>
      </c>
      <c r="B37" s="27">
        <v>691.36</v>
      </c>
      <c r="C37" s="27">
        <v>501.93816500000003</v>
      </c>
      <c r="D37" s="27">
        <v>532.33448149999992</v>
      </c>
      <c r="E37" s="27">
        <v>565.77042964999998</v>
      </c>
      <c r="F37" s="27">
        <v>602.549972615</v>
      </c>
      <c r="G37" s="27">
        <v>643.00746987650007</v>
      </c>
      <c r="H37" s="27">
        <v>687.51071686415014</v>
      </c>
      <c r="I37" s="27">
        <v>736.46428855056513</v>
      </c>
      <c r="J37" s="27">
        <v>790.31321740562191</v>
      </c>
      <c r="K37" s="27">
        <v>849.54703914618415</v>
      </c>
      <c r="L37" s="27">
        <v>914.70424306080247</v>
      </c>
    </row>
    <row r="38" spans="1:12" x14ac:dyDescent="0.25">
      <c r="A38" t="s">
        <v>85</v>
      </c>
      <c r="B38" s="27">
        <v>634.99</v>
      </c>
      <c r="C38" s="27">
        <v>643.82116950000034</v>
      </c>
      <c r="D38" s="27">
        <v>729.74471935000031</v>
      </c>
      <c r="E38" s="27">
        <v>826.73615258500013</v>
      </c>
      <c r="F38" s="27">
        <v>935.92885754350027</v>
      </c>
      <c r="G38" s="27">
        <v>1058.5695613978505</v>
      </c>
      <c r="H38" s="27">
        <v>1196.0296640376353</v>
      </c>
      <c r="I38" s="27">
        <v>1349.8177053413992</v>
      </c>
      <c r="J38" s="27">
        <v>1521.5930791755391</v>
      </c>
      <c r="K38" s="27">
        <v>1713.1811187930934</v>
      </c>
      <c r="L38" s="27">
        <v>1926.5896907724027</v>
      </c>
    </row>
    <row r="39" spans="1:12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12" x14ac:dyDescent="0.25">
      <c r="A40" t="s">
        <v>172</v>
      </c>
      <c r="B40" s="27">
        <f t="shared" ref="B40:L40" si="8">B38-B37</f>
        <v>-56.370000000000005</v>
      </c>
      <c r="C40" s="27">
        <f t="shared" si="8"/>
        <v>141.88300450000031</v>
      </c>
      <c r="D40" s="27">
        <f t="shared" si="8"/>
        <v>197.41023785000039</v>
      </c>
      <c r="E40" s="27">
        <f t="shared" si="8"/>
        <v>260.96572293500014</v>
      </c>
      <c r="F40" s="27">
        <f t="shared" si="8"/>
        <v>333.37888492850027</v>
      </c>
      <c r="G40" s="27">
        <f t="shared" si="8"/>
        <v>415.56209152135045</v>
      </c>
      <c r="H40" s="27">
        <f t="shared" si="8"/>
        <v>508.51894717348512</v>
      </c>
      <c r="I40" s="27">
        <f t="shared" si="8"/>
        <v>613.3534167908341</v>
      </c>
      <c r="J40" s="27">
        <f t="shared" si="8"/>
        <v>731.27986176991715</v>
      </c>
      <c r="K40" s="27">
        <f t="shared" si="8"/>
        <v>863.6340796469093</v>
      </c>
      <c r="L40" s="27">
        <f t="shared" si="8"/>
        <v>1011.8854477116002</v>
      </c>
    </row>
    <row r="41" spans="1:12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2" x14ac:dyDescent="0.25">
      <c r="A42" t="s">
        <v>173</v>
      </c>
      <c r="C42" s="27">
        <f>C40-B40</f>
        <v>198.25300450000032</v>
      </c>
      <c r="D42" s="27">
        <f t="shared" ref="D42:L42" si="9">D40-C40</f>
        <v>55.527233350000074</v>
      </c>
      <c r="E42" s="27">
        <f t="shared" si="9"/>
        <v>63.555485084999759</v>
      </c>
      <c r="F42" s="27">
        <f t="shared" si="9"/>
        <v>72.413161993500125</v>
      </c>
      <c r="G42" s="27">
        <f t="shared" si="9"/>
        <v>82.183206592850183</v>
      </c>
      <c r="H42" s="27">
        <f t="shared" si="9"/>
        <v>92.956855652134664</v>
      </c>
      <c r="I42" s="27">
        <f t="shared" si="9"/>
        <v>104.83446961734899</v>
      </c>
      <c r="J42" s="27">
        <f t="shared" si="9"/>
        <v>117.92644497908304</v>
      </c>
      <c r="K42" s="27">
        <f t="shared" si="9"/>
        <v>132.35421787699215</v>
      </c>
      <c r="L42" s="27">
        <f t="shared" si="9"/>
        <v>148.25136806469095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workbookViewId="0">
      <selection activeCell="D12" sqref="D12"/>
    </sheetView>
  </sheetViews>
  <sheetFormatPr defaultRowHeight="15" x14ac:dyDescent="0.25"/>
  <cols>
    <col min="1" max="1" width="21.85546875" customWidth="1"/>
    <col min="13" max="13" width="13.28515625" customWidth="1"/>
  </cols>
  <sheetData>
    <row r="2" spans="1:21" x14ac:dyDescent="0.25">
      <c r="B2" s="5">
        <v>43160</v>
      </c>
      <c r="C2" s="5">
        <v>43525</v>
      </c>
      <c r="D2" s="5">
        <v>43891</v>
      </c>
      <c r="E2" s="5">
        <v>44256</v>
      </c>
      <c r="F2" s="5">
        <v>44621</v>
      </c>
      <c r="G2" s="5">
        <v>44986</v>
      </c>
      <c r="H2" s="5">
        <v>45352</v>
      </c>
      <c r="I2" s="5">
        <v>45717</v>
      </c>
      <c r="J2" s="5">
        <v>46082</v>
      </c>
      <c r="K2" s="5">
        <v>46447</v>
      </c>
      <c r="L2" s="5">
        <v>46813</v>
      </c>
      <c r="M2" s="5" t="s">
        <v>174</v>
      </c>
      <c r="N2" s="2"/>
      <c r="O2" s="2"/>
      <c r="P2" s="2"/>
      <c r="Q2" s="2"/>
      <c r="R2" s="2"/>
      <c r="S2" s="2"/>
      <c r="T2" s="2"/>
      <c r="U2" s="2"/>
    </row>
    <row r="3" spans="1:21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21" x14ac:dyDescent="0.25">
      <c r="A4" t="s">
        <v>149</v>
      </c>
      <c r="B4" s="27">
        <f>'PnL Forecast'!B13</f>
        <v>145.31</v>
      </c>
      <c r="C4" s="27">
        <f>'PnL Forecast'!C13</f>
        <v>115.88690000000014</v>
      </c>
      <c r="D4" s="27">
        <f>'PnL Forecast'!D13</f>
        <v>127.22559000000005</v>
      </c>
      <c r="E4" s="27">
        <f>'PnL Forecast'!E13</f>
        <v>139.69814899999972</v>
      </c>
      <c r="F4" s="27">
        <f>'PnL Forecast'!F13</f>
        <v>153.41796389999996</v>
      </c>
      <c r="G4" s="27">
        <f>'PnL Forecast'!G13</f>
        <v>168.50976029000012</v>
      </c>
      <c r="H4" s="27">
        <f>'PnL Forecast'!H13</f>
        <v>185.11073631900013</v>
      </c>
      <c r="I4" s="27">
        <f>'PnL Forecast'!I13</f>
        <v>203.37180995089994</v>
      </c>
      <c r="J4" s="27">
        <f>'PnL Forecast'!J13</f>
        <v>223.45899094599005</v>
      </c>
      <c r="K4" s="27">
        <f>'PnL Forecast'!K13</f>
        <v>245.55489004058927</v>
      </c>
      <c r="L4" s="27">
        <f>'PnL Forecast'!L13</f>
        <v>269.86037904464825</v>
      </c>
    </row>
    <row r="5" spans="1:21" x14ac:dyDescent="0.25">
      <c r="A5" s="26" t="s">
        <v>153</v>
      </c>
      <c r="B5" s="27">
        <f t="shared" ref="B5:L5" si="0">taxe*B4</f>
        <v>43.592999999999996</v>
      </c>
      <c r="C5" s="27">
        <f t="shared" si="0"/>
        <v>34.766070000000042</v>
      </c>
      <c r="D5" s="27">
        <f t="shared" si="0"/>
        <v>38.167677000000012</v>
      </c>
      <c r="E5" s="27">
        <f t="shared" si="0"/>
        <v>41.909444699999916</v>
      </c>
      <c r="F5" s="27">
        <f t="shared" si="0"/>
        <v>46.02538916999999</v>
      </c>
      <c r="G5" s="27">
        <f t="shared" si="0"/>
        <v>50.552928087000033</v>
      </c>
      <c r="H5" s="27">
        <f t="shared" si="0"/>
        <v>55.533220895700033</v>
      </c>
      <c r="I5" s="27">
        <f t="shared" si="0"/>
        <v>61.011542985269983</v>
      </c>
      <c r="J5" s="27">
        <f t="shared" si="0"/>
        <v>67.037697283797016</v>
      </c>
      <c r="K5" s="27">
        <f t="shared" si="0"/>
        <v>73.666467012176781</v>
      </c>
      <c r="L5" s="27">
        <f t="shared" si="0"/>
        <v>80.958113713394468</v>
      </c>
    </row>
    <row r="6" spans="1:21" x14ac:dyDescent="0.25">
      <c r="A6" t="s">
        <v>171</v>
      </c>
      <c r="B6" s="27">
        <f>B4-B5</f>
        <v>101.71700000000001</v>
      </c>
      <c r="C6" s="27">
        <f t="shared" ref="C6:L6" si="1">C4-C5</f>
        <v>81.120830000000097</v>
      </c>
      <c r="D6" s="27">
        <f t="shared" si="1"/>
        <v>89.057913000000042</v>
      </c>
      <c r="E6" s="27">
        <f t="shared" si="1"/>
        <v>97.788704299999807</v>
      </c>
      <c r="F6" s="27">
        <f t="shared" si="1"/>
        <v>107.39257472999998</v>
      </c>
      <c r="G6" s="27">
        <f t="shared" si="1"/>
        <v>117.95683220300009</v>
      </c>
      <c r="H6" s="27">
        <f t="shared" si="1"/>
        <v>129.5775154233001</v>
      </c>
      <c r="I6" s="27">
        <f t="shared" si="1"/>
        <v>142.36026696562996</v>
      </c>
      <c r="J6" s="27">
        <f t="shared" si="1"/>
        <v>156.42129366219302</v>
      </c>
      <c r="K6" s="27">
        <f t="shared" si="1"/>
        <v>171.88842302841249</v>
      </c>
      <c r="L6" s="27">
        <f t="shared" si="1"/>
        <v>188.90226533125377</v>
      </c>
    </row>
    <row r="7" spans="1:21" x14ac:dyDescent="0.25">
      <c r="A7" t="s">
        <v>154</v>
      </c>
      <c r="B7">
        <f>'PnL Forecast'!B12</f>
        <v>101.61</v>
      </c>
      <c r="C7" s="26">
        <f>'PnL Forecast'!C12</f>
        <v>111.77100000000002</v>
      </c>
      <c r="D7" s="26">
        <f>'PnL Forecast'!D12</f>
        <v>122.94810000000003</v>
      </c>
      <c r="E7" s="26">
        <f>'PnL Forecast'!E12</f>
        <v>135.24291000000005</v>
      </c>
      <c r="F7" s="26">
        <f>'PnL Forecast'!F12</f>
        <v>148.76720100000006</v>
      </c>
      <c r="G7" s="26">
        <f>'PnL Forecast'!G12</f>
        <v>163.64392110000009</v>
      </c>
      <c r="H7" s="26">
        <f>'PnL Forecast'!H12</f>
        <v>180.0083132100001</v>
      </c>
      <c r="I7" s="26">
        <f>'PnL Forecast'!I12</f>
        <v>198.00914453100012</v>
      </c>
      <c r="J7" s="26">
        <f>'PnL Forecast'!J12</f>
        <v>217.81005898410015</v>
      </c>
      <c r="K7" s="26">
        <f>'PnL Forecast'!K12</f>
        <v>239.59106488251018</v>
      </c>
      <c r="L7" s="26">
        <f>'PnL Forecast'!L12</f>
        <v>263.55017137076123</v>
      </c>
    </row>
    <row r="8" spans="1:21" x14ac:dyDescent="0.25">
      <c r="A8" t="s">
        <v>155</v>
      </c>
      <c r="B8">
        <f>'FA Forecast'!B5</f>
        <v>0</v>
      </c>
      <c r="C8" s="26">
        <f>'FA Forecast'!C5</f>
        <v>20</v>
      </c>
      <c r="D8" s="26">
        <f>'FA Forecast'!D5</f>
        <v>20</v>
      </c>
      <c r="E8" s="26">
        <f>'FA Forecast'!E5</f>
        <v>20</v>
      </c>
      <c r="F8" s="26">
        <f>'FA Forecast'!F5</f>
        <v>20</v>
      </c>
      <c r="G8" s="26">
        <f>'FA Forecast'!G5</f>
        <v>20</v>
      </c>
      <c r="H8" s="26">
        <f>'FA Forecast'!H5</f>
        <v>20</v>
      </c>
      <c r="I8" s="26">
        <f>'FA Forecast'!I5</f>
        <v>20</v>
      </c>
      <c r="J8" s="26">
        <f>'FA Forecast'!J5</f>
        <v>20</v>
      </c>
      <c r="K8" s="26">
        <f>'FA Forecast'!K5</f>
        <v>20</v>
      </c>
      <c r="L8" s="26">
        <f>'FA Forecast'!L5</f>
        <v>20</v>
      </c>
    </row>
    <row r="9" spans="1:21" x14ac:dyDescent="0.25">
      <c r="A9" t="s">
        <v>156</v>
      </c>
      <c r="B9">
        <v>0</v>
      </c>
      <c r="C9" s="27">
        <f>'Balance Sheet Forecast'!C42</f>
        <v>198.25300450000032</v>
      </c>
      <c r="D9" s="27">
        <f>'Balance Sheet Forecast'!D42</f>
        <v>55.527233350000074</v>
      </c>
      <c r="E9" s="27">
        <f>'Balance Sheet Forecast'!E42</f>
        <v>63.555485084999759</v>
      </c>
      <c r="F9" s="27">
        <f>'Balance Sheet Forecast'!F42</f>
        <v>72.413161993500125</v>
      </c>
      <c r="G9" s="27">
        <f>'Balance Sheet Forecast'!G42</f>
        <v>82.183206592850183</v>
      </c>
      <c r="H9" s="27">
        <f>'Balance Sheet Forecast'!H42</f>
        <v>92.956855652134664</v>
      </c>
      <c r="I9" s="27">
        <f>'Balance Sheet Forecast'!I42</f>
        <v>104.83446961734899</v>
      </c>
      <c r="J9" s="27">
        <f>'Balance Sheet Forecast'!J42</f>
        <v>117.92644497908304</v>
      </c>
      <c r="K9" s="27">
        <f>'Balance Sheet Forecast'!K42</f>
        <v>132.35421787699215</v>
      </c>
      <c r="L9" s="27">
        <f>'Balance Sheet Forecast'!L42</f>
        <v>148.25136806469095</v>
      </c>
    </row>
    <row r="10" spans="1:21" x14ac:dyDescent="0.25">
      <c r="A10" t="s">
        <v>157</v>
      </c>
      <c r="B10" s="27">
        <f>B6+B7-B8-B9</f>
        <v>203.327</v>
      </c>
      <c r="C10" s="27">
        <f t="shared" ref="C10:L10" si="2">C6+C7-C8-C9</f>
        <v>-25.361174500000203</v>
      </c>
      <c r="D10" s="27">
        <f t="shared" si="2"/>
        <v>136.47877964999998</v>
      </c>
      <c r="E10" s="27">
        <f t="shared" si="2"/>
        <v>149.4761292150001</v>
      </c>
      <c r="F10" s="27">
        <f t="shared" si="2"/>
        <v>163.74661373649991</v>
      </c>
      <c r="G10" s="27">
        <f t="shared" si="2"/>
        <v>179.41754671014996</v>
      </c>
      <c r="H10" s="27">
        <f t="shared" si="2"/>
        <v>196.62897298116553</v>
      </c>
      <c r="I10" s="27">
        <f t="shared" si="2"/>
        <v>215.53494187928106</v>
      </c>
      <c r="J10" s="27">
        <f t="shared" si="2"/>
        <v>236.30490766721016</v>
      </c>
      <c r="K10" s="27">
        <f t="shared" si="2"/>
        <v>259.12527003393052</v>
      </c>
      <c r="L10" s="27">
        <f t="shared" si="2"/>
        <v>284.20106863732406</v>
      </c>
      <c r="M10" s="27">
        <f>L10*(1+g)</f>
        <v>289.88509001007054</v>
      </c>
      <c r="N10" s="27"/>
    </row>
    <row r="11" spans="1:21" s="26" customFormat="1" x14ac:dyDescent="0.25">
      <c r="L11" s="26">
        <f>M10/(keu-g)</f>
        <v>2578.194402838431</v>
      </c>
    </row>
    <row r="12" spans="1:21" x14ac:dyDescent="0.25">
      <c r="A12" s="26" t="s">
        <v>158</v>
      </c>
      <c r="C12" s="26">
        <f t="shared" ref="C12:K12" si="3">C10/(1+keu)^C3</f>
        <v>-22.39521394049007</v>
      </c>
      <c r="D12" s="26">
        <f t="shared" si="3"/>
        <v>106.42332834577302</v>
      </c>
      <c r="E12" s="26">
        <f t="shared" si="3"/>
        <v>102.92702093588117</v>
      </c>
      <c r="F12" s="26">
        <f t="shared" si="3"/>
        <v>99.567073155026051</v>
      </c>
      <c r="G12" s="26">
        <f t="shared" si="3"/>
        <v>96.337235732133976</v>
      </c>
      <c r="H12" s="26">
        <f t="shared" si="3"/>
        <v>93.231491242710817</v>
      </c>
      <c r="I12" s="26">
        <f t="shared" si="3"/>
        <v>90.244067158829637</v>
      </c>
      <c r="J12" s="26">
        <f t="shared" si="3"/>
        <v>87.369443196905394</v>
      </c>
      <c r="K12" s="26">
        <f t="shared" si="3"/>
        <v>84.602354103567109</v>
      </c>
      <c r="L12" s="26">
        <f>(L10+L11)/(1+keu)^L3</f>
        <v>825.25500983884547</v>
      </c>
    </row>
    <row r="14" spans="1:21" x14ac:dyDescent="0.25">
      <c r="A14" s="26" t="s">
        <v>159</v>
      </c>
      <c r="B14">
        <f>SUM(C12:L12)</f>
        <v>1563.5618097691827</v>
      </c>
    </row>
    <row r="16" spans="1:21" x14ac:dyDescent="0.25">
      <c r="A16" s="26" t="s">
        <v>127</v>
      </c>
      <c r="B16">
        <f>'PnL Forecast'!B14</f>
        <v>40.15</v>
      </c>
      <c r="C16" s="26">
        <f>'PnL Forecast'!C14</f>
        <v>20.769600000000001</v>
      </c>
      <c r="D16" s="26">
        <f>'PnL Forecast'!D14</f>
        <v>21.169599999999999</v>
      </c>
      <c r="E16" s="26">
        <f>'PnL Forecast'!E14</f>
        <v>21.569600000000001</v>
      </c>
      <c r="F16" s="26">
        <f>'PnL Forecast'!F14</f>
        <v>21.9696</v>
      </c>
      <c r="G16" s="26">
        <f>'PnL Forecast'!G14</f>
        <v>22.369600000000002</v>
      </c>
      <c r="H16" s="26">
        <f>'PnL Forecast'!H14</f>
        <v>22.769600000000001</v>
      </c>
      <c r="I16" s="26">
        <f>'PnL Forecast'!I14</f>
        <v>23.169599999999999</v>
      </c>
      <c r="J16" s="26">
        <f>'PnL Forecast'!J14</f>
        <v>23.569600000000001</v>
      </c>
      <c r="K16" s="26">
        <f>'PnL Forecast'!K14</f>
        <v>23.9696</v>
      </c>
      <c r="L16" s="26">
        <f>'PnL Forecast'!L14</f>
        <v>24.369600000000002</v>
      </c>
      <c r="M16">
        <f>'Debt Forecast'!L6* kd</f>
        <v>24.569600000000001</v>
      </c>
    </row>
    <row r="17" spans="1:13" x14ac:dyDescent="0.25">
      <c r="A17" s="26" t="s">
        <v>160</v>
      </c>
      <c r="B17">
        <f t="shared" ref="B17:M17" si="4">B16*taxe</f>
        <v>12.045</v>
      </c>
      <c r="C17" s="26">
        <f t="shared" si="4"/>
        <v>6.23088</v>
      </c>
      <c r="D17" s="26">
        <f t="shared" si="4"/>
        <v>6.3508799999999992</v>
      </c>
      <c r="E17" s="26">
        <f t="shared" si="4"/>
        <v>6.4708800000000002</v>
      </c>
      <c r="F17" s="26">
        <f t="shared" si="4"/>
        <v>6.5908799999999994</v>
      </c>
      <c r="G17" s="26">
        <f t="shared" si="4"/>
        <v>6.7108800000000004</v>
      </c>
      <c r="H17" s="26">
        <f t="shared" si="4"/>
        <v>6.8308799999999996</v>
      </c>
      <c r="I17" s="26">
        <f t="shared" si="4"/>
        <v>6.9508799999999997</v>
      </c>
      <c r="J17" s="26">
        <f t="shared" si="4"/>
        <v>7.0708799999999998</v>
      </c>
      <c r="K17" s="26">
        <f t="shared" si="4"/>
        <v>7.1908799999999999</v>
      </c>
      <c r="L17" s="26">
        <f t="shared" si="4"/>
        <v>7.31088</v>
      </c>
      <c r="M17" s="26">
        <f t="shared" si="4"/>
        <v>7.3708799999999997</v>
      </c>
    </row>
    <row r="18" spans="1:13" x14ac:dyDescent="0.25">
      <c r="A18" s="26"/>
      <c r="L18">
        <f>M17/(kd-g)</f>
        <v>122.848</v>
      </c>
    </row>
    <row r="19" spans="1:13" x14ac:dyDescent="0.25">
      <c r="A19" s="26" t="s">
        <v>161</v>
      </c>
      <c r="C19" s="26">
        <f t="shared" ref="C19:K19" si="5">C17/(1+kd)^C3</f>
        <v>5.769333333333333</v>
      </c>
      <c r="D19" s="26">
        <f t="shared" si="5"/>
        <v>5.4448559670781878</v>
      </c>
      <c r="E19" s="26">
        <f t="shared" si="5"/>
        <v>5.1367931717725952</v>
      </c>
      <c r="F19" s="26">
        <f t="shared" si="5"/>
        <v>4.8444935561990876</v>
      </c>
      <c r="G19" s="26">
        <f t="shared" si="5"/>
        <v>4.5673121653098727</v>
      </c>
      <c r="H19" s="26">
        <f t="shared" si="5"/>
        <v>4.3046131008832607</v>
      </c>
      <c r="I19" s="26">
        <f t="shared" si="5"/>
        <v>4.0557717186196607</v>
      </c>
      <c r="J19" s="26">
        <f t="shared" si="5"/>
        <v>3.8201764500473305</v>
      </c>
      <c r="K19" s="26">
        <f t="shared" si="5"/>
        <v>3.597230292766266</v>
      </c>
      <c r="L19" s="26">
        <f>(L17+L18)/(1+kd)^L3</f>
        <v>60.288745632395852</v>
      </c>
    </row>
    <row r="20" spans="1:13" x14ac:dyDescent="0.25">
      <c r="A20" s="26" t="s">
        <v>162</v>
      </c>
      <c r="B20">
        <f>SUM(C19:L19)</f>
        <v>101.82932538840544</v>
      </c>
    </row>
    <row r="22" spans="1:13" x14ac:dyDescent="0.25">
      <c r="A22" s="26" t="s">
        <v>163</v>
      </c>
      <c r="B22">
        <f>B14+B20</f>
        <v>1665.391135157588</v>
      </c>
    </row>
    <row r="23" spans="1:13" x14ac:dyDescent="0.25">
      <c r="A23" s="26" t="s">
        <v>164</v>
      </c>
      <c r="B23">
        <f>'Debt Forecast'!B6</f>
        <v>257.12</v>
      </c>
    </row>
    <row r="25" spans="1:13" x14ac:dyDescent="0.25">
      <c r="A25" s="26" t="s">
        <v>165</v>
      </c>
      <c r="B25">
        <f>B22-B23</f>
        <v>1408.2711351575881</v>
      </c>
    </row>
    <row r="26" spans="1:13" x14ac:dyDescent="0.25">
      <c r="A26" s="26" t="s">
        <v>166</v>
      </c>
      <c r="B26">
        <v>12.3</v>
      </c>
    </row>
    <row r="28" spans="1:13" x14ac:dyDescent="0.25">
      <c r="A28" s="26" t="s">
        <v>167</v>
      </c>
      <c r="B28">
        <f>B25/B26</f>
        <v>114.49358822419414</v>
      </c>
    </row>
    <row r="30" spans="1:13" x14ac:dyDescent="0.25">
      <c r="A30" t="s">
        <v>168</v>
      </c>
      <c r="B30">
        <f>keu+B23/B25*(keu-kd)*(1-taxe)</f>
        <v>0.13913898990247872</v>
      </c>
    </row>
    <row r="31" spans="1:13" x14ac:dyDescent="0.25">
      <c r="A31" s="26"/>
    </row>
    <row r="32" spans="1:13" x14ac:dyDescent="0.25">
      <c r="A32" s="26" t="s">
        <v>169</v>
      </c>
      <c r="B32">
        <f>0.065+ (1.14*(0.13-0.065))</f>
        <v>0.1391</v>
      </c>
    </row>
    <row r="34" spans="1:2" x14ac:dyDescent="0.25">
      <c r="A34" s="26" t="s">
        <v>170</v>
      </c>
      <c r="B34">
        <f>B32-B30</f>
        <v>-3.8989902478719918E-5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PnL</vt:lpstr>
      <vt:lpstr>Balance Sheet</vt:lpstr>
      <vt:lpstr>Working</vt:lpstr>
      <vt:lpstr>PnL Forecast</vt:lpstr>
      <vt:lpstr>Debt Forecast</vt:lpstr>
      <vt:lpstr>FA Forecast</vt:lpstr>
      <vt:lpstr>Balance Sheet Forecast</vt:lpstr>
      <vt:lpstr>Valuations</vt:lpstr>
      <vt:lpstr>g</vt:lpstr>
      <vt:lpstr>kd</vt:lpstr>
      <vt:lpstr>ked</vt:lpstr>
      <vt:lpstr>kel</vt:lpstr>
      <vt:lpstr>keu</vt:lpstr>
      <vt:lpstr>ljfbu</vt:lpstr>
      <vt:lpstr>tax</vt:lpstr>
      <vt:lpstr>tax_rate</vt:lpstr>
      <vt:lpstr>taxe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cp:revision/>
  <dcterms:created xsi:type="dcterms:W3CDTF">2019-01-12T15:39:43Z</dcterms:created>
  <dcterms:modified xsi:type="dcterms:W3CDTF">2019-01-15T17:48:48Z</dcterms:modified>
</cp:coreProperties>
</file>