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6e66c28919b45d/Documents/"/>
    </mc:Choice>
  </mc:AlternateContent>
  <xr:revisionPtr revIDLastSave="570" documentId="8_{81A9C4EF-CC9F-428E-AAB8-12E5DF9C6022}" xr6:coauthVersionLast="47" xr6:coauthVersionMax="47" xr10:uidLastSave="{14844F78-B88E-434B-ABBA-DE7B6D2FAE2E}"/>
  <bookViews>
    <workbookView xWindow="1905" yWindow="1830" windowWidth="12420" windowHeight="8325" firstSheet="3" activeTab="5" xr2:uid="{00000000-000D-0000-FFFF-FFFF00000000}"/>
  </bookViews>
  <sheets>
    <sheet name="Sheet1" sheetId="4" r:id="rId1"/>
    <sheet name="Sheet2" sheetId="6" r:id="rId2"/>
    <sheet name="Sheet3" sheetId="8" r:id="rId3"/>
    <sheet name="Crowdfunding" sheetId="1" r:id="rId4"/>
    <sheet name="Sheet4" sheetId="9" r:id="rId5"/>
    <sheet name="Sheet5" sheetId="10" r:id="rId6"/>
  </sheets>
  <definedNames>
    <definedName name="_xlnm._FilterDatabase" localSheetId="3" hidden="1">Crowdfunding!$G$1:$H$1001</definedName>
    <definedName name="_xlcn.WorksheetConnection_CrowdfundingA1T10011" hidden="1">Crowdfunding!$A$1:$T$1001</definedName>
  </definedNames>
  <calcPr calcId="191029"/>
  <pivotCaches>
    <pivotCache cacheId="16" r:id="rId7"/>
    <pivotCache cacheId="73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0" l="1"/>
  <c r="L10" i="10"/>
  <c r="L9" i="10"/>
  <c r="L8" i="10"/>
  <c r="L7" i="10"/>
  <c r="L6" i="10"/>
  <c r="I6" i="10"/>
  <c r="I11" i="10"/>
  <c r="I10" i="10"/>
  <c r="I9" i="10"/>
  <c r="I8" i="10"/>
  <c r="I7" i="10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B13" i="9"/>
  <c r="B12" i="9"/>
  <c r="E12" i="9" s="1"/>
  <c r="B11" i="9"/>
  <c r="B10" i="9"/>
  <c r="B9" i="9"/>
  <c r="B8" i="9"/>
  <c r="B7" i="9"/>
  <c r="B6" i="9"/>
  <c r="B5" i="9"/>
  <c r="B4" i="9"/>
  <c r="D3" i="9"/>
  <c r="C3" i="9"/>
  <c r="B3" i="9"/>
  <c r="D2" i="9"/>
  <c r="C2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4" i="1"/>
  <c r="N2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2" i="1"/>
  <c r="E8" i="9" l="1"/>
  <c r="E7" i="9"/>
  <c r="E4" i="9"/>
  <c r="F4" i="9" s="1"/>
  <c r="H8" i="9"/>
  <c r="E3" i="9"/>
  <c r="F3" i="9" s="1"/>
  <c r="E10" i="9"/>
  <c r="G10" i="9" s="1"/>
  <c r="E9" i="9"/>
  <c r="G9" i="9" s="1"/>
  <c r="G7" i="9"/>
  <c r="H7" i="9"/>
  <c r="G8" i="9"/>
  <c r="G12" i="9"/>
  <c r="H12" i="9"/>
  <c r="G3" i="9"/>
  <c r="E2" i="9"/>
  <c r="G2" i="9" s="1"/>
  <c r="E6" i="9"/>
  <c r="H6" i="9" s="1"/>
  <c r="F12" i="9"/>
  <c r="E13" i="9"/>
  <c r="H13" i="9" s="1"/>
  <c r="E5" i="9"/>
  <c r="H5" i="9" s="1"/>
  <c r="F10" i="9"/>
  <c r="F7" i="9"/>
  <c r="E11" i="9"/>
  <c r="G11" i="9" s="1"/>
  <c r="F8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4" i="9" l="1"/>
  <c r="H4" i="9"/>
  <c r="H9" i="9"/>
  <c r="F9" i="9"/>
  <c r="H10" i="9"/>
  <c r="H3" i="9"/>
  <c r="F6" i="9"/>
  <c r="G13" i="9"/>
  <c r="H2" i="9"/>
  <c r="G5" i="9"/>
  <c r="F2" i="9"/>
  <c r="H11" i="9"/>
  <c r="G6" i="9"/>
  <c r="F11" i="9"/>
  <c r="F13" i="9"/>
  <c r="F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7C4864-FDA6-4936-AB03-F7A29DE62A1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08FCACC-BB94-4FE7-8C10-1D5AA90752D8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<sst xmlns="http://schemas.openxmlformats.org/spreadsheetml/2006/main" count="9069" uniqueCount="2116">
  <si>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</si>
  <si>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</si>
  <si>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</si>
  <si>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</si>
  <si>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</si>
  <si>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</si>
  <si>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</si>
  <si>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</si>
  <si>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</si>
  <si>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</si>
  <si>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</si>
  <si>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</si>
  <si>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</si>
  <si>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</si>
  <si>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</si>
  <si>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</si>
  <si>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</si>
  <si>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</si>
  <si>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</si>
  <si>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</si>
  <si>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</si>
  <si>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</si>
  <si>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</si>
  <si>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</si>
  <si>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</si>
  <si>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</si>
  <si>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</si>
  <si>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</si>
  <si>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</si>
  <si>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</si>
  <si>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</si>
  <si>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</si>
  <si>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</si>
  <si>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</si>
  <si>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</si>
  <si>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</si>
  <si>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</si>
  <si>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</si>
  <si>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</si>
  <si>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</si>
  <si>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</si>
  <si>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</si>
  <si>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</si>
  <si>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</si>
  <si>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</si>
  <si>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</si>
  <si>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</si>
  <si>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</si>
  <si>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</si>
  <si>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</si>
  <si>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</si>
  <si>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</si>
  <si>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</si>
  <si>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</si>
  <si>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</si>
  <si>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</si>
  <si>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</si>
  <si>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</si>
  <si>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</si>
  <si>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</si>
  <si>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</si>
  <si>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</si>
  <si>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</si>
  <si>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</si>
  <si>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</si>
  <si>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</si>
  <si>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</si>
  <si>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</si>
  <si>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</si>
  <si>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</si>
  <si>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</si>
  <si>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</si>
  <si>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</si>
  <si>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</si>
  <si>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</si>
  <si>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</si>
  <si>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</si>
  <si>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</si>
  <si>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</si>
  <si>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</si>
  <si>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</si>
  <si>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</si>
  <si>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</si>
  <si>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</si>
  <si>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</si>
  <si>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</si>
  <si>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</si>
  <si>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</si>
  <si>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</si>
  <si>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</si>
  <si>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</si>
  <si>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</si>
  <si>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</si>
  <si>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</si>
  <si>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</si>
  <si>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</si>
  <si>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</si>
  <si>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</si>
  <si>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</si>
  <si>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</si>
  <si>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</si>
  <si>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</si>
  <si>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</si>
  <si>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</si>
  <si>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</si>
  <si>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</si>
  <si>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</si>
  <si>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</si>
  <si>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</si>
  <si>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</si>
  <si>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</si>
  <si>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</si>
  <si>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</si>
  <si>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</si>
  <si>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</si>
  <si>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</si>
  <si>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</si>
  <si>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</si>
  <si>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</si>
  <si>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</si>
  <si>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</si>
  <si>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</si>
  <si>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</si>
  <si>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</si>
  <si>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</si>
  <si>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</si>
  <si>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</si>
  <si>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</si>
  <si>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</si>
  <si>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</si>
  <si>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</si>
  <si>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</si>
  <si>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</si>
  <si>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</si>
  <si>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</si>
  <si>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</si>
  <si>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</si>
  <si>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</si>
  <si>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</si>
  <si>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</si>
  <si>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</si>
  <si>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</si>
  <si>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</si>
  <si>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</si>
  <si>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</si>
  <si>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</si>
  <si>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</si>
  <si>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</si>
  <si>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</si>
  <si>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</si>
  <si>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</si>
  <si>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</si>
  <si>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</si>
  <si>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</si>
  <si>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</si>
  <si>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</si>
  <si>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</si>
  <si>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</si>
  <si>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</si>
  <si>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</si>
  <si>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</si>
  <si>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</si>
  <si>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</si>
  <si>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</si>
  <si>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</si>
  <si>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</si>
  <si>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</si>
  <si>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</si>
  <si>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</si>
  <si>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</si>
  <si>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</si>
  <si>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</si>
  <si>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</si>
  <si>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</si>
  <si>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</si>
  <si>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</si>
  <si>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</si>
  <si>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</si>
  <si>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</si>
  <si>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</si>
  <si>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</si>
  <si>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</si>
  <si>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</si>
  <si>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</si>
  <si>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</si>
  <si>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</si>
  <si>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</si>
  <si>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</si>
  <si>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</si>
  <si>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</si>
  <si>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</si>
  <si>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</si>
  <si>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</si>
  <si>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</si>
  <si>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</si>
  <si>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</si>
  <si>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</si>
  <si>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</si>
  <si>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</si>
  <si>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</si>
  <si>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</si>
  <si>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</si>
  <si>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</si>
  <si>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</si>
  <si>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</si>
  <si>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</si>
  <si>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</si>
  <si>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</si>
  <si>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</si>
  <si>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</si>
  <si>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</si>
  <si>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</si>
  <si>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</si>
  <si>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</si>
  <si>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</si>
  <si>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</si>
  <si>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</si>
  <si>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</si>
  <si>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</si>
  <si>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</si>
  <si>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</si>
  <si>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</si>
  <si>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</si>
  <si>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</si>
  <si>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</si>
  <si>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</si>
  <si>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</si>
  <si>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</si>
  <si>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</si>
  <si>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</si>
  <si>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</si>
  <si>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</si>
  <si>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</si>
  <si>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</si>
  <si>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</si>
  <si>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</si>
  <si>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</si>
  <si>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</si>
  <si>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</si>
  <si>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</si>
  <si>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</si>
  <si>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</si>
  <si>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</si>
  <si>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</si>
  <si>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</si>
  <si>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</si>
  <si>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</si>
  <si>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</si>
  <si>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</si>
  <si>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</si>
  <si>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</si>
  <si>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</si>
  <si>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</si>
  <si>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</si>
  <si>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</si>
  <si>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</si>
  <si>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</si>
  <si>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</si>
  <si>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</si>
  <si>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</si>
  <si>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</si>
  <si>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</si>
  <si>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</si>
  <si>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</si>
  <si>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</si>
  <si>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</si>
  <si>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</si>
  <si>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</si>
  <si>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</si>
  <si>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</si>
  <si>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</si>
  <si>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</si>
  <si>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</si>
  <si>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</si>
  <si>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</si>
  <si>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</si>
  <si>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</si>
  <si>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</si>
  <si>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</si>
  <si>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</si>
  <si>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</si>
  <si>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</si>
  <si>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</si>
  <si>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</si>
  <si>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</si>
  <si>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</si>
  <si>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</si>
  <si>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</si>
  <si>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</si>
  <si>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</si>
  <si>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</si>
  <si>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</si>
  <si>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</si>
  <si>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</si>
  <si>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</si>
  <si>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</si>
  <si>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</si>
  <si>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</si>
  <si>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</si>
  <si>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</si>
  <si>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</si>
  <si>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</si>
  <si>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</si>
  <si>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</si>
  <si>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</si>
  <si>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</si>
  <si>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</si>
  <si>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</si>
  <si>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</si>
  <si>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</si>
  <si>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</si>
  <si>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</si>
  <si>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</si>
  <si>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</si>
  <si>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</si>
  <si>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</si>
  <si>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</si>
  <si>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</si>
  <si>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</si>
  <si>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</si>
  <si>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</si>
  <si>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</si>
  <si>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</si>
  <si>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</si>
  <si>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</si>
  <si>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</si>
  <si>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</si>
  <si>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</si>
  <si>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</si>
  <si>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</si>
  <si>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</si>
  <si>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</si>
  <si>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</si>
  <si>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</si>
  <si>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</si>
  <si>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</si>
  <si>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</si>
  <si>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</si>
  <si>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</si>
  <si>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</si>
  <si>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</si>
  <si>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</si>
  <si>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</si>
  <si>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</si>
  <si>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</si>
  <si>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</si>
  <si>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</si>
  <si>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</si>
  <si>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</si>
  <si>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</si>
  <si>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</si>
  <si>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</si>
  <si>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</si>
  <si>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</si>
  <si>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</si>
  <si>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</si>
  <si>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</si>
  <si>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</si>
  <si>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</si>
  <si>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</si>
  <si>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</si>
  <si>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</si>
  <si>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</si>
  <si>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</si>
  <si>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</si>
  <si>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</si>
  <si>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</si>
  <si>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</si>
  <si>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</si>
  <si>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</si>
  <si>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</si>
  <si>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</si>
  <si>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</si>
  <si>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</si>
  <si>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</si>
  <si>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</si>
  <si>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</si>
  <si>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</si>
  <si>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</si>
  <si>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</si>
  <si>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</si>
  <si>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</si>
  <si>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</si>
  <si>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</si>
  <si>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</si>
  <si>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</si>
  <si>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</si>
  <si>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</si>
  <si>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</si>
  <si>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</si>
  <si>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</si>
  <si>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</si>
  <si>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</si>
  <si>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</si>
  <si>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</si>
  <si>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</si>
  <si>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</si>
  <si>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</si>
  <si>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</si>
  <si>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</si>
  <si>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</si>
  <si>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</si>
  <si>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</si>
  <si>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</si>
  <si>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</si>
  <si>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</si>
  <si>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</si>
  <si>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</si>
  <si>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</si>
  <si>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</si>
  <si>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</si>
  <si>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</si>
  <si>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</si>
  <si>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</si>
  <si>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</si>
  <si>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</si>
  <si>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</si>
  <si>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</si>
  <si>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</si>
  <si>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</si>
  <si>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</si>
  <si>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</si>
  <si>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</si>
  <si>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</si>
  <si>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</si>
  <si>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</si>
  <si>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</si>
  <si>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</si>
  <si>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</si>
  <si>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</si>
  <si>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</si>
  <si>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</si>
  <si>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</si>
  <si>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</si>
  <si>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</si>
  <si>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</si>
  <si>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</si>
  <si>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</si>
  <si>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</si>
  <si>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</si>
  <si>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</si>
  <si>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</si>
  <si>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</si>
  <si>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</si>
  <si>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</si>
  <si>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</si>
  <si>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</si>
  <si>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</si>
  <si>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</si>
  <si>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</si>
  <si>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</si>
  <si>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</si>
  <si>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</si>
  <si>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</si>
  <si>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</si>
  <si>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</si>
  <si>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</si>
  <si>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</si>
  <si>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</si>
  <si>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</si>
  <si>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</si>
  <si>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</si>
  <si>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</si>
  <si>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</si>
  <si>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</si>
  <si>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</si>
  <si>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</si>
  <si>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</si>
  <si>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</si>
  <si>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</si>
  <si>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</si>
  <si>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</si>
  <si>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</si>
  <si>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</si>
  <si>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</si>
  <si>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</si>
  <si>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</si>
  <si>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</si>
  <si>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</si>
  <si>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</si>
  <si>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</si>
  <si>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</si>
  <si>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</si>
  <si>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</si>
  <si>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</si>
  <si>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</si>
  <si>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</si>
  <si>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</si>
  <si>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</si>
  <si>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</si>
  <si>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</si>
  <si>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</si>
  <si>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</si>
  <si>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</si>
  <si>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</si>
  <si>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</si>
  <si>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</si>
  <si>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</si>
  <si>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</si>
  <si>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</si>
  <si>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</si>
  <si>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</si>
  <si>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</si>
  <si>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</si>
  <si>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</si>
  <si>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</si>
  <si>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</si>
  <si>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</si>
  <si>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</si>
  <si>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</si>
  <si>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</si>
  <si>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</si>
  <si>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</si>
  <si>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</si>
  <si>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</si>
  <si>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</si>
  <si>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</si>
  <si>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</si>
  <si>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</si>
  <si>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</si>
  <si>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</si>
  <si>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</si>
  <si>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</si>
  <si>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</si>
  <si>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</si>
  <si>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</si>
  <si>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</si>
  <si>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</si>
  <si>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</si>
  <si>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</si>
  <si>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</si>
  <si>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</si>
  <si>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</si>
  <si>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</si>
  <si>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</si>
  <si>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</si>
  <si>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</si>
  <si>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</si>
  <si>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</si>
  <si>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</si>
  <si>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</si>
  <si>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</si>
  <si>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</si>
  <si>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</si>
  <si>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</si>
  <si>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</si>
  <si>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</si>
  <si>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</si>
  <si>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</si>
  <si>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</si>
  <si>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</si>
  <si>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</si>
  <si>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</si>
  <si>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</si>
  <si>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</si>
  <si>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</si>
  <si>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</si>
  <si>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</si>
  <si>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</si>
  <si>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</si>
  <si>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</si>
  <si>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</si>
  <si>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</si>
  <si>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</si>
  <si>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</si>
  <si>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</si>
  <si>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</si>
  <si>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</si>
  <si>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</si>
  <si>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</si>
  <si>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</si>
  <si>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</si>
  <si>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</si>
  <si>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</si>
  <si>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</si>
  <si>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</si>
  <si>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</si>
  <si>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</si>
  <si>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</si>
  <si>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</si>
  <si>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</si>
  <si>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</si>
  <si>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</si>
  <si>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</si>
  <si>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</si>
  <si>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</si>
  <si>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</si>
  <si>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</si>
  <si>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</si>
  <si>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</si>
  <si>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</si>
  <si>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</si>
  <si>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</si>
  <si>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</si>
  <si>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</si>
  <si>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</si>
  <si>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</si>
  <si>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</si>
  <si>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</si>
  <si>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</si>
  <si>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</si>
  <si>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</si>
  <si>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</si>
  <si>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</si>
  <si>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</si>
  <si>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</si>
  <si>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</si>
  <si>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</si>
  <si>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</si>
  <si>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</si>
  <si>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</si>
  <si>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</si>
  <si>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</si>
  <si>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</si>
  <si>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</si>
  <si>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</si>
  <si>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</si>
  <si>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</si>
  <si>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</si>
  <si>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</si>
  <si>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</si>
  <si>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</si>
  <si>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</si>
  <si>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</si>
  <si>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</si>
  <si>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</si>
  <si>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</si>
  <si>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</si>
  <si>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</si>
  <si>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</si>
  <si>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</si>
  <si>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</si>
  <si>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</si>
  <si>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</si>
  <si>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</si>
  <si>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</si>
  <si>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</si>
  <si>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</si>
  <si>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</si>
  <si>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</si>
  <si>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</si>
  <si>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</si>
  <si>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</si>
  <si>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</si>
  <si>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</si>
  <si>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</si>
  <si>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</si>
  <si>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</si>
  <si>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</si>
  <si>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</si>
  <si>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</si>
  <si>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</si>
  <si>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</si>
  <si>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</si>
  <si>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</si>
  <si>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</si>
  <si>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</si>
  <si>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</si>
  <si>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</si>
  <si>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</si>
  <si>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</si>
  <si>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</si>
  <si>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</si>
  <si>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</si>
  <si>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</si>
  <si>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</si>
  <si>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</si>
  <si>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</si>
  <si>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</si>
  <si>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</si>
  <si>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</si>
  <si>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</si>
  <si>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</si>
  <si>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</si>
  <si>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</si>
  <si>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</si>
  <si>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</si>
  <si>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</si>
  <si>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</si>
  <si>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</si>
  <si>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</si>
  <si>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</si>
  <si>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</si>
  <si>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</si>
  <si>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</si>
  <si>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</si>
  <si>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</si>
  <si>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</si>
  <si>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</si>
  <si>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</si>
  <si>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</si>
  <si>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</si>
  <si>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</si>
  <si>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</si>
  <si>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</si>
  <si>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</si>
  <si>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</si>
  <si>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</si>
  <si>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</si>
  <si>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</si>
  <si>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</si>
  <si>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</si>
  <si>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</si>
  <si>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</si>
  <si>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</si>
  <si>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</si>
  <si>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</si>
  <si>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</si>
  <si>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</si>
  <si>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</si>
  <si>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</si>
  <si>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</si>
  <si>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</si>
  <si>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</si>
  <si>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</si>
  <si>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</si>
  <si>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</si>
  <si>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</si>
  <si>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</si>
  <si>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</si>
  <si>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</si>
  <si>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</si>
  <si>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</si>
  <si>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</si>
  <si>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</si>
  <si>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</si>
  <si>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</si>
  <si>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</si>
  <si>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</si>
  <si>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</si>
  <si>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</si>
  <si>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</si>
  <si>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</si>
  <si>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</si>
  <si>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</si>
  <si>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</si>
  <si>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</si>
  <si>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</si>
  <si>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</si>
  <si>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</si>
  <si>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</si>
  <si>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</si>
  <si>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</si>
  <si>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</si>
  <si>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</si>
  <si>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</si>
  <si>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</si>
  <si>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</si>
  <si>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</si>
  <si>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</si>
  <si>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</si>
  <si>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</si>
  <si>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</si>
  <si>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</si>
  <si>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</si>
  <si>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</si>
  <si>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</si>
  <si>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</si>
  <si>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</si>
  <si>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</si>
  <si>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</si>
  <si>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</si>
  <si>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</si>
  <si>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</si>
  <si>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</si>
  <si>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</si>
  <si>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</si>
  <si>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</si>
  <si>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</si>
  <si>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</si>
  <si>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</si>
  <si>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</si>
  <si>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</si>
  <si>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</si>
  <si>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</si>
  <si>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</si>
  <si>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</si>
  <si>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</si>
  <si>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</si>
  <si>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</si>
  <si>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</si>
  <si>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</si>
  <si>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</si>
  <si>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</si>
  <si>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</si>
  <si>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</si>
  <si>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</si>
  <si>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</si>
  <si>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</si>
  <si>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</si>
  <si>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</si>
  <si>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</si>
  <si>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</si>
  <si>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</si>
  <si>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</si>
  <si>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</si>
  <si>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</si>
  <si>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</si>
  <si>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</si>
  <si>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</si>
  <si>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</si>
  <si>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</si>
  <si>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</si>
  <si>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</si>
  <si>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</si>
  <si>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</si>
  <si>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</si>
  <si>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</si>
  <si>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</si>
  <si>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</si>
  <si>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</si>
  <si>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</si>
  <si>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</si>
  <si>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</si>
  <si>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</si>
  <si>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</si>
  <si>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</si>
  <si>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</si>
  <si>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</si>
  <si>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</si>
  <si>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</si>
  <si>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</si>
  <si>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</si>
  <si>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</si>
  <si>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</si>
  <si>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</si>
  <si>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</si>
  <si>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</si>
  <si>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</si>
  <si>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</si>
  <si>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</si>
  <si>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</si>
  <si>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</si>
  <si>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</si>
  <si>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</si>
  <si>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</si>
  <si>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</si>
  <si>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</si>
  <si>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</si>
  <si>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</si>
  <si>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</si>
  <si>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</si>
  <si>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</si>
  <si>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</si>
  <si>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</si>
  <si>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</si>
  <si>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</si>
  <si>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</si>
  <si>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</si>
  <si>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</si>
  <si>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</si>
  <si>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</si>
  <si>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</si>
  <si>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</si>
  <si>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</si>
  <si>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</si>
  <si>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</si>
  <si>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</si>
  <si>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</si>
  <si>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</si>
  <si>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</si>
  <si>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</si>
  <si>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</si>
  <si>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</si>
  <si>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</si>
  <si>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</si>
  <si>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</si>
  <si>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</si>
  <si>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</si>
  <si>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</si>
  <si>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</si>
  <si>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</si>
  <si>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</si>
  <si>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</si>
  <si>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</si>
  <si>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</si>
  <si>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</si>
  <si>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</si>
  <si>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</si>
  <si>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</si>
  <si>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</si>
  <si>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</si>
  <si>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</si>
  <si>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</si>
  <si>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</si>
  <si>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</si>
  <si>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</si>
  <si>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</si>
  <si>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</si>
  <si>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</si>
  <si>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</si>
  <si>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</si>
  <si>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</si>
  <si>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</si>
  <si>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</si>
  <si>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</si>
  <si>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</si>
  <si>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</si>
  <si>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</si>
  <si>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</si>
  <si>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</si>
  <si>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</si>
  <si>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</si>
  <si>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</si>
  <si>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</si>
  <si>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</si>
  <si>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</si>
  <si>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</si>
  <si>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</si>
  <si>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</si>
  <si>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</si>
  <si>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</si>
  <si>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</si>
  <si>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</si>
  <si>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</si>
  <si>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</si>
  <si>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</si>
  <si>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</si>
  <si>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</si>
  <si>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</si>
  <si>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</si>
  <si>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</si>
  <si>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</si>
  <si>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</si>
  <si>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</si>
  <si>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</si>
  <si>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</si>
  <si>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</si>
  <si>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</si>
  <si>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</si>
  <si>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</si>
  <si>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</si>
  <si>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</si>
  <si>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</si>
  <si>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</si>
  <si>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</si>
  <si>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</si>
  <si>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</si>
  <si>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</si>
  <si>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</si>
  <si>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</si>
  <si>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</si>
  <si>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</si>
  <si>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</si>
  <si>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</si>
  <si>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</si>
  <si>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</si>
  <si>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</si>
  <si>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</si>
  <si>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</si>
  <si>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</si>
  <si>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</si>
  <si>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</si>
  <si>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</si>
  <si>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</si>
  <si>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</si>
  <si>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</si>
  <si>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</si>
  <si>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</si>
  <si>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</si>
  <si>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</si>
  <si>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</si>
  <si>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</si>
  <si>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</si>
  <si>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</si>
  <si>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</si>
  <si>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</si>
  <si>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</si>
  <si>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</si>
  <si>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</si>
  <si>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</si>
  <si>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</si>
  <si>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</si>
  <si>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</si>
  <si>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</si>
  <si>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</si>
  <si>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</si>
  <si>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</si>
  <si>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</si>
  <si>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</si>
  <si>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</si>
  <si>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</si>
  <si>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</si>
  <si>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</si>
  <si>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</si>
  <si>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</si>
  <si>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</si>
  <si>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</si>
  <si>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</si>
  <si>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</si>
  <si>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</si>
  <si>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</si>
  <si>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</si>
  <si>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</si>
  <si>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</si>
  <si>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</si>
  <si>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</si>
  <si>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</si>
  <si>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</si>
  <si>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</si>
  <si>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</si>
  <si>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</si>
  <si>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</si>
  <si>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</si>
  <si>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</si>
  <si>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</si>
  <si>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</si>
  <si>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</si>
  <si>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</si>
  <si>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</si>
  <si>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</si>
  <si>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</si>
  <si>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</si>
  <si>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</si>
  <si>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</si>
  <si>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</si>
  <si>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</si>
  <si>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</si>
  <si>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</si>
  <si>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</si>
  <si>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</si>
  <si>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</si>
  <si>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</si>
  <si>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</si>
  <si>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</si>
  <si>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</si>
  <si>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</si>
  <si>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</si>
  <si>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</si>
  <si>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</si>
  <si>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</si>
  <si>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</si>
  <si>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</si>
  <si>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</si>
  <si>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</si>
  <si>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</si>
  <si>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</si>
  <si>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</si>
  <si>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</si>
  <si>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</si>
  <si>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</si>
  <si>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</si>
  <si>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</si>
  <si>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</si>
  <si>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</si>
  <si>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</si>
  <si>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</si>
  <si>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</si>
  <si>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</si>
  <si>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</si>
  <si>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</si>
  <si>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</si>
  <si>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</si>
  <si>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</si>
  <si>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</si>
  <si>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</si>
  <si>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</si>
  <si>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</si>
  <si>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</si>
  <si>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</si>
  <si>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</si>
  <si>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</si>
  <si>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</si>
  <si>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</si>
  <si>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</si>
  <si>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</si>
  <si>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</si>
  <si>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</si>
  <si>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</si>
  <si>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</si>
  <si>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</si>
  <si>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</si>
  <si>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</si>
  <si>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</si>
  <si>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</si>
  <si>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</si>
  <si>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</si>
  <si>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</si>
  <si>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</si>
  <si>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</si>
  <si>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</si>
  <si>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</si>
  <si>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</si>
  <si>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</si>
  <si>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</si>
  <si>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</si>
  <si>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</si>
  <si>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</si>
  <si>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</si>
  <si>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</si>
  <si>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</si>
  <si>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</si>
  <si>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</si>
  <si>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</si>
  <si>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</si>
  <si>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</si>
  <si>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</si>
  <si>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</si>
  <si>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</si>
  <si>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</si>
  <si>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</si>
  <si>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</si>
  <si>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</si>
  <si>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</si>
  <si>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</si>
  <si>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</si>
  <si>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</si>
  <si>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</si>
  <si>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</si>
  <si>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</si>
  <si>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</si>
  <si>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</si>
  <si>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</si>
  <si>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</si>
  <si>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</si>
  <si>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</si>
  <si>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</si>
  <si>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</si>
  <si>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</si>
  <si>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</si>
  <si>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</si>
  <si>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</si>
  <si>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</si>
  <si>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</si>
  <si>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</si>
  <si>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</si>
  <si>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</si>
  <si>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</si>
  <si>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</si>
  <si>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</si>
  <si>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</si>
  <si>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</si>
  <si>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</si>
  <si>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</si>
  <si>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</si>
  <si>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</si>
  <si>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</si>
  <si>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</si>
  <si>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</si>
  <si>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</si>
  <si>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</si>
  <si>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</si>
  <si>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</si>
  <si>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</si>
  <si>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</si>
  <si>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</si>
  <si>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</si>
  <si>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</si>
  <si>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</si>
  <si>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</si>
  <si>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</si>
  <si>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</si>
  <si>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</si>
  <si>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</si>
  <si>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</si>
  <si>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</si>
  <si>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</si>
  <si>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</si>
  <si>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</si>
  <si>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</si>
  <si>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</si>
  <si>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</si>
  <si>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</si>
  <si>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</si>
  <si>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</si>
  <si>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</si>
  <si>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</si>
  <si>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</si>
  <si>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</si>
  <si>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</si>
  <si>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</si>
  <si>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</si>
  <si>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</si>
  <si>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</si>
  <si>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</si>
  <si>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</si>
  <si>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</si>
  <si>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</si>
  <si>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</si>
  <si>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</si>
  <si>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</si>
  <si>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</si>
  <si>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</si>
  <si>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</si>
  <si>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</si>
  <si>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</si>
  <si>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</si>
  <si>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</si>
  <si>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</si>
  <si>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</si>
  <si>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</si>
  <si>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</si>
  <si>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</si>
  <si>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</si>
  <si>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</si>
  <si>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</si>
  <si>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</si>
  <si>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</si>
  <si>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</si>
  <si>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</si>
  <si>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</si>
  <si>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</si>
  <si>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</si>
  <si>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</si>
  <si>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</si>
  <si>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</si>
  <si>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</si>
  <si>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</si>
  <si>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</si>
  <si>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</si>
  <si>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</si>
  <si>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</si>
  <si>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</si>
  <si>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</si>
  <si>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</si>
  <si>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</si>
  <si>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</si>
  <si>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</si>
  <si>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</si>
  <si>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</si>
  <si>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</si>
  <si>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</si>
  <si>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</si>
  <si>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</si>
  <si>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</si>
  <si>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</si>
  <si>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</si>
  <si>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</si>
  <si>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</si>
  <si>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</si>
  <si>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</si>
  <si>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</si>
  <si>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</si>
  <si>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</si>
  <si>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</si>
  <si>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</si>
  <si>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</si>
  <si>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</si>
  <si>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</si>
  <si>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</si>
  <si>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</si>
  <si>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</si>
  <si>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</si>
  <si>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</si>
  <si>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</si>
  <si>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</si>
  <si>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</si>
  <si>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</si>
  <si>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</si>
  <si>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</si>
  <si>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</si>
  <si>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</si>
  <si>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</si>
  <si>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</si>
  <si>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</si>
  <si>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</si>
  <si>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</si>
  <si>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</si>
  <si>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</si>
  <si>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</si>
  <si>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</si>
  <si>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</si>
  <si>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</si>
  <si>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</si>
  <si>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</si>
  <si>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</si>
  <si>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</si>
  <si>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</si>
  <si>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</si>
  <si>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</si>
  <si>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</si>
  <si>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</si>
  <si>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</si>
  <si>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</si>
  <si>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</si>
  <si>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</si>
  <si>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</si>
  <si>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</si>
  <si>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</si>
  <si>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</si>
  <si>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</si>
  <si>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</si>
  <si>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</si>
  <si>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</si>
  <si>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</si>
  <si>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</si>
  <si>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</si>
  <si>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</si>
  <si>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</si>
  <si>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</si>
  <si>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</si>
  <si>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</si>
  <si>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</si>
  <si>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</si>
  <si>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</si>
  <si>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</si>
  <si>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</si>
  <si>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</si>
  <si>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</si>
  <si>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</si>
  <si>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</si>
  <si>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</si>
  <si>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</si>
  <si>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</si>
  <si>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</si>
  <si>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</si>
  <si>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</si>
  <si>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</si>
  <si>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</si>
  <si>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</si>
  <si>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</si>
  <si>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</si>
  <si>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</si>
  <si>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</si>
  <si>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</si>
  <si>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</si>
  <si>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</si>
  <si>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</si>
  <si>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</si>
  <si>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</si>
  <si>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</si>
  <si>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</si>
  <si>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</si>
  <si>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</si>
  <si>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</si>
  <si>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</si>
  <si>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</si>
  <si>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</si>
  <si>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</si>
  <si>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</si>
  <si>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</si>
  <si>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</si>
  <si>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</si>
  <si>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</si>
  <si>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</si>
  <si>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</si>
  <si>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</si>
  <si>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</si>
  <si>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</si>
  <si>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</si>
  <si>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</si>
  <si>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</si>
  <si>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</si>
  <si>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</si>
  <si>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</si>
  <si>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</si>
  <si>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</si>
  <si>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</si>
  <si>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</si>
  <si>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</si>
  <si>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</si>
  <si>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</si>
  <si>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</si>
  <si>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</si>
  <si>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</si>
  <si>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</si>
  <si>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</si>
  <si>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</si>
  <si>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</si>
  <si>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</si>
  <si>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</si>
  <si>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</si>
  <si>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</si>
  <si>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</si>
  <si>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</si>
  <si>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</si>
  <si>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</si>
  <si>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</si>
  <si>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</si>
  <si>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</si>
  <si>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</si>
  <si>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</si>
  <si>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</si>
  <si>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</si>
  <si>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</si>
  <si>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</si>
  <si>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</si>
  <si>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</si>
  <si>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</si>
  <si>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</si>
  <si>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</si>
  <si>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</si>
  <si>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</si>
  <si>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</si>
  <si>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</si>
  <si>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</si>
  <si>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</si>
  <si>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</si>
  <si>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</si>
  <si>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</si>
  <si>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</si>
  <si>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</si>
  <si>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</si>
  <si>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</si>
  <si>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</si>
  <si>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</si>
  <si>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</si>
  <si>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</si>
  <si>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</si>
  <si>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</si>
  <si>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</si>
  <si>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</si>
  <si>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</si>
  <si>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</si>
  <si>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</si>
  <si>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</si>
  <si>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</si>
  <si>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</si>
  <si>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</si>
  <si>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</si>
  <si>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</si>
  <si>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</si>
  <si>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</si>
  <si>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</si>
  <si>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</si>
  <si>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</si>
  <si>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</si>
  <si>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</si>
  <si>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</si>
  <si>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</si>
  <si>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</si>
  <si>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</si>
  <si>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</si>
  <si>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</si>
  <si>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</si>
  <si>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</si>
  <si>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</si>
  <si>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</si>
  <si>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</si>
  <si>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</si>
  <si>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</si>
  <si>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</si>
  <si>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</si>
  <si>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</si>
  <si>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</si>
  <si>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</si>
  <si>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</si>
  <si>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</si>
  <si>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</si>
  <si>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</si>
  <si>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</si>
  <si>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</si>
  <si>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</si>
  <si>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</si>
  <si>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</si>
  <si>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</si>
  <si>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</si>
  <si>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</si>
  <si>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</si>
  <si>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</si>
  <si>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</si>
  <si>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</si>
  <si>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</si>
  <si>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</si>
  <si>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</si>
  <si>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</si>
  <si>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</si>
  <si>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</si>
  <si>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</si>
  <si>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</si>
  <si>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</si>
  <si>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</si>
  <si>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</si>
  <si>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</si>
  <si>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</si>
  <si>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</si>
  <si>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</si>
  <si>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</si>
  <si>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</si>
  <si>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</si>
  <si>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</si>
  <si>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</si>
  <si>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</si>
  <si>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</si>
  <si>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</si>
  <si>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</si>
  <si>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</si>
  <si>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</si>
  <si>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</si>
  <si>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</si>
  <si>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</si>
  <si>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</si>
  <si>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</si>
  <si>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</si>
  <si>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</si>
  <si>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</si>
  <si>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</si>
  <si>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</si>
  <si>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</si>
  <si>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</si>
  <si>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</si>
  <si>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</si>
  <si>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</si>
  <si>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</si>
  <si>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</si>
  <si>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</si>
  <si>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</si>
  <si>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</si>
  <si>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</si>
  <si>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</si>
  <si>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</si>
  <si>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</si>
  <si>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</si>
  <si>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</si>
  <si>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</si>
  <si>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</si>
  <si>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</si>
  <si>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</si>
  <si>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</si>
  <si>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</si>
  <si>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</si>
  <si>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</si>
  <si>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</si>
  <si>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</si>
  <si>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</si>
  <si>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</si>
  <si>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</si>
  <si>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</si>
  <si>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</si>
  <si>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</si>
  <si>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</si>
  <si>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</si>
  <si>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</si>
  <si>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</si>
  <si>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</si>
  <si>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</si>
  <si>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</si>
  <si>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</si>
  <si>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</si>
  <si>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</si>
  <si>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</si>
  <si>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</si>
  <si>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</si>
  <si>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</si>
  <si>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</si>
  <si>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</si>
  <si>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</si>
  <si>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</si>
  <si>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</si>
  <si>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</si>
  <si>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</si>
  <si>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</si>
  <si>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</si>
  <si>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</si>
  <si>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</si>
  <si>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</si>
  <si>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</si>
  <si>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</si>
  <si>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</si>
  <si>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</si>
  <si>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</si>
  <si>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</si>
  <si>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</si>
  <si>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</si>
  <si>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</si>
  <si>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</si>
  <si>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</si>
  <si>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</si>
  <si>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</si>
  <si>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</si>
  <si>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</si>
  <si>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</si>
  <si>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</si>
  <si>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</si>
  <si>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</si>
  <si>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</si>
  <si>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</si>
  <si>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</si>
  <si>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</si>
  <si>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</si>
  <si>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</si>
  <si>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</si>
  <si>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</si>
  <si>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</si>
  <si>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</si>
  <si>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</si>
  <si>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</si>
  <si>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</si>
  <si>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</si>
  <si>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</si>
  <si>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</si>
  <si>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</si>
  <si>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</si>
  <si>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</si>
  <si>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</si>
  <si>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</si>
  <si>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</si>
  <si>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</si>
  <si>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</si>
  <si>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</si>
  <si>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</si>
  <si>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</si>
  <si>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</si>
  <si>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</si>
  <si>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</si>
  <si>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</si>
  <si>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</si>
  <si>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</si>
  <si>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</si>
  <si>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</si>
  <si>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</si>
  <si>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</si>
  <si>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</si>
  <si>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</si>
  <si>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</si>
  <si>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</si>
  <si>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</si>
  <si>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</si>
  <si>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</si>
  <si>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</si>
  <si>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</si>
  <si>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</si>
  <si>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</si>
  <si>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</si>
  <si>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</si>
  <si>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</si>
  <si>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</si>
  <si>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</si>
  <si>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</si>
  <si>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</si>
  <si>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</si>
  <si>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</si>
  <si>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</si>
  <si>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</si>
  <si>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</si>
  <si>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</si>
  <si>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</si>
  <si>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</si>
  <si>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</si>
  <si>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</si>
  <si>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</si>
  <si>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</si>
  <si>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</si>
  <si>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</si>
  <si>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</si>
  <si>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</si>
  <si>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</si>
  <si>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</si>
  <si>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</si>
  <si>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</si>
  <si>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</si>
  <si>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</si>
  <si>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</si>
  <si>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</si>
  <si>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</si>
  <si>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</si>
  <si>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</si>
  <si>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</si>
  <si>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</si>
  <si>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</si>
  <si>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</si>
  <si>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</si>
  <si>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</si>
  <si>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</si>
  <si>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</si>
  <si>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</si>
  <si>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</si>
  <si>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</si>
  <si>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</si>
  <si>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</si>
  <si>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</si>
  <si>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</si>
  <si>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</si>
  <si>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</si>
  <si>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</si>
  <si>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</si>
  <si>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</si>
  <si>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</si>
  <si>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</si>
  <si>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</si>
  <si>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</si>
  <si>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</si>
  <si>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</si>
  <si>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</si>
  <si>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</si>
  <si>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</si>
  <si>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</si>
  <si>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</si>
  <si>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</si>
  <si>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</si>
  <si>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</si>
  <si>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</si>
  <si>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</si>
  <si>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</si>
  <si>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</si>
  <si>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</si>
  <si>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</si>
  <si>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</si>
  <si>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</si>
  <si>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</si>
  <si>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</si>
  <si>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</si>
  <si>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</si>
  <si>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</si>
  <si>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</si>
  <si>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</si>
  <si>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</si>
  <si>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</si>
  <si>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</si>
  <si>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</si>
  <si>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</si>
  <si>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</si>
  <si>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</si>
  <si>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</si>
  <si>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</si>
  <si>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</si>
  <si>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</si>
  <si>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</si>
  <si>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</si>
  <si>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</si>
  <si>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</si>
  <si>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</si>
  <si>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</si>
  <si>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</si>
  <si>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</si>
  <si>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</si>
  <si>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</si>
  <si>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</si>
  <si>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</si>
  <si>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</si>
  <si>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</si>
  <si>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</si>
  <si>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</si>
  <si>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</si>
  <si>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</si>
  <si>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</si>
  <si>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</si>
  <si>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</si>
  <si>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</si>
  <si>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</si>
  <si>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</si>
  <si>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</si>
  <si>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</si>
  <si>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</si>
  <si>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</si>
  <si>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</si>
  <si>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</si>
  <si>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</si>
  <si>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</si>
  <si>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</si>
  <si>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</si>
  <si>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</si>
  <si>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</si>
  <si>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</si>
  <si>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</si>
  <si>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</si>
  <si>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</si>
  <si>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</si>
  <si>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</si>
  <si>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</si>
  <si>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</si>
  <si>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</si>
  <si>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</si>
  <si>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</si>
  <si>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</si>
  <si>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</si>
  <si>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</si>
  <si>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</si>
  <si>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</si>
  <si>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</si>
  <si>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</si>
  <si>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</si>
  <si>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</si>
  <si>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</si>
  <si>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</si>
  <si>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</si>
  <si>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</si>
  <si>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</si>
  <si>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</si>
  <si>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</si>
  <si>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</si>
  <si>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</si>
  <si>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</si>
  <si>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</si>
  <si>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</si>
  <si>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</si>
  <si>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</si>
  <si>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</si>
  <si>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</si>
  <si>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</si>
  <si>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</si>
  <si>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</si>
  <si>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</si>
  <si>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</si>
  <si>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</si>
  <si>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</si>
  <si>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</si>
  <si>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</si>
  <si>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</si>
  <si>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</si>
  <si>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</si>
  <si>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</si>
  <si>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</si>
  <si>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</si>
  <si>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</si>
  <si>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</si>
  <si>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</si>
  <si>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</si>
  <si>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</si>
  <si>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</si>
  <si>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</si>
  <si>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</si>
  <si>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</si>
  <si>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</si>
  <si>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</si>
  <si>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</si>
  <si>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</si>
  <si>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</si>
  <si>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</si>
  <si>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</si>
  <si>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</si>
  <si>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</si>
  <si>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</si>
  <si>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</si>
  <si>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</si>
  <si>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</si>
  <si>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</si>
  <si>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</si>
  <si>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</si>
  <si>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</si>
  <si>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</si>
  <si>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</si>
  <si>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</si>
  <si>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</si>
  <si>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</si>
  <si>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</si>
  <si>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</si>
  <si>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</si>
  <si>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</si>
  <si>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</si>
  <si>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</si>
  <si>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</si>
  <si>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</si>
  <si>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</si>
  <si>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</si>
  <si>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</si>
  <si>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</si>
  <si>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</si>
  <si>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</si>
  <si>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</si>
  <si>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</si>
  <si>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</si>
  <si>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</si>
  <si>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</si>
  <si>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</si>
  <si>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</si>
  <si>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</si>
  <si>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</si>
  <si>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</si>
  <si>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</si>
  <si>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</si>
  <si>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</si>
  <si>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</si>
  <si>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</si>
  <si>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</si>
  <si>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</si>
  <si>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</si>
  <si>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</si>
  <si>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</si>
  <si>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</si>
  <si>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</si>
  <si>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</si>
  <si>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</si>
  <si>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</si>
  <si>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</si>
  <si>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</si>
  <si>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</si>
  <si>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</si>
  <si>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</si>
  <si>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</si>
  <si>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</si>
  <si>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</si>
  <si>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</si>
  <si>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</si>
  <si>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</si>
  <si>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</si>
  <si>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</si>
  <si>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</si>
  <si>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</si>
  <si>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</si>
  <si>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</si>
  <si>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</si>
  <si>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</si>
  <si>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</si>
  <si>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</si>
  <si>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</si>
  <si>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</si>
  <si>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</si>
  <si>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</si>
  <si>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</si>
  <si>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</si>
  <si>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</si>
  <si>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</si>
  <si>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</si>
  <si>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</si>
  <si>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</si>
  <si>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</si>
  <si>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</si>
  <si>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</si>
  <si>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</si>
  <si>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</si>
  <si>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</si>
  <si>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</si>
  <si>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</si>
  <si>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</si>
  <si>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</si>
  <si>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</si>
  <si>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</si>
  <si>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</si>
  <si>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</si>
  <si>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</si>
  <si>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</si>
  <si>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</si>
  <si>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</si>
  <si>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</si>
  <si>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</si>
  <si>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</si>
  <si>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</si>
  <si>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</si>
  <si>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</si>
  <si>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</si>
  <si>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</si>
  <si>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</si>
  <si>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</si>
  <si>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</si>
  <si>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</si>
  <si>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</si>
  <si>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</si>
  <si>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</si>
  <si>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</si>
  <si>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</si>
  <si>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</si>
  <si>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</si>
  <si>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</si>
  <si>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</si>
  <si>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</si>
  <si>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</si>
  <si>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</si>
  <si>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</si>
  <si>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</si>
  <si>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</si>
  <si>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</si>
  <si>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</si>
  <si>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</si>
  <si>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</si>
  <si>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</si>
  <si>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</si>
  <si>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</si>
  <si>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</si>
  <si>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</si>
  <si>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</si>
  <si>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</si>
  <si>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</si>
  <si>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</si>
  <si>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</si>
  <si>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</si>
  <si>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</si>
  <si>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</si>
  <si>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</si>
  <si>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</si>
  <si>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</si>
  <si>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</si>
  <si>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</si>
  <si>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</si>
  <si>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</si>
  <si>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</si>
  <si>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</si>
  <si>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</si>
  <si>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</si>
  <si>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</si>
  <si>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</si>
  <si>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</si>
  <si>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</si>
  <si>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</si>
  <si>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</si>
  <si>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</si>
  <si>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</si>
  <si>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</si>
  <si>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</si>
  <si>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</si>
  <si>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</si>
  <si>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</si>
  <si>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</si>
  <si>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</si>
  <si>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</si>
  <si>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</si>
  <si>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</si>
  <si>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</si>
  <si>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</si>
  <si>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</si>
  <si>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</si>
  <si>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</si>
  <si>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</si>
  <si>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</si>
  <si>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</si>
  <si>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</si>
  <si>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</si>
  <si>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</si>
  <si>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</si>
  <si>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</si>
  <si>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</si>
  <si>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</si>
  <si>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</si>
  <si>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</si>
  <si>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</si>
  <si>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</si>
  <si>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</si>
  <si>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</si>
  <si>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</si>
  <si>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</si>
  <si>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</si>
  <si>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</si>
  <si>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</si>
  <si>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</si>
  <si>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</si>
  <si>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</si>
  <si>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</si>
  <si>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</si>
  <si>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</si>
  <si>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</si>
  <si>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</si>
  <si>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</si>
  <si>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</si>
  <si>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</si>
  <si>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</si>
  <si>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</si>
  <si>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</si>
  <si>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</si>
  <si>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</si>
  <si>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</si>
  <si>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</si>
  <si>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</si>
  <si>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</si>
  <si>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</si>
  <si>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</si>
  <si>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</si>
  <si>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</si>
  <si>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</si>
  <si>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</si>
  <si>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</si>
  <si>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</si>
  <si>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</si>
  <si>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</si>
  <si>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</si>
  <si>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</si>
  <si>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</si>
  <si>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</si>
  <si>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</si>
  <si>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</si>
  <si>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</si>
  <si>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</si>
  <si>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</si>
  <si>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</si>
  <si>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</si>
  <si>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</si>
  <si>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</si>
  <si>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</si>
  <si>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</si>
  <si>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</si>
  <si>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</si>
  <si>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</si>
  <si>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</si>
  <si>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</si>
  <si>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</si>
  <si>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</si>
  <si>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</si>
  <si>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</si>
  <si>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</si>
  <si>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</si>
  <si>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</si>
  <si>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</si>
  <si>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</si>
  <si>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</si>
  <si>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All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</si>
  <si>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</si>
  <si>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</si>
  <si>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</si>
  <si>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</si>
  <si>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</si>
  <si>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</si>
  <si>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</si>
  <si>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</si>
  <si>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</si>
  <si>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</si>
  <si>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</si>
  <si>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</si>
  <si>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</si>
  <si>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</si>
  <si>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</si>
  <si>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</si>
  <si>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</si>
  <si>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</si>
  <si>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</si>
  <si>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</si>
  <si>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</si>
  <si>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</si>
  <si>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</si>
  <si>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</si>
  <si>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</si>
  <si>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</si>
  <si>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</si>
  <si>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</si>
  <si>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</si>
  <si>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</si>
  <si>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</si>
  <si>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15000 to 19999</t>
  </si>
  <si>
    <t>35000 to 39999</t>
  </si>
  <si>
    <t>successful campaigns</t>
  </si>
  <si>
    <t>failed campaigns</t>
  </si>
  <si>
    <t>Mean</t>
  </si>
  <si>
    <t>Median</t>
  </si>
  <si>
    <t>Maximum</t>
  </si>
  <si>
    <t>Minimum</t>
  </si>
  <si>
    <t>Variance</t>
  </si>
  <si>
    <t>Standard deviation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</si>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</sst>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0" fontId="0" fillId="0" borderId="0" xfId="42" applyNumberFormat="1" applyFont="1"/>
    <xf numFmtId="0" fontId="14" fillId="0" borderId="0" xfId="0" applyFont="1"/>
    <xf numFmtId="10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 CrowdfundingBook.xlsx]Sheet1!PivotTable3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0-49F7-9B83-933CBCC4233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0A0-49F7-9B83-933CBCC4233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0A0-49F7-9B83-933CBCC4233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0A0-49F7-9B83-933CBCC4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9724144"/>
        <c:axId val="849725224"/>
      </c:barChart>
      <c:catAx>
        <c:axId val="8497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25224"/>
        <c:crosses val="autoZero"/>
        <c:auto val="1"/>
        <c:lblAlgn val="ctr"/>
        <c:lblOffset val="100"/>
        <c:noMultiLvlLbl val="0"/>
      </c:catAx>
      <c:valAx>
        <c:axId val="84972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 CrowdfundingBook.xlsx]Sheet2!PivotTable4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F-4F9D-BAA6-B8ADE74AE75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F-4F9D-BAA6-B8ADE74AE75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F-4F9D-BAA6-B8ADE74AE75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F-4F9D-BAA6-B8ADE74A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734984"/>
        <c:axId val="998735704"/>
      </c:barChart>
      <c:catAx>
        <c:axId val="99873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35704"/>
        <c:crosses val="autoZero"/>
        <c:auto val="1"/>
        <c:lblAlgn val="ctr"/>
        <c:lblOffset val="100"/>
        <c:noMultiLvlLbl val="0"/>
      </c:catAx>
      <c:valAx>
        <c:axId val="9987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3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 CrowdfundingBook.xlsx]Sheet3!PivotTable6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7-4DAC-AA9F-B90D8AC05CB5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7-4DAC-AA9F-B90D8AC05CB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7-4DAC-AA9F-B90D8AC05CB5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7-4DAC-AA9F-B90D8AC0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020776"/>
        <c:axId val="842021496"/>
      </c:lineChart>
      <c:catAx>
        <c:axId val="84202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21496"/>
        <c:crosses val="autoZero"/>
        <c:auto val="1"/>
        <c:lblAlgn val="ctr"/>
        <c:lblOffset val="100"/>
        <c:noMultiLvlLbl val="0"/>
      </c:catAx>
      <c:valAx>
        <c:axId val="8420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2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of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F-4B0C-A5FA-D0527A834464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F-4B0C-A5FA-D0527A834464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F-4B0C-A5FA-D0527A834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171264"/>
        <c:axId val="2094173064"/>
      </c:lineChart>
      <c:catAx>
        <c:axId val="20941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73064"/>
        <c:crosses val="autoZero"/>
        <c:auto val="1"/>
        <c:lblAlgn val="ctr"/>
        <c:lblOffset val="100"/>
        <c:noMultiLvlLbl val="0"/>
      </c:catAx>
      <c:valAx>
        <c:axId val="209417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66675</xdr:rowOff>
    </xdr:from>
    <xdr:to>
      <xdr:col>10</xdr:col>
      <xdr:colOff>676275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35F93-1D1A-2D0F-191B-D4900D28B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4</xdr:row>
      <xdr:rowOff>28575</xdr:rowOff>
    </xdr:from>
    <xdr:to>
      <xdr:col>12</xdr:col>
      <xdr:colOff>585787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0AB68-8CB4-E4F4-421E-6BB48CE61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2</xdr:row>
      <xdr:rowOff>66675</xdr:rowOff>
    </xdr:from>
    <xdr:to>
      <xdr:col>16</xdr:col>
      <xdr:colOff>42862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8FA6D-AF41-C893-B799-AE331D924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10583</xdr:colOff>
      <xdr:row>14</xdr:row>
      <xdr:rowOff>110067</xdr:rowOff>
    </xdr:from>
    <xdr:to>
      <xdr:col>5</xdr:col>
      <xdr:colOff>1439333</xdr:colOff>
      <xdr:row>28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CA2096-F46B-77B3-54B6-E7FE8573C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.estell.serrano@gmail.com" refreshedDate="45021.618594907406" createdVersion="8" refreshedVersion="8" minRefreshableVersion="3" recordCount="1000" xr:uid="{9575CA46-3376-4C48-BD79-562B8DA06E4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.estell.serrano@gmail.com" refreshedDate="45021.705874652776" backgroundQuery="1" createdVersion="8" refreshedVersion="8" minRefreshableVersion="3" recordCount="0" supportSubquery="1" supportAdvancedDrill="1" xr:uid="{B093D66C-BDD0-4824-A592-07227BE5DD3A}">
  <cacheSource type="external" connectionId="1"/>
  <cacheFields count="5">
    <cacheField name="[Measures].[Count of outcome]" caption="Count of outcome" numFmtId="0" hierarchy="26" level="32767"/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D1E0B-0205-4BC9-8A66-41A37B1971A4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E4A31-483D-4390-B826-8C241B0586BE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96ADB-896B-4EDA-A122-E2E3BBAC11F2}" name="PivotTable6" cacheId="7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dataField="1" subtotalTop="0" showAll="0" defaultSubtota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4" hier="18" name="[Range].[parent category].[All]" cap="All"/>
    <pageField fld="3" hier="20" name="[Range].[date created conversion (Year)].[All]" cap="All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0811-D558-4A11-8388-79814521ABD7}">
  <dimension ref="A1:F14"/>
  <sheetViews>
    <sheetView workbookViewId="0">
      <selection activeCell="G18" sqref="G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9" width="15.25" bestFit="1" customWidth="1"/>
    <col min="10" max="10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2068</v>
      </c>
      <c r="B3" s="8" t="s">
        <v>2069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2040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2032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2049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2063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2034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2053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2046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2036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2038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789C-F95E-496A-B611-694B095910B7}">
  <dimension ref="A1:F30"/>
  <sheetViews>
    <sheetView topLeftCell="A3" workbookViewId="0">
      <selection activeCell="A10" sqref="A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2065</v>
      </c>
      <c r="B2" t="s">
        <v>2070</v>
      </c>
    </row>
    <row r="4" spans="1:6" x14ac:dyDescent="0.25">
      <c r="A4" s="8" t="s">
        <v>2068</v>
      </c>
      <c r="B4" s="8" t="s">
        <v>2069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2048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2064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2041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2043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2042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2033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2044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2057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2060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2047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2054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2039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2055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2035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2062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2051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2059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2058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2050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2045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2037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2061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1DCC-D385-4512-B178-77D65A58703D}">
  <dimension ref="A1:F18"/>
  <sheetViews>
    <sheetView zoomScale="90" zoomScaleNormal="90" workbookViewId="0">
      <selection activeCell="Q4" sqref="Q4"/>
    </sheetView>
  </sheetViews>
  <sheetFormatPr defaultRowHeight="15.75" x14ac:dyDescent="0.25"/>
  <cols>
    <col min="1" max="1" width="26.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7.375" bestFit="1" customWidth="1"/>
    <col min="8" max="10" width="4.75" bestFit="1" customWidth="1"/>
    <col min="11" max="11" width="10.5" bestFit="1" customWidth="1"/>
    <col min="12" max="12" width="5.625" bestFit="1" customWidth="1"/>
    <col min="13" max="15" width="4.75" bestFit="1" customWidth="1"/>
    <col min="16" max="16" width="8.75" bestFit="1" customWidth="1"/>
    <col min="17" max="17" width="11" bestFit="1" customWidth="1"/>
    <col min="18" max="20" width="4.75" bestFit="1" customWidth="1"/>
    <col min="21" max="21" width="14.25" bestFit="1" customWidth="1"/>
    <col min="22" max="22" width="11" bestFit="1" customWidth="1"/>
    <col min="23" max="23" width="4" bestFit="1" customWidth="1"/>
    <col min="24" max="24" width="6.5" bestFit="1" customWidth="1"/>
    <col min="25" max="25" width="4.375" bestFit="1" customWidth="1"/>
    <col min="26" max="26" width="4" bestFit="1" customWidth="1"/>
    <col min="27" max="27" width="10.5" bestFit="1" customWidth="1"/>
    <col min="28" max="29" width="6.5" bestFit="1" customWidth="1"/>
    <col min="30" max="30" width="4.625" bestFit="1" customWidth="1"/>
    <col min="31" max="31" width="3.75" bestFit="1" customWidth="1"/>
    <col min="32" max="32" width="6.5" bestFit="1" customWidth="1"/>
    <col min="33" max="33" width="4.25" bestFit="1" customWidth="1"/>
    <col min="34" max="34" width="6.5" bestFit="1" customWidth="1"/>
    <col min="35" max="35" width="4.375" bestFit="1" customWidth="1"/>
    <col min="36" max="36" width="4" bestFit="1" customWidth="1"/>
    <col min="37" max="37" width="8.75" bestFit="1" customWidth="1"/>
    <col min="38" max="38" width="11" bestFit="1" customWidth="1"/>
    <col min="39" max="39" width="3.875" bestFit="1" customWidth="1"/>
    <col min="40" max="40" width="4.375" bestFit="1" customWidth="1"/>
    <col min="41" max="41" width="6.5" bestFit="1" customWidth="1"/>
    <col min="42" max="42" width="4.625" bestFit="1" customWidth="1"/>
    <col min="43" max="43" width="3.75" bestFit="1" customWidth="1"/>
    <col min="44" max="44" width="6.5" bestFit="1" customWidth="1"/>
    <col min="45" max="45" width="4.25" bestFit="1" customWidth="1"/>
    <col min="46" max="46" width="4" bestFit="1" customWidth="1"/>
    <col min="47" max="47" width="6.5" bestFit="1" customWidth="1"/>
    <col min="48" max="48" width="4.375" bestFit="1" customWidth="1"/>
    <col min="49" max="49" width="4" bestFit="1" customWidth="1"/>
    <col min="50" max="50" width="14.25" bestFit="1" customWidth="1"/>
    <col min="51" max="51" width="11" bestFit="1" customWidth="1"/>
    <col min="52" max="52" width="13.75" bestFit="1" customWidth="1"/>
    <col min="53" max="53" width="14.75" bestFit="1" customWidth="1"/>
    <col min="54" max="54" width="13.75" bestFit="1" customWidth="1"/>
    <col min="55" max="56" width="14.75" bestFit="1" customWidth="1"/>
    <col min="57" max="57" width="13.75" bestFit="1" customWidth="1"/>
    <col min="58" max="58" width="14.75" bestFit="1" customWidth="1"/>
    <col min="59" max="59" width="13.375" bestFit="1" customWidth="1"/>
    <col min="60" max="60" width="13.75" bestFit="1" customWidth="1"/>
    <col min="61" max="63" width="12.625" bestFit="1" customWidth="1"/>
    <col min="64" max="67" width="13.75" bestFit="1" customWidth="1"/>
    <col min="68" max="68" width="12.625" bestFit="1" customWidth="1"/>
    <col min="69" max="71" width="13.75" bestFit="1" customWidth="1"/>
    <col min="72" max="72" width="12.625" bestFit="1" customWidth="1"/>
    <col min="73" max="75" width="13.75" bestFit="1" customWidth="1"/>
    <col min="76" max="76" width="12.625" bestFit="1" customWidth="1"/>
    <col min="77" max="77" width="13.75" bestFit="1" customWidth="1"/>
    <col min="78" max="79" width="12.625" bestFit="1" customWidth="1"/>
    <col min="80" max="83" width="13.75" bestFit="1" customWidth="1"/>
    <col min="84" max="84" width="12.625" bestFit="1" customWidth="1"/>
    <col min="85" max="92" width="13.75" bestFit="1" customWidth="1"/>
    <col min="93" max="93" width="12.625" bestFit="1" customWidth="1"/>
    <col min="94" max="94" width="13.75" bestFit="1" customWidth="1"/>
    <col min="95" max="95" width="12.625" bestFit="1" customWidth="1"/>
    <col min="96" max="103" width="13.75" bestFit="1" customWidth="1"/>
    <col min="104" max="104" width="12.625" bestFit="1" customWidth="1"/>
    <col min="105" max="106" width="13.75" bestFit="1" customWidth="1"/>
    <col min="107" max="108" width="12.625" bestFit="1" customWidth="1"/>
    <col min="109" max="110" width="13.75" bestFit="1" customWidth="1"/>
    <col min="111" max="111" width="12.625" bestFit="1" customWidth="1"/>
    <col min="112" max="114" width="13.75" bestFit="1" customWidth="1"/>
    <col min="115" max="117" width="12.625" bestFit="1" customWidth="1"/>
    <col min="118" max="121" width="13.75" bestFit="1" customWidth="1"/>
    <col min="122" max="124" width="12.625" bestFit="1" customWidth="1"/>
    <col min="125" max="129" width="13.75" bestFit="1" customWidth="1"/>
    <col min="130" max="132" width="12.625" bestFit="1" customWidth="1"/>
    <col min="133" max="137" width="13.75" bestFit="1" customWidth="1"/>
    <col min="138" max="139" width="12.625" bestFit="1" customWidth="1"/>
    <col min="140" max="141" width="13.75" bestFit="1" customWidth="1"/>
    <col min="142" max="142" width="12.625" bestFit="1" customWidth="1"/>
    <col min="143" max="143" width="13.75" bestFit="1" customWidth="1"/>
    <col min="144" max="144" width="12.625" bestFit="1" customWidth="1"/>
    <col min="145" max="146" width="13.75" bestFit="1" customWidth="1"/>
    <col min="147" max="147" width="12.625" bestFit="1" customWidth="1"/>
    <col min="148" max="149" width="13.75" bestFit="1" customWidth="1"/>
    <col min="150" max="150" width="12.625" bestFit="1" customWidth="1"/>
    <col min="151" max="152" width="13.75" bestFit="1" customWidth="1"/>
    <col min="153" max="156" width="12.625" bestFit="1" customWidth="1"/>
    <col min="157" max="159" width="13.75" bestFit="1" customWidth="1"/>
    <col min="160" max="160" width="12.625" bestFit="1" customWidth="1"/>
    <col min="161" max="162" width="13.75" bestFit="1" customWidth="1"/>
    <col min="163" max="163" width="12.625" bestFit="1" customWidth="1"/>
    <col min="164" max="164" width="13.75" bestFit="1" customWidth="1"/>
    <col min="165" max="165" width="12.625" bestFit="1" customWidth="1"/>
    <col min="166" max="170" width="13.75" bestFit="1" customWidth="1"/>
    <col min="171" max="172" width="12.625" bestFit="1" customWidth="1"/>
    <col min="173" max="180" width="13.75" bestFit="1" customWidth="1"/>
    <col min="181" max="183" width="12.625" bestFit="1" customWidth="1"/>
    <col min="184" max="185" width="13.75" bestFit="1" customWidth="1"/>
    <col min="186" max="190" width="12.625" bestFit="1" customWidth="1"/>
    <col min="191" max="191" width="13.75" bestFit="1" customWidth="1"/>
    <col min="192" max="193" width="12.625" bestFit="1" customWidth="1"/>
    <col min="194" max="220" width="13.75" bestFit="1" customWidth="1"/>
    <col min="221" max="221" width="12.625" bestFit="1" customWidth="1"/>
    <col min="222" max="222" width="13.75" bestFit="1" customWidth="1"/>
    <col min="223" max="223" width="12.625" bestFit="1" customWidth="1"/>
    <col min="224" max="225" width="13.75" bestFit="1" customWidth="1"/>
    <col min="226" max="226" width="12.625" bestFit="1" customWidth="1"/>
    <col min="227" max="231" width="13.75" bestFit="1" customWidth="1"/>
    <col min="232" max="232" width="12.625" bestFit="1" customWidth="1"/>
    <col min="233" max="233" width="13.75" bestFit="1" customWidth="1"/>
    <col min="234" max="234" width="12.625" bestFit="1" customWidth="1"/>
    <col min="235" max="236" width="13.75" bestFit="1" customWidth="1"/>
    <col min="237" max="238" width="12.625" bestFit="1" customWidth="1"/>
    <col min="239" max="239" width="13.75" bestFit="1" customWidth="1"/>
    <col min="240" max="240" width="12.625" bestFit="1" customWidth="1"/>
    <col min="241" max="242" width="13.75" bestFit="1" customWidth="1"/>
    <col min="243" max="243" width="12.625" bestFit="1" customWidth="1"/>
    <col min="244" max="247" width="13.75" bestFit="1" customWidth="1"/>
    <col min="248" max="248" width="12.625" bestFit="1" customWidth="1"/>
    <col min="249" max="249" width="13.75" bestFit="1" customWidth="1"/>
    <col min="250" max="252" width="12.625" bestFit="1" customWidth="1"/>
    <col min="253" max="254" width="13.75" bestFit="1" customWidth="1"/>
    <col min="255" max="255" width="12.625" bestFit="1" customWidth="1"/>
    <col min="256" max="259" width="13.75" bestFit="1" customWidth="1"/>
    <col min="260" max="263" width="12.625" bestFit="1" customWidth="1"/>
    <col min="264" max="265" width="13.75" bestFit="1" customWidth="1"/>
    <col min="266" max="267" width="12.625" bestFit="1" customWidth="1"/>
    <col min="268" max="271" width="13.75" bestFit="1" customWidth="1"/>
    <col min="272" max="272" width="12.625" bestFit="1" customWidth="1"/>
    <col min="273" max="273" width="13.75" bestFit="1" customWidth="1"/>
    <col min="274" max="275" width="12.625" bestFit="1" customWidth="1"/>
    <col min="276" max="278" width="13.75" bestFit="1" customWidth="1"/>
    <col min="279" max="279" width="12.625" bestFit="1" customWidth="1"/>
    <col min="280" max="285" width="13.75" bestFit="1" customWidth="1"/>
    <col min="286" max="286" width="12.625" bestFit="1" customWidth="1"/>
    <col min="287" max="288" width="13.75" bestFit="1" customWidth="1"/>
    <col min="289" max="289" width="12.625" bestFit="1" customWidth="1"/>
    <col min="290" max="295" width="13.75" bestFit="1" customWidth="1"/>
    <col min="296" max="296" width="12.625" bestFit="1" customWidth="1"/>
    <col min="297" max="298" width="13.75" bestFit="1" customWidth="1"/>
    <col min="299" max="299" width="12.625" bestFit="1" customWidth="1"/>
    <col min="300" max="312" width="13.75" bestFit="1" customWidth="1"/>
    <col min="313" max="313" width="12.625" bestFit="1" customWidth="1"/>
    <col min="314" max="315" width="13.75" bestFit="1" customWidth="1"/>
    <col min="316" max="316" width="12.625" bestFit="1" customWidth="1"/>
    <col min="317" max="321" width="13.75" bestFit="1" customWidth="1"/>
    <col min="322" max="325" width="14.75" bestFit="1" customWidth="1"/>
    <col min="326" max="326" width="13.75" bestFit="1" customWidth="1"/>
    <col min="327" max="327" width="14.75" bestFit="1" customWidth="1"/>
    <col min="328" max="328" width="13.75" bestFit="1" customWidth="1"/>
    <col min="329" max="330" width="14.75" bestFit="1" customWidth="1"/>
    <col min="331" max="331" width="13.75" bestFit="1" customWidth="1"/>
    <col min="332" max="333" width="14.75" bestFit="1" customWidth="1"/>
    <col min="334" max="335" width="13.75" bestFit="1" customWidth="1"/>
    <col min="336" max="339" width="14.75" bestFit="1" customWidth="1"/>
    <col min="340" max="340" width="13.75" bestFit="1" customWidth="1"/>
    <col min="341" max="351" width="14.75" bestFit="1" customWidth="1"/>
    <col min="352" max="353" width="13.75" bestFit="1" customWidth="1"/>
    <col min="354" max="356" width="14.75" bestFit="1" customWidth="1"/>
    <col min="357" max="357" width="13.75" bestFit="1" customWidth="1"/>
    <col min="358" max="359" width="14.75" bestFit="1" customWidth="1"/>
    <col min="360" max="361" width="13.75" bestFit="1" customWidth="1"/>
    <col min="362" max="364" width="14.75" bestFit="1" customWidth="1"/>
    <col min="365" max="366" width="13.75" bestFit="1" customWidth="1"/>
    <col min="367" max="368" width="14.75" bestFit="1" customWidth="1"/>
    <col min="369" max="369" width="13.75" bestFit="1" customWidth="1"/>
    <col min="370" max="372" width="14.75" bestFit="1" customWidth="1"/>
    <col min="373" max="373" width="13.75" bestFit="1" customWidth="1"/>
    <col min="374" max="376" width="14.75" bestFit="1" customWidth="1"/>
    <col min="377" max="377" width="13.75" bestFit="1" customWidth="1"/>
    <col min="378" max="378" width="14.75" bestFit="1" customWidth="1"/>
    <col min="379" max="379" width="13.75" bestFit="1" customWidth="1"/>
    <col min="380" max="381" width="14.75" bestFit="1" customWidth="1"/>
    <col min="382" max="382" width="13.75" bestFit="1" customWidth="1"/>
    <col min="383" max="389" width="14.75" bestFit="1" customWidth="1"/>
    <col min="390" max="390" width="13.75" bestFit="1" customWidth="1"/>
    <col min="391" max="394" width="14.75" bestFit="1" customWidth="1"/>
    <col min="395" max="395" width="13.75" bestFit="1" customWidth="1"/>
    <col min="396" max="402" width="14.75" bestFit="1" customWidth="1"/>
    <col min="403" max="403" width="10.5" bestFit="1" customWidth="1"/>
    <col min="404" max="405" width="13.75" bestFit="1" customWidth="1"/>
    <col min="406" max="407" width="12.625" bestFit="1" customWidth="1"/>
    <col min="408" max="409" width="13.75" bestFit="1" customWidth="1"/>
    <col min="410" max="410" width="12.625" bestFit="1" customWidth="1"/>
    <col min="411" max="412" width="14.75" bestFit="1" customWidth="1"/>
    <col min="413" max="413" width="13.75" bestFit="1" customWidth="1"/>
    <col min="414" max="414" width="14.75" bestFit="1" customWidth="1"/>
    <col min="415" max="416" width="13.75" bestFit="1" customWidth="1"/>
    <col min="417" max="417" width="14.75" bestFit="1" customWidth="1"/>
    <col min="418" max="418" width="8.75" bestFit="1" customWidth="1"/>
    <col min="419" max="419" width="12.625" bestFit="1" customWidth="1"/>
    <col min="420" max="421" width="13.75" bestFit="1" customWidth="1"/>
    <col min="422" max="423" width="12.625" bestFit="1" customWidth="1"/>
    <col min="424" max="428" width="13.75" bestFit="1" customWidth="1"/>
    <col min="429" max="429" width="12.625" bestFit="1" customWidth="1"/>
    <col min="430" max="430" width="13.75" bestFit="1" customWidth="1"/>
    <col min="431" max="432" width="12.625" bestFit="1" customWidth="1"/>
    <col min="433" max="434" width="13.75" bestFit="1" customWidth="1"/>
    <col min="435" max="436" width="12.625" bestFit="1" customWidth="1"/>
    <col min="437" max="440" width="13.75" bestFit="1" customWidth="1"/>
    <col min="441" max="443" width="12.625" bestFit="1" customWidth="1"/>
    <col min="444" max="447" width="13.75" bestFit="1" customWidth="1"/>
    <col min="448" max="449" width="12.625" bestFit="1" customWidth="1"/>
    <col min="450" max="453" width="13.75" bestFit="1" customWidth="1"/>
    <col min="454" max="454" width="12.625" bestFit="1" customWidth="1"/>
    <col min="455" max="462" width="13.75" bestFit="1" customWidth="1"/>
    <col min="463" max="463" width="12.625" bestFit="1" customWidth="1"/>
    <col min="464" max="467" width="13.75" bestFit="1" customWidth="1"/>
    <col min="468" max="469" width="12.625" bestFit="1" customWidth="1"/>
    <col min="470" max="472" width="13.75" bestFit="1" customWidth="1"/>
    <col min="473" max="475" width="12.625" bestFit="1" customWidth="1"/>
    <col min="476" max="485" width="13.75" bestFit="1" customWidth="1"/>
    <col min="486" max="486" width="12.625" bestFit="1" customWidth="1"/>
    <col min="487" max="500" width="13.75" bestFit="1" customWidth="1"/>
    <col min="501" max="502" width="12.625" bestFit="1" customWidth="1"/>
    <col min="503" max="505" width="13.75" bestFit="1" customWidth="1"/>
    <col min="506" max="506" width="12.625" bestFit="1" customWidth="1"/>
    <col min="507" max="512" width="13.75" bestFit="1" customWidth="1"/>
    <col min="513" max="513" width="12.625" bestFit="1" customWidth="1"/>
    <col min="514" max="515" width="13.75" bestFit="1" customWidth="1"/>
    <col min="516" max="516" width="12.625" bestFit="1" customWidth="1"/>
    <col min="517" max="518" width="13.75" bestFit="1" customWidth="1"/>
    <col min="519" max="520" width="12.625" bestFit="1" customWidth="1"/>
    <col min="521" max="528" width="13.75" bestFit="1" customWidth="1"/>
    <col min="529" max="529" width="12.625" bestFit="1" customWidth="1"/>
    <col min="530" max="530" width="13.75" bestFit="1" customWidth="1"/>
    <col min="531" max="533" width="12.625" bestFit="1" customWidth="1"/>
    <col min="534" max="537" width="13.75" bestFit="1" customWidth="1"/>
    <col min="538" max="539" width="12.625" bestFit="1" customWidth="1"/>
    <col min="540" max="541" width="13.75" bestFit="1" customWidth="1"/>
    <col min="542" max="543" width="12.625" bestFit="1" customWidth="1"/>
    <col min="544" max="545" width="13.75" bestFit="1" customWidth="1"/>
    <col min="546" max="546" width="12.625" bestFit="1" customWidth="1"/>
    <col min="547" max="551" width="13.75" bestFit="1" customWidth="1"/>
    <col min="552" max="552" width="12.625" bestFit="1" customWidth="1"/>
    <col min="553" max="555" width="13.75" bestFit="1" customWidth="1"/>
    <col min="556" max="557" width="12.625" bestFit="1" customWidth="1"/>
    <col min="558" max="561" width="13.75" bestFit="1" customWidth="1"/>
    <col min="562" max="565" width="12.625" bestFit="1" customWidth="1"/>
    <col min="566" max="573" width="13.75" bestFit="1" customWidth="1"/>
    <col min="574" max="575" width="12.625" bestFit="1" customWidth="1"/>
    <col min="576" max="581" width="13.75" bestFit="1" customWidth="1"/>
    <col min="582" max="582" width="12.625" bestFit="1" customWidth="1"/>
    <col min="583" max="584" width="13.75" bestFit="1" customWidth="1"/>
    <col min="585" max="587" width="12.625" bestFit="1" customWidth="1"/>
    <col min="588" max="596" width="13.75" bestFit="1" customWidth="1"/>
    <col min="597" max="597" width="12.625" bestFit="1" customWidth="1"/>
    <col min="598" max="600" width="13.75" bestFit="1" customWidth="1"/>
    <col min="601" max="602" width="12.625" bestFit="1" customWidth="1"/>
    <col min="603" max="608" width="13.75" bestFit="1" customWidth="1"/>
    <col min="609" max="610" width="12.625" bestFit="1" customWidth="1"/>
    <col min="611" max="612" width="13.75" bestFit="1" customWidth="1"/>
    <col min="613" max="613" width="12.625" bestFit="1" customWidth="1"/>
    <col min="614" max="618" width="13.75" bestFit="1" customWidth="1"/>
    <col min="619" max="620" width="12.625" bestFit="1" customWidth="1"/>
    <col min="621" max="625" width="13.75" bestFit="1" customWidth="1"/>
    <col min="626" max="628" width="12.625" bestFit="1" customWidth="1"/>
    <col min="629" max="631" width="13.75" bestFit="1" customWidth="1"/>
    <col min="632" max="633" width="12.625" bestFit="1" customWidth="1"/>
    <col min="634" max="635" width="13.75" bestFit="1" customWidth="1"/>
    <col min="636" max="637" width="12.625" bestFit="1" customWidth="1"/>
    <col min="638" max="648" width="13.75" bestFit="1" customWidth="1"/>
    <col min="649" max="649" width="12.625" bestFit="1" customWidth="1"/>
    <col min="650" max="654" width="13.75" bestFit="1" customWidth="1"/>
    <col min="655" max="656" width="12.625" bestFit="1" customWidth="1"/>
    <col min="657" max="659" width="13.75" bestFit="1" customWidth="1"/>
    <col min="660" max="661" width="12.625" bestFit="1" customWidth="1"/>
    <col min="662" max="669" width="13.75" bestFit="1" customWidth="1"/>
    <col min="670" max="670" width="12.625" bestFit="1" customWidth="1"/>
    <col min="671" max="676" width="13.75" bestFit="1" customWidth="1"/>
    <col min="677" max="678" width="12.625" bestFit="1" customWidth="1"/>
    <col min="679" max="686" width="13.75" bestFit="1" customWidth="1"/>
    <col min="687" max="687" width="12.625" bestFit="1" customWidth="1"/>
    <col min="688" max="691" width="13.75" bestFit="1" customWidth="1"/>
    <col min="692" max="693" width="12.625" bestFit="1" customWidth="1"/>
    <col min="694" max="698" width="13.75" bestFit="1" customWidth="1"/>
    <col min="699" max="699" width="12.625" bestFit="1" customWidth="1"/>
    <col min="700" max="703" width="13.75" bestFit="1" customWidth="1"/>
    <col min="704" max="705" width="12.625" bestFit="1" customWidth="1"/>
    <col min="706" max="711" width="13.75" bestFit="1" customWidth="1"/>
    <col min="712" max="712" width="12.625" bestFit="1" customWidth="1"/>
    <col min="713" max="715" width="13.75" bestFit="1" customWidth="1"/>
    <col min="716" max="717" width="12.625" bestFit="1" customWidth="1"/>
    <col min="718" max="732" width="13.75" bestFit="1" customWidth="1"/>
    <col min="733" max="734" width="12.625" bestFit="1" customWidth="1"/>
    <col min="735" max="736" width="13.75" bestFit="1" customWidth="1"/>
    <col min="737" max="738" width="12.625" bestFit="1" customWidth="1"/>
    <col min="739" max="742" width="13.75" bestFit="1" customWidth="1"/>
    <col min="743" max="744" width="12.625" bestFit="1" customWidth="1"/>
    <col min="745" max="751" width="13.75" bestFit="1" customWidth="1"/>
    <col min="752" max="753" width="12.625" bestFit="1" customWidth="1"/>
    <col min="754" max="755" width="13.75" bestFit="1" customWidth="1"/>
    <col min="756" max="756" width="12.625" bestFit="1" customWidth="1"/>
    <col min="757" max="758" width="13.75" bestFit="1" customWidth="1"/>
    <col min="759" max="761" width="12.625" bestFit="1" customWidth="1"/>
    <col min="762" max="765" width="13.75" bestFit="1" customWidth="1"/>
    <col min="766" max="766" width="12.625" bestFit="1" customWidth="1"/>
    <col min="767" max="773" width="13.75" bestFit="1" customWidth="1"/>
    <col min="774" max="775" width="12.625" bestFit="1" customWidth="1"/>
    <col min="776" max="776" width="13.75" bestFit="1" customWidth="1"/>
    <col min="777" max="777" width="12.625" bestFit="1" customWidth="1"/>
    <col min="778" max="780" width="13.75" bestFit="1" customWidth="1"/>
    <col min="781" max="782" width="12.625" bestFit="1" customWidth="1"/>
    <col min="783" max="785" width="13.75" bestFit="1" customWidth="1"/>
    <col min="786" max="786" width="12.625" bestFit="1" customWidth="1"/>
    <col min="787" max="789" width="13.75" bestFit="1" customWidth="1"/>
    <col min="790" max="790" width="12.625" bestFit="1" customWidth="1"/>
    <col min="791" max="795" width="13.75" bestFit="1" customWidth="1"/>
    <col min="796" max="796" width="12.625" bestFit="1" customWidth="1"/>
    <col min="797" max="801" width="13.75" bestFit="1" customWidth="1"/>
    <col min="802" max="803" width="12.625" bestFit="1" customWidth="1"/>
    <col min="804" max="806" width="13.75" bestFit="1" customWidth="1"/>
    <col min="807" max="807" width="12.625" bestFit="1" customWidth="1"/>
    <col min="808" max="811" width="13.75" bestFit="1" customWidth="1"/>
    <col min="812" max="813" width="12.625" bestFit="1" customWidth="1"/>
    <col min="814" max="816" width="13.75" bestFit="1" customWidth="1"/>
    <col min="817" max="820" width="14.75" bestFit="1" customWidth="1"/>
    <col min="821" max="822" width="13.75" bestFit="1" customWidth="1"/>
    <col min="823" max="825" width="14.75" bestFit="1" customWidth="1"/>
    <col min="826" max="827" width="13.75" bestFit="1" customWidth="1"/>
    <col min="828" max="829" width="14.75" bestFit="1" customWidth="1"/>
    <col min="830" max="830" width="13.75" bestFit="1" customWidth="1"/>
    <col min="831" max="833" width="14.75" bestFit="1" customWidth="1"/>
    <col min="834" max="836" width="13.75" bestFit="1" customWidth="1"/>
    <col min="837" max="838" width="14.75" bestFit="1" customWidth="1"/>
    <col min="839" max="841" width="13.75" bestFit="1" customWidth="1"/>
    <col min="842" max="842" width="14.75" bestFit="1" customWidth="1"/>
    <col min="843" max="844" width="13.75" bestFit="1" customWidth="1"/>
    <col min="845" max="845" width="14.75" bestFit="1" customWidth="1"/>
    <col min="846" max="847" width="13.75" bestFit="1" customWidth="1"/>
    <col min="848" max="849" width="14.75" bestFit="1" customWidth="1"/>
    <col min="850" max="850" width="13.75" bestFit="1" customWidth="1"/>
    <col min="851" max="857" width="14.75" bestFit="1" customWidth="1"/>
    <col min="858" max="859" width="13.75" bestFit="1" customWidth="1"/>
    <col min="860" max="878" width="14.75" bestFit="1" customWidth="1"/>
    <col min="879" max="879" width="13.75" bestFit="1" customWidth="1"/>
    <col min="880" max="882" width="14.75" bestFit="1" customWidth="1"/>
    <col min="883" max="885" width="13.75" bestFit="1" customWidth="1"/>
    <col min="886" max="890" width="14.75" bestFit="1" customWidth="1"/>
    <col min="891" max="891" width="13.75" bestFit="1" customWidth="1"/>
    <col min="892" max="899" width="14.75" bestFit="1" customWidth="1"/>
    <col min="900" max="900" width="13.75" bestFit="1" customWidth="1"/>
    <col min="901" max="902" width="14.75" bestFit="1" customWidth="1"/>
    <col min="903" max="904" width="13.75" bestFit="1" customWidth="1"/>
    <col min="905" max="907" width="14.75" bestFit="1" customWidth="1"/>
    <col min="908" max="908" width="13.75" bestFit="1" customWidth="1"/>
    <col min="909" max="917" width="14.75" bestFit="1" customWidth="1"/>
    <col min="918" max="918" width="13.75" bestFit="1" customWidth="1"/>
    <col min="919" max="919" width="14.75" bestFit="1" customWidth="1"/>
    <col min="920" max="920" width="13.75" bestFit="1" customWidth="1"/>
    <col min="921" max="925" width="14.75" bestFit="1" customWidth="1"/>
    <col min="926" max="926" width="13.75" bestFit="1" customWidth="1"/>
    <col min="927" max="930" width="14.75" bestFit="1" customWidth="1"/>
    <col min="931" max="932" width="13.75" bestFit="1" customWidth="1"/>
    <col min="933" max="934" width="14.75" bestFit="1" customWidth="1"/>
    <col min="935" max="936" width="13.75" bestFit="1" customWidth="1"/>
    <col min="937" max="939" width="14.75" bestFit="1" customWidth="1"/>
    <col min="940" max="940" width="14.25" bestFit="1" customWidth="1"/>
    <col min="941" max="941" width="11" bestFit="1" customWidth="1"/>
  </cols>
  <sheetData>
    <row r="1" spans="1:6" x14ac:dyDescent="0.25">
      <c r="A1" s="8" t="s">
        <v>2065</v>
      </c>
      <c r="B1" t="s" vm="2">
        <v>2073</v>
      </c>
    </row>
    <row r="2" spans="1:6" x14ac:dyDescent="0.25">
      <c r="A2" s="8" t="s">
        <v>2086</v>
      </c>
      <c r="B2" t="s" vm="1">
        <v>2073</v>
      </c>
    </row>
    <row r="4" spans="1:6" x14ac:dyDescent="0.25">
      <c r="A4" s="8" t="s">
        <v>2068</v>
      </c>
      <c r="B4" s="8" t="s">
        <v>2069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2083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5">
      <c r="A7" s="9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5">
      <c r="A8" s="9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5">
      <c r="A9" s="9" t="s">
        <v>2085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5">
      <c r="A10" s="9" t="s">
        <v>2081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5">
      <c r="A11" s="9" t="s">
        <v>2076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5">
      <c r="A12" s="9" t="s">
        <v>2084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5">
      <c r="A13" s="9" t="s">
        <v>2077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5">
      <c r="A14" s="9" t="s">
        <v>2078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5">
      <c r="A15" s="9" t="s">
        <v>2079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5">
      <c r="A16" s="9" t="s">
        <v>2082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5">
      <c r="A17" s="9" t="s">
        <v>2080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5">
      <c r="A18" s="9" t="s">
        <v>2067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A933" zoomScale="60" zoomScaleNormal="60" workbookViewId="0">
      <selection activeCell="G1" sqref="G1:H100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9.625" customWidth="1"/>
    <col min="6" max="6" width="14.25" style="4" customWidth="1"/>
    <col min="8" max="8" width="13" bestFit="1" customWidth="1"/>
    <col min="9" max="9" width="15.125" style="6" customWidth="1"/>
    <col min="12" max="12" width="17" customWidth="1"/>
    <col min="13" max="13" width="15.75" customWidth="1"/>
    <col min="14" max="14" width="27.625" customWidth="1"/>
    <col min="15" max="15" width="26" customWidth="1"/>
    <col min="18" max="19" width="28" bestFit="1" customWidth="1"/>
    <col min="20" max="20" width="12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2">
        <f>E2/D2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6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6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6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6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6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6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6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6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6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6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6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6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6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6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6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6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G1:H1001" xr:uid="{00000000-0001-0000-0000-000000000000}">
    <filterColumn colId="0">
      <filters>
        <filter val="failed"/>
      </filters>
    </filterColumn>
  </autoFilter>
  <conditionalFormatting sqref="G1:G10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14" priority="6" operator="equal">
      <formula>"live"</formula>
    </cfRule>
    <cfRule type="cellIs" dxfId="13" priority="7" operator="equal">
      <formula>"canceled"</formula>
    </cfRule>
    <cfRule type="cellIs" dxfId="12" priority="8" operator="equal">
      <formula>"failed"</formula>
    </cfRule>
    <cfRule type="cellIs" dxfId="11" priority="9" operator="greaterThan">
      <formula>"failed"</formula>
    </cfRule>
    <cfRule type="cellIs" dxfId="10" priority="10" operator="greaterThan">
      <formula>"succesful"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7965-AE7E-4FDE-806F-B8756E0AD7D6}">
  <dimension ref="A1:H13"/>
  <sheetViews>
    <sheetView zoomScale="90" zoomScaleNormal="90" workbookViewId="0">
      <selection activeCell="I17" sqref="I17"/>
    </sheetView>
  </sheetViews>
  <sheetFormatPr defaultRowHeight="15.75" x14ac:dyDescent="0.25"/>
  <cols>
    <col min="1" max="1" width="13.375" customWidth="1"/>
    <col min="2" max="2" width="15.875" customWidth="1"/>
    <col min="3" max="3" width="13.625" customWidth="1"/>
    <col min="4" max="4" width="15.25" customWidth="1"/>
    <col min="5" max="5" width="12.375" customWidth="1"/>
    <col min="6" max="6" width="19.125" customWidth="1"/>
    <col min="7" max="7" width="15.25" customWidth="1"/>
    <col min="8" max="8" width="17.875" customWidth="1"/>
  </cols>
  <sheetData>
    <row r="1" spans="1:8" x14ac:dyDescent="0.25">
      <c r="A1" s="13" t="s">
        <v>2087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3" t="s">
        <v>2092</v>
      </c>
      <c r="G1" s="13" t="s">
        <v>2093</v>
      </c>
      <c r="H1" s="13" t="s">
        <v>2094</v>
      </c>
    </row>
    <row r="2" spans="1:8" x14ac:dyDescent="0.25">
      <c r="A2" t="s">
        <v>2095</v>
      </c>
      <c r="B2">
        <f>COUNTIFS(Crowdfunding!D:D, "&lt;1000", Crowdfunding!G:G, "successful")</f>
        <v>30</v>
      </c>
      <c r="C2">
        <f>COUNTIFS(Crowdfunding!D:D, "&lt;1000", Crowdfunding!G:G, "failed")</f>
        <v>20</v>
      </c>
      <c r="D2">
        <f>COUNTIFS(Crowdfunding!D:D, "&lt;1000", Crowdfunding!G:G, "canceled")</f>
        <v>1</v>
      </c>
      <c r="E2">
        <f>(B2+C2+D2)</f>
        <v>51</v>
      </c>
      <c r="F2" s="14">
        <f>(B2/E2)</f>
        <v>0.58823529411764708</v>
      </c>
      <c r="G2" s="4">
        <f>(C2/E2)</f>
        <v>0.39215686274509803</v>
      </c>
      <c r="H2" s="4">
        <f>(D2/E2)</f>
        <v>1.9607843137254902E-2</v>
      </c>
    </row>
    <row r="3" spans="1:8" x14ac:dyDescent="0.25">
      <c r="A3" t="s">
        <v>2096</v>
      </c>
      <c r="B3">
        <f>COUNTIFS(Crowdfunding!D:D, "&gt;=1000", Crowdfunding!D:D, "&lt;=4999", Crowdfunding!G:G, "successful")</f>
        <v>191</v>
      </c>
      <c r="C3">
        <f>COUNTIFS(Crowdfunding!D:D, "&gt;=1000", Crowdfunding!D:D, "&lt;=4999", Crowdfunding!G:G, "failed")</f>
        <v>38</v>
      </c>
      <c r="D3">
        <f>COUNTIFS(Crowdfunding!D:D, "&gt;=1000", Crowdfunding!D:D, "&lt;=4999", Crowdfunding!G:G, "canceled")</f>
        <v>2</v>
      </c>
      <c r="E3">
        <f t="shared" ref="E3:E13" si="0">(B3+C3+D3)</f>
        <v>231</v>
      </c>
      <c r="F3" s="14">
        <f t="shared" ref="F3:F13" si="1">(B3/E3)</f>
        <v>0.82683982683982682</v>
      </c>
      <c r="G3" s="4">
        <f t="shared" ref="G3:G13" si="2">(C3/E3)</f>
        <v>0.16450216450216451</v>
      </c>
      <c r="H3" s="4">
        <f t="shared" ref="H3:H13" si="3">(D3/E3)</f>
        <v>8.658008658008658E-3</v>
      </c>
    </row>
    <row r="4" spans="1:8" x14ac:dyDescent="0.25">
      <c r="A4" t="s">
        <v>2097</v>
      </c>
      <c r="B4">
        <f>COUNTIFS(Crowdfunding!D:D, "&gt;=5000", Crowdfunding!D:D, "&lt;=9999", Crowdfunding!G:G, "successful")</f>
        <v>164</v>
      </c>
      <c r="C4">
        <f>COUNTIFS(Crowdfunding!D:D, "&gt;=5000", Crowdfunding!D:D, "&lt;=9999", Crowdfunding!G:G, "failed")</f>
        <v>126</v>
      </c>
      <c r="D4">
        <f>COUNTIFS(Crowdfunding!D:D, "&gt;=5000", Crowdfunding!D:D, "&lt;=9999", Crowdfunding!G:G, "canceled")</f>
        <v>25</v>
      </c>
      <c r="E4">
        <f t="shared" si="0"/>
        <v>315</v>
      </c>
      <c r="F4" s="1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2098</v>
      </c>
      <c r="B5">
        <f>COUNTIFS(Crowdfunding!D:D, "&gt;=10000", Crowdfunding!D:D, "&lt;=14999", Crowdfunding!G:G, "successful")</f>
        <v>4</v>
      </c>
      <c r="C5">
        <f>COUNTIFS(Crowdfunding!D:D, "&gt;=10000", Crowdfunding!D:D, "&lt;=14999", Crowdfunding!G:G, "failed")</f>
        <v>5</v>
      </c>
      <c r="D5">
        <f>COUNTIFS(Crowdfunding!D:D, "&gt;=10000", Crowdfunding!D:D, "&lt;=14999", Crowdfunding!G:G, "canceled")</f>
        <v>0</v>
      </c>
      <c r="E5">
        <f t="shared" si="0"/>
        <v>9</v>
      </c>
      <c r="F5" s="1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2105</v>
      </c>
      <c r="B6">
        <f>COUNTIFS(Crowdfunding!D:D, "&gt;=15000", Crowdfunding!D:D, "&lt;=19999", Crowdfunding!G:G, "successful")</f>
        <v>10</v>
      </c>
      <c r="C6">
        <f>COUNTIFS(Crowdfunding!D:D, "&gt;=15000", Crowdfunding!D:D, "&lt;=19999", Crowdfunding!G:G, "failed")</f>
        <v>0</v>
      </c>
      <c r="D6">
        <f>COUNTIFS(Crowdfunding!D:D, "&gt;=15000", Crowdfunding!D:D, "&lt;=19999", Crowdfunding!G:G, "canceled")</f>
        <v>0</v>
      </c>
      <c r="E6">
        <f t="shared" si="0"/>
        <v>10</v>
      </c>
      <c r="F6" s="1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COUNTIFS(Crowdfunding!D:D, "&gt;=20000", Crowdfunding!D:D, "&lt;=24999", Crowdfunding!G:G, "successful")</f>
        <v>7</v>
      </c>
      <c r="C7">
        <f>COUNTIFS(Crowdfunding!D:D, "&gt;=20000", Crowdfunding!D:D, "&lt;=24999", Crowdfunding!G:G, "failed")</f>
        <v>0</v>
      </c>
      <c r="D7">
        <f>COUNTIFS(Crowdfunding!D:D, "&gt;=20000", Crowdfunding!D:D, "&lt;=24999", Crowdfunding!G:G, "canceled")</f>
        <v>0</v>
      </c>
      <c r="E7">
        <f t="shared" si="0"/>
        <v>7</v>
      </c>
      <c r="F7" s="1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COUNTIFS(Crowdfunding!D:D, "&gt;=25000", Crowdfunding!D:D, "&lt;=29999", Crowdfunding!G:G, "successful")</f>
        <v>11</v>
      </c>
      <c r="C8">
        <f>COUNTIFS(Crowdfunding!D:D, "&gt;=25000", Crowdfunding!D:D, "&lt;=29999", Crowdfunding!G:G, "failed")</f>
        <v>3</v>
      </c>
      <c r="D8">
        <f>COUNTIFS(Crowdfunding!D:D, "&gt;=25000", Crowdfunding!D:D, "&lt;=29999", Crowdfunding!G:G, "canceled")</f>
        <v>0</v>
      </c>
      <c r="E8">
        <f t="shared" si="0"/>
        <v>14</v>
      </c>
      <c r="F8" s="1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2101</v>
      </c>
      <c r="B9">
        <f>COUNTIFS(Crowdfunding!D:D, "&gt;=30000", Crowdfunding!D:D, "&lt;=34999", Crowdfunding!G:G, "successful")</f>
        <v>7</v>
      </c>
      <c r="C9">
        <f>COUNTIFS(Crowdfunding!D:D, "&gt;=30000", Crowdfunding!D:D, "&lt;=34999", Crowdfunding!G:G, "failed")</f>
        <v>0</v>
      </c>
      <c r="D9">
        <f>COUNTIFS(Crowdfunding!D:D, "&gt;=30000", Crowdfunding!D:D, "&lt;=34999", Crowdfunding!G:G, "canceled")</f>
        <v>0</v>
      </c>
      <c r="E9">
        <f t="shared" si="0"/>
        <v>7</v>
      </c>
      <c r="F9" s="1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2106</v>
      </c>
      <c r="B10">
        <f>COUNTIFS(Crowdfunding!D:D, "&gt;=35000", Crowdfunding!D:D, "&lt;=39999", Crowdfunding!G:G, "successful")</f>
        <v>8</v>
      </c>
      <c r="C10">
        <f>COUNTIFS(Crowdfunding!D:D, "&gt;=35000", Crowdfunding!D:D, "&lt;=39999", Crowdfunding!G:G, "failed")</f>
        <v>3</v>
      </c>
      <c r="D10">
        <f>COUNTIFS(Crowdfunding!D:D, "&gt;=35000", Crowdfunding!D:D, "&lt;=39999", Crowdfunding!G:G, "canceled")</f>
        <v>1</v>
      </c>
      <c r="E10">
        <f t="shared" si="0"/>
        <v>12</v>
      </c>
      <c r="F10" s="1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2102</v>
      </c>
      <c r="B11">
        <f>COUNTIFS(Crowdfunding!D:D, "&gt;=40000", Crowdfunding!D:D, "&lt;=44999", Crowdfunding!G:G, "successful")</f>
        <v>11</v>
      </c>
      <c r="C11">
        <f>COUNTIFS(Crowdfunding!D:D, "&gt;=40000", Crowdfunding!D:D, "&lt;=44999", Crowdfunding!G:G, "failed")</f>
        <v>3</v>
      </c>
      <c r="D11">
        <f>COUNTIFS(Crowdfunding!D:D, "&gt;=40000", Crowdfunding!D:D, "&lt;=44999", Crowdfunding!G:G, "canceled")</f>
        <v>0</v>
      </c>
      <c r="E11">
        <f t="shared" si="0"/>
        <v>14</v>
      </c>
      <c r="F11" s="1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2103</v>
      </c>
      <c r="B12">
        <f>COUNTIFS(Crowdfunding!D:D, "&gt;=45000", Crowdfunding!D:D, "&lt;=49999", Crowdfunding!G:G, "successful")</f>
        <v>8</v>
      </c>
      <c r="C12">
        <f>COUNTIFS(Crowdfunding!D:D, "&gt;=45000", Crowdfunding!D:D, "&lt;=49999", Crowdfunding!G:G, "failed")</f>
        <v>3</v>
      </c>
      <c r="D12">
        <f>COUNTIFS(Crowdfunding!D:D, "&gt;=45000", Crowdfunding!D:D, "&lt;=49999", Crowdfunding!G:G, "canceled")</f>
        <v>0</v>
      </c>
      <c r="E12">
        <f t="shared" si="0"/>
        <v>11</v>
      </c>
      <c r="F12" s="1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2104</v>
      </c>
      <c r="B13">
        <f>COUNTIFS(Crowdfunding!D:D, "&gt;=50000", Crowdfunding!G:G, "successful")</f>
        <v>114</v>
      </c>
      <c r="C13">
        <f>COUNTIFS(Crowdfunding!D:D, "&gt;=50000", Crowdfunding!G:G, "failed")</f>
        <v>163</v>
      </c>
      <c r="D13">
        <f>COUNTIFS(Crowdfunding!D:D, "&gt;=50000", Crowdfunding!G:G, "canceled")</f>
        <v>28</v>
      </c>
      <c r="E13">
        <f t="shared" si="0"/>
        <v>305</v>
      </c>
      <c r="F13" s="1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59EB-9417-4662-A109-3C03D4580127}">
  <dimension ref="A1:L566"/>
  <sheetViews>
    <sheetView tabSelected="1" workbookViewId="0">
      <selection activeCell="L12" sqref="L12"/>
    </sheetView>
  </sheetViews>
  <sheetFormatPr defaultRowHeight="15.75" x14ac:dyDescent="0.25"/>
  <cols>
    <col min="2" max="2" width="13.5" customWidth="1"/>
    <col min="5" max="5" width="13.875" customWidth="1"/>
  </cols>
  <sheetData>
    <row r="1" spans="1:12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2" x14ac:dyDescent="0.25">
      <c r="A2" t="s">
        <v>20</v>
      </c>
      <c r="B2">
        <v>158</v>
      </c>
      <c r="D2" t="s">
        <v>14</v>
      </c>
      <c r="E2">
        <v>0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  <c r="H5" s="15" t="s">
        <v>2107</v>
      </c>
      <c r="K5" s="15" t="s">
        <v>2108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H6" t="s">
        <v>2109</v>
      </c>
      <c r="I6">
        <f>AVERAGE($B$2:$B$566)</f>
        <v>851.14690265486729</v>
      </c>
      <c r="K6" t="s">
        <v>2115</v>
      </c>
      <c r="L6">
        <f>AVERAGE($E$2:$E$365)</f>
        <v>585.61538461538464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H7" t="s">
        <v>2110</v>
      </c>
      <c r="I7">
        <f>MEDIAN($B$2:$B$566)</f>
        <v>201</v>
      </c>
      <c r="K7" t="s">
        <v>2110</v>
      </c>
      <c r="L7">
        <f>MEDIAN($E$2:$E$365)</f>
        <v>114.5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  <c r="H8" t="s">
        <v>2112</v>
      </c>
      <c r="I8">
        <f>MIN($B$2:$B$566)</f>
        <v>16</v>
      </c>
      <c r="K8" t="s">
        <v>2112</v>
      </c>
      <c r="L8">
        <f>MIN($E$2:$E$365)</f>
        <v>0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  <c r="H9" t="s">
        <v>2111</v>
      </c>
      <c r="I9">
        <f>MAX($B$2:$B$566)</f>
        <v>7295</v>
      </c>
      <c r="K9" t="s">
        <v>2111</v>
      </c>
      <c r="L9">
        <f>MAX($E$2:$E$365)</f>
        <v>6080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  <c r="H10" t="s">
        <v>2113</v>
      </c>
      <c r="I10">
        <f>_xlfn.VAR.S($B$2:$B$566)</f>
        <v>1606216.5936295739</v>
      </c>
      <c r="K10" t="s">
        <v>2113</v>
      </c>
      <c r="L10">
        <f>_xlfn.VAR.S($E$2:$E$365)</f>
        <v>924113.45496927318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  <c r="H11" t="s">
        <v>2114</v>
      </c>
      <c r="I11">
        <f>_xlfn.STDEV.S($B$2:$B$566)</f>
        <v>1267.366006183523</v>
      </c>
      <c r="K11" t="s">
        <v>2114</v>
      </c>
      <c r="L11">
        <f>_xlfn.STDEV.S($E$2:$E$365)</f>
        <v>961.30819978260524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566">
    <cfRule type="cellIs" dxfId="9" priority="7" operator="equal">
      <formula>"live"</formula>
    </cfRule>
    <cfRule type="cellIs" dxfId="8" priority="8" operator="equal">
      <formula>"canceled"</formula>
    </cfRule>
    <cfRule type="cellIs" dxfId="7" priority="9" operator="equal">
      <formula>"failed"</formula>
    </cfRule>
    <cfRule type="cellIs" dxfId="6" priority="10" operator="greaterThan">
      <formula>"failed"</formula>
    </cfRule>
    <cfRule type="cellIs" dxfId="5" priority="11" operator="greaterThan">
      <formula>"succesful"</formula>
    </cfRule>
  </conditionalFormatting>
  <conditionalFormatting sqref="D1:D3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65">
    <cfRule type="cellIs" dxfId="4" priority="1" operator="equal">
      <formula>"live"</formula>
    </cfRule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greaterThan">
      <formula>"failed"</formula>
    </cfRule>
    <cfRule type="cellIs" dxfId="0" priority="5" operator="greaterThan">
      <formula>"succesful"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Crowdfunding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Savannah Serrano</cp:lastModifiedBy>
  <dcterms:created xsi:type="dcterms:W3CDTF">2021-09-29T18:52:28Z</dcterms:created>
  <dcterms:modified xsi:type="dcterms:W3CDTF">2023-04-06T21:43:36Z</dcterms:modified>
</cp:coreProperties>
</file>