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D5A3F0BD-A3AE-4F04-A683-CEEE78D7E862}" xr6:coauthVersionLast="47" xr6:coauthVersionMax="47" xr10:uidLastSave="{00000000-0000-0000-0000-000000000000}"/>
  <bookViews>
    <workbookView xWindow="-108" yWindow="-108" windowWidth="23256" windowHeight="12456" activeTab="2" xr2:uid="{21D12DF7-5A82-42FF-8AA3-F2F7A918F72C}"/>
  </bookViews>
  <sheets>
    <sheet name="Index" sheetId="6" r:id="rId1"/>
    <sheet name="ChangeLog" sheetId="5" r:id="rId2"/>
    <sheet name="References" sheetId="3" r:id="rId3"/>
    <sheet name="RES equip" sheetId="9" r:id="rId4"/>
    <sheet name="Methods &amp; Assumptions" sheetId="7" r:id="rId5"/>
    <sheet name="TRP_E" sheetId="11" r:id="rId6"/>
    <sheet name="COM_2017" sheetId="10"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6">[4]Index_SATIM!$C$7</definedName>
    <definedName name="AGR" localSheetId="0">[4]Index_SATIM!$C$7</definedName>
    <definedName name="AGR" localSheetId="4">[4]Index_SATIM!$C$7</definedName>
    <definedName name="AGR" localSheetId="3">[4]Index_SATIM!$C$7</definedName>
    <definedName name="AGR" localSheetId="7">[4]Index_SATIM!$C$7</definedName>
    <definedName name="AGR">[5]Index!$C$7</definedName>
    <definedName name="ALswitch">[6]IND!$M$13</definedName>
    <definedName name="appendixD">#REF!</definedName>
    <definedName name="area">'[7]Burn Rates'!$A$3:$R$47</definedName>
    <definedName name="assump">[7]Assumptions!$A$1:$J$19</definedName>
    <definedName name="av">'[8]1999 PLAN'!$DJ$1</definedName>
    <definedName name="AVAIL">#REF!</definedName>
    <definedName name="AVAILABILITY">#REF!</definedName>
    <definedName name="b">#REF!</definedName>
    <definedName name="base.year">[9]NT_TRP!$A$2</definedName>
    <definedName name="BB">[7]PLAN!$U$1:$AO$36</definedName>
    <definedName name="burn">'[8]1999 PLAN'!$S$1:$AG$21</definedName>
    <definedName name="CAP">#REF!</definedName>
    <definedName name="capacity">'[8]1999 PLAN'!$CV$1:$DH$42</definedName>
    <definedName name="cc">#REF!</definedName>
    <definedName name="coal">'[8]1999 PLAN'!$AL$1:$AY$18</definedName>
    <definedName name="COAL_DEL">'[8]1999 PLAN'!$AL$1:$BB$38</definedName>
    <definedName name="COALBURN">#REF!</definedName>
    <definedName name="cold">'[8]1999 PLAN'!$HL$1</definedName>
    <definedName name="COLDER">'[8]1999 PLAN'!$HL$1</definedName>
    <definedName name="COM" localSheetId="6">[4]Index_SATIM!$C$8</definedName>
    <definedName name="COM" localSheetId="0">[4]Index_SATIM!$C$8</definedName>
    <definedName name="COM" localSheetId="4">[4]Index_SATIM!$C$8</definedName>
    <definedName name="COM" localSheetId="3">[4]Index_SATIM!$C$8</definedName>
    <definedName name="COM" localSheetId="7">[4]Index_SATIM!$C$8</definedName>
    <definedName name="COM">[5]Index!$C$8</definedName>
    <definedName name="ComTechs" localSheetId="6">COM_2017!$B$124</definedName>
    <definedName name="cv.diesel.hhv.MJL">[9]Units.CV!$C$9</definedName>
    <definedName name="cv.diesel.lhv.MJL">#REF!</definedName>
    <definedName name="CV.LHV.E85">#REF!</definedName>
    <definedName name="cv.petrol.hhv.MJL">[9]Units.CV!$C$13</definedName>
    <definedName name="CVV_DIESEL">#REF!</definedName>
    <definedName name="CVV_Petrol">#REF!</definedName>
    <definedName name="dd">#REF!</definedName>
    <definedName name="deflate05to10" localSheetId="6">[10]Deflator!$E$14</definedName>
    <definedName name="deflate05to10" localSheetId="7">[11]Deflator!$E$14</definedName>
    <definedName name="deflate05to10">[12]Deflator!$E$14</definedName>
    <definedName name="deflate07to10" localSheetId="6">[10]Deflator!$B$14</definedName>
    <definedName name="deflate07to10" localSheetId="7">[11]Deflator!$B$14</definedName>
    <definedName name="deflate07to10">[12]Deflator!$B$14</definedName>
    <definedName name="DEL">#REF!</definedName>
    <definedName name="del_page1">#REF!</definedName>
    <definedName name="DELIVERY">#REF!</definedName>
    <definedName name="DELIVERY_TOTAL">#REF!</definedName>
    <definedName name="Demand.Sectors">[13]Index!$D$2:$J$2</definedName>
    <definedName name="DieselLHV">[9]Units.CV!$F$46</definedName>
    <definedName name="discount_rate" localSheetId="6">[14]NT_PWR!$H$7</definedName>
    <definedName name="discount_rate" localSheetId="0">[14]NT_PWR!$H$7</definedName>
    <definedName name="discount_rate" localSheetId="4">[14]NT_PWR!$H$7</definedName>
    <definedName name="discount_rate" localSheetId="3">[14]NT_PWR!$H$7</definedName>
    <definedName name="discount_rate" localSheetId="7">[14]NT_PWR!$H$7</definedName>
    <definedName name="discount_rate">#REF!</definedName>
    <definedName name="dr">#REF!</definedName>
    <definedName name="drate">'[15]TechWATv5 (supwat5)'!$E$3</definedName>
    <definedName name="eaf">'[8]1999 PLAN'!$DJ$1:$DW$32</definedName>
    <definedName name="EB.year">#REF!</definedName>
    <definedName name="ee">#REF!</definedName>
    <definedName name="emissions_data">#REF!</definedName>
    <definedName name="emissions_data_parameters">#REF!</definedName>
    <definedName name="emissions_start" localSheetId="5">#REF!</definedName>
    <definedName name="emissions_start">[13]NameConv!$AY$4</definedName>
    <definedName name="emissions_types" localSheetId="5">#REF!</definedName>
    <definedName name="emissions_types">[13]NameConv!$AX$3</definedName>
    <definedName name="eMode">[9]Scenarios!$B$21</definedName>
    <definedName name="ENERGY">'[8]1999 PLAN'!$A$1:$M$49</definedName>
    <definedName name="ENERGY_PRINT">'[8]1999 PLAN'!$A$1:$M$51</definedName>
    <definedName name="Energy_Table">#REF!</definedName>
    <definedName name="ENERGY2">'[8]1999 PLAN'!$A$1:$M$51</definedName>
    <definedName name="EnergyTable200809">#REF!</definedName>
    <definedName name="ENRGY">#REF!</definedName>
    <definedName name="EnSO">'[16]EIS Y-E'!#REF!</definedName>
    <definedName name="environ">'[8]1999 PLAN'!$FU$1:$GL$21</definedName>
    <definedName name="epp_start" localSheetId="6">[14]PWR!$B$45</definedName>
    <definedName name="epp_start" localSheetId="0">[14]PWR!$B$45</definedName>
    <definedName name="epp_start" localSheetId="4">[14]PWR!$B$45</definedName>
    <definedName name="epp_start" localSheetId="2">#REF!</definedName>
    <definedName name="epp_start" localSheetId="3">[14]PWR!$B$45</definedName>
    <definedName name="epp_start" localSheetId="7">[14]PWR!$B$45</definedName>
    <definedName name="epp_start">#REF!</definedName>
    <definedName name="eps" localSheetId="6">[10]NameConv!$F$1</definedName>
    <definedName name="eps" localSheetId="0">[12]NameConv!$F$1</definedName>
    <definedName name="eps" localSheetId="4">[12]NameConv!$F$1</definedName>
    <definedName name="eps" localSheetId="3">[12]NameConv!$F$1</definedName>
    <definedName name="eps" localSheetId="7">[11]NameConv!$F$1</definedName>
    <definedName name="eps" localSheetId="5">#REF!</definedName>
    <definedName name="eps">[6]NameConv!$F$31</definedName>
    <definedName name="ERC.Efficiency">[9]Scenarios!$B$16</definedName>
    <definedName name="eso">'[16]year-end'!#REF!</definedName>
    <definedName name="etech_data" localSheetId="6">[14]PWR!$B$46:$BE$68</definedName>
    <definedName name="etech_data" localSheetId="0">[14]PWR!$B$46:$BE$68</definedName>
    <definedName name="etech_data" localSheetId="4">[14]PWR!$B$46:$BE$68</definedName>
    <definedName name="etech_data" localSheetId="2">#REF!</definedName>
    <definedName name="etech_data" localSheetId="3">[14]PWR!$B$46:$BE$68</definedName>
    <definedName name="etech_data" localSheetId="7">[14]PWR!$B$46:$BE$68</definedName>
    <definedName name="etech_data">#REF!</definedName>
    <definedName name="etech_parameters" localSheetId="6">[14]PWR!$B$42:$BH$42</definedName>
    <definedName name="etech_parameters" localSheetId="0">[14]PWR!$B$42:$BH$42</definedName>
    <definedName name="etech_parameters" localSheetId="4">[14]PWR!$B$42:$BH$42</definedName>
    <definedName name="etech_parameters" localSheetId="2">#REF!</definedName>
    <definedName name="etech_parameters" localSheetId="3">[14]PWR!$B$42:$BH$42</definedName>
    <definedName name="etech_parameters" localSheetId="7">[14]PWR!$B$42:$BH$42</definedName>
    <definedName name="etech_parameters">#REF!</definedName>
    <definedName name="EV.Battery">[9]Scenarios!$B$28</definedName>
    <definedName name="Exist_basic_data_start" localSheetId="6">'[14]Existing capacity basic data'!$B$61</definedName>
    <definedName name="Exist_basic_data_start" localSheetId="0">'[14]Existing capacity basic data'!$B$61</definedName>
    <definedName name="Exist_basic_data_start" localSheetId="4">'[14]Existing capacity basic data'!$B$61</definedName>
    <definedName name="Exist_basic_data_start" localSheetId="3">'[14]Existing capacity basic data'!$B$61</definedName>
    <definedName name="Exist_basic_data_start" localSheetId="7">'[14]Existing capacity basic data'!$B$61</definedName>
    <definedName name="Exist_basic_data_start">#REF!</definedName>
    <definedName name="FF">[7]PLAN!$BA$27:$BO$50</definedName>
    <definedName name="FIVE">#REF!</definedName>
    <definedName name="five_1">#REF!</definedName>
    <definedName name="flagPenetrationOnly">[9]Scenarios!$B$3</definedName>
    <definedName name="forecast">#REF!</definedName>
    <definedName name="FOUR">#REF!</definedName>
    <definedName name="FP2i_All">[17]Footprint!$P$122</definedName>
    <definedName name="FP2i_NPE_Emis">[17]Footprint!$AB$132</definedName>
    <definedName name="FP2i_NPE_onEmis">[17]Footprint!$AB$133</definedName>
    <definedName name="FP2i_OG_Emis">[17]Footprint!$T$123</definedName>
    <definedName name="FP2i_OG_Fuel">[17]Footprint!$T$120</definedName>
    <definedName name="FP2i_OG_onEmis">[17]Footprint!$T$124</definedName>
    <definedName name="FP2i_OG_Output">[17]Footprint!$T$121</definedName>
    <definedName name="FP2i_PE_Emis">[17]Footprint!$AB$124</definedName>
    <definedName name="FP2i_PE_onEmis">[17]Footprint!$AB$125</definedName>
    <definedName name="FP2i_TE_noG">[17]Footprint!$U$127</definedName>
    <definedName name="FP2i_TOemis">[17]Footprint!$V$139</definedName>
    <definedName name="FP2i_Toff_ELC">[17]Footprint!$B$117</definedName>
    <definedName name="FP2i_Toff_ELCFuel">[17]Footprint!$B$119</definedName>
    <definedName name="FP2i_Toff_emis">[17]Footprint!$B$122</definedName>
    <definedName name="FP2i_Toff_Semis">[17]Footprint!$B$127</definedName>
    <definedName name="FP2i_Toff_SGenFuel">[17]Footprint!$B$124</definedName>
    <definedName name="FP2i_TPE">[17]Footprint!$Z$127</definedName>
    <definedName name="FPi_A">[17]Footprint!$I$87</definedName>
    <definedName name="FPi_All">[17]Footprint!$C$87</definedName>
    <definedName name="FPi_B">[17]Footprint!$I$88</definedName>
    <definedName name="FPi_bb">[17]Footprint!$I$90</definedName>
    <definedName name="FPi_C">[17]Footprint!$M$87</definedName>
    <definedName name="FPi_EC_Elec">[17]Footprint!$T$73</definedName>
    <definedName name="FPi_EC_Losses">[17]Footprint!$T$75</definedName>
    <definedName name="FPi_EC_Steam">[17]Footprint!$T$74</definedName>
    <definedName name="FPi_MD_Elec">[17]Footprint!$T$79</definedName>
    <definedName name="FPi_MD_Fuel">[17]Footprint!$T$78</definedName>
    <definedName name="FPi_MD_Steam">[17]Footprint!$T$80</definedName>
    <definedName name="FPi_np_HVAC_Elec">[17]Footprint!$AE$53</definedName>
    <definedName name="FPi_np_HVAC_Fuel">[17]Footprint!$AE$52</definedName>
    <definedName name="FPi_np_HVAC_L">[17]Footprint!$AE$55</definedName>
    <definedName name="FPi_np_HVAC_Steam">[17]Footprint!$AE$54</definedName>
    <definedName name="FPi_np_Lit_Elec">[17]Footprint!$AE$59</definedName>
    <definedName name="FPi_np_Lit_L">[17]Footprint!$AE$60</definedName>
    <definedName name="FPi_np_Oemis">[17]Footprint!$AJ$84</definedName>
    <definedName name="FPi_np_Ofs_Elec">[17]Footprint!$AE$65</definedName>
    <definedName name="FPi_np_Ofs_Fuel">[17]Footprint!$AE$64</definedName>
    <definedName name="FPi_np_Ofs_L">[17]Footprint!$AE$66</definedName>
    <definedName name="FPi_np_Onp_Elec">[17]Footprint!$AE$77</definedName>
    <definedName name="FPi_np_Onp_Fuel">[17]Footprint!$AE$76</definedName>
    <definedName name="FPi_np_Onp_L">[17]Footprint!$AE$79</definedName>
    <definedName name="FPi_np_Onp_Steam">[17]Footprint!$AE$78</definedName>
    <definedName name="FPi_np_Tran_Elec">[17]Footprint!$AE$71</definedName>
    <definedName name="FPi_np_Tran_Fuel">[17]Footprint!$AE$70</definedName>
    <definedName name="FPi_np_Tran_L">[17]Footprint!$AE$72</definedName>
    <definedName name="FPi_OG_B_Elec">[17]Footprint!$C$53</definedName>
    <definedName name="FPi_OG_B_Fuel">[17]Footprint!$C$52</definedName>
    <definedName name="FPi_OG_B_Steam">[17]Footprint!$C$54</definedName>
    <definedName name="FPi_OG_C_Elec">[17]Footprint!$C$61</definedName>
    <definedName name="FPi_OG_C_Fuel">[17]Footprint!$C$60</definedName>
    <definedName name="FPi_OG_C_Steam">[17]Footprint!$C$62</definedName>
    <definedName name="FPi_OG_E_Elec">[17]Footprint!$C$69</definedName>
    <definedName name="FPi_OG_E_Fuel">[17]Footprint!$C$68</definedName>
    <definedName name="FPi_OG_Oemis">[17]Footprint!$H$74</definedName>
    <definedName name="FPi_P_Oemis">[17]Footprint!$AJ$82</definedName>
    <definedName name="FPi_PC_Elec">[17]Footprint!$T$59</definedName>
    <definedName name="FPi_PC_Fuel">[17]Footprint!$T$58</definedName>
    <definedName name="FPi_PC_Losses">[17]Footprint!$T$61</definedName>
    <definedName name="FPi_PC_Steam">[17]Footprint!$T$60</definedName>
    <definedName name="FPi_PH_Elec">[17]Footprint!$T$52</definedName>
    <definedName name="FPi_PH_Fuel">[17]Footprint!$T$51</definedName>
    <definedName name="FPi_PH_Losses">[17]Footprint!$T$54</definedName>
    <definedName name="FPi_PH_Steam">[17]Footprint!$T$53</definedName>
    <definedName name="FPi_PO_Elec">[17]Footprint!$T$66</definedName>
    <definedName name="FPi_PO_Fuel">[17]Footprint!$T$65</definedName>
    <definedName name="FPi_PO_Losses">[17]Footprint!$T$68</definedName>
    <definedName name="FPi_PO_Steam">[17]Footprint!$T$67</definedName>
    <definedName name="FPi_Sloss">[17]Footprint!$O$84</definedName>
    <definedName name="fuel_types" localSheetId="5">#REF!</definedName>
    <definedName name="fuel_types">#REF!</definedName>
    <definedName name="FuelNames" localSheetId="6">[10]NameConv!$D$3:$E$23</definedName>
    <definedName name="FuelNames" localSheetId="0">[12]NameConv!$D$3:$E$23</definedName>
    <definedName name="FuelNames" localSheetId="4">[12]NameConv!$D$3:$E$23</definedName>
    <definedName name="FuelNames" localSheetId="3">[12]NameConv!$D$3:$E$23</definedName>
    <definedName name="FuelNames" localSheetId="7">[11]NameConv!$D$3:$E$23</definedName>
    <definedName name="FuelNames" localSheetId="5">#REF!</definedName>
    <definedName name="FuelNames">[13]NameConv!$B$5:$C$44</definedName>
    <definedName name="GasolineLHV">#REF!</definedName>
    <definedName name="GRAPHAREA">#REF!,#REF!,#REF!</definedName>
    <definedName name="Hist_data_fuels">'[17]Historical data'!$B$111:$B$159</definedName>
    <definedName name="Hist_data_intens">'[17]Historical data'!$E$111:$S$159</definedName>
    <definedName name="Hist_data_procs">'[17]Historical data'!$E$110:$S$110</definedName>
    <definedName name="Hist_data_techs">'[17]Historical data'!$A$111:$A$159</definedName>
    <definedName name="HOME">'[8]1999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[6]Index!$E$19</definedName>
    <definedName name="impswitch_fa">[6]Index!$E$18</definedName>
    <definedName name="impswitch_is">[6]Index!$E$17</definedName>
    <definedName name="impswitch_NMM">[6]Index!$E$20</definedName>
    <definedName name="impswitch_pp">[6]Index!$E$21</definedName>
    <definedName name="inchtocentimetre">[13]Distribution!$A$17</definedName>
    <definedName name="IND">[5]Index!$C$9</definedName>
    <definedName name="INIT">#REF!</definedName>
    <definedName name="IntensityTable_ex">[17]Data!$J$33:$AC$782</definedName>
    <definedName name="IntensityTable_nw">[17]Data!$J$798:$AC$1397</definedName>
    <definedName name="Interv_nw_FuelIDs">[17]Interventions!$AR$18:$AR$557</definedName>
    <definedName name="Interv_nw_ProcIDs">[17]Interventions!$AQ$18:$AQ$557</definedName>
    <definedName name="Interv_nw_TechIDs">[17]Interventions!$AP$18:$AP$557</definedName>
    <definedName name="Interventions_ex">[17]Interventions!$K$18:$AD$467</definedName>
    <definedName name="Interventions_nw">[17]Interventions!$AZ$18:$BS$557</definedName>
    <definedName name="InvConstraint">#REF!</definedName>
    <definedName name="IS_EE_switch">[6]IND!#REF!</definedName>
    <definedName name="LEAP">#REF!</definedName>
    <definedName name="LF">'[8]1999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[13]Index!$A$2</definedName>
    <definedName name="monthlydel">#REF!</definedName>
    <definedName name="MONTHLYDELIVERY">#REF!</definedName>
    <definedName name="New_basic_data_start" localSheetId="6">'[14]New Capacity basic data'!$B$9</definedName>
    <definedName name="New_basic_data_start" localSheetId="0">'[14]New Capacity basic data'!$B$9</definedName>
    <definedName name="New_basic_data_start" localSheetId="4">'[14]New Capacity basic data'!$B$9</definedName>
    <definedName name="New_basic_data_start" localSheetId="3">'[14]New Capacity basic data'!$B$9</definedName>
    <definedName name="New_basic_data_start" localSheetId="7">'[14]New Capacity basic data'!$B$9</definedName>
    <definedName name="New_basic_data_start">'[18]New Capacity basic data'!$B$9</definedName>
    <definedName name="newtech_cat" localSheetId="6">[14]NT_PWR!$A$24:$AW$24</definedName>
    <definedName name="newtech_cat" localSheetId="0">[14]NT_PWR!$A$24:$AW$24</definedName>
    <definedName name="newtech_cat" localSheetId="4">[14]NT_PWR!$A$24:$AW$24</definedName>
    <definedName name="newtech_cat" localSheetId="3">[14]NT_PWR!$A$24:$AW$24</definedName>
    <definedName name="newtech_cat" localSheetId="7">[14]NT_PWR!$A$24:$AW$24</definedName>
    <definedName name="newtech_cat">#REF!</definedName>
    <definedName name="newtech_count" localSheetId="6">[14]NT_PWR!$C$92</definedName>
    <definedName name="newtech_count" localSheetId="0">[14]NT_PWR!$C$92</definedName>
    <definedName name="newtech_count" localSheetId="4">[14]NT_PWR!$C$92</definedName>
    <definedName name="newtech_count" localSheetId="3">[14]NT_PWR!$C$92</definedName>
    <definedName name="newtech_count" localSheetId="7">[14]NT_PWR!$C$92</definedName>
    <definedName name="newtech_count">#REF!</definedName>
    <definedName name="newtech_data" localSheetId="6">[14]NT_PWR!$C$31:$BD$109</definedName>
    <definedName name="newtech_data" localSheetId="0">[14]NT_PWR!$C$31:$BD$109</definedName>
    <definedName name="newtech_data" localSheetId="4">[14]NT_PWR!$C$31:$BD$109</definedName>
    <definedName name="newtech_data" localSheetId="2">#REF!</definedName>
    <definedName name="newtech_data" localSheetId="3">[14]NT_PWR!$C$31:$BD$109</definedName>
    <definedName name="newtech_data" localSheetId="7">[14]NT_PWR!$C$31:$BD$109</definedName>
    <definedName name="newtech_data">#REF!</definedName>
    <definedName name="newtech_parameters" localSheetId="6">[14]NT_PWR!$C$27:$BD$27</definedName>
    <definedName name="newtech_parameters" localSheetId="0">[14]NT_PWR!$C$27:$BD$27</definedName>
    <definedName name="newtech_parameters" localSheetId="4">[14]NT_PWR!$C$27:$BD$27</definedName>
    <definedName name="newtech_parameters" localSheetId="2">#REF!</definedName>
    <definedName name="newtech_parameters" localSheetId="3">[14]NT_PWR!$C$27:$BD$27</definedName>
    <definedName name="newtech_parameters" localSheetId="7">[14]NT_PWR!$C$27:$BD$27</definedName>
    <definedName name="newtech_parameters">#REF!</definedName>
    <definedName name="Newtech_Start" localSheetId="6">[14]NT_PWR!$C$30</definedName>
    <definedName name="Newtech_Start" localSheetId="0">[14]NT_PWR!$C$30</definedName>
    <definedName name="Newtech_Start" localSheetId="4">[14]NT_PWR!$C$30</definedName>
    <definedName name="Newtech_Start" localSheetId="2">#REF!</definedName>
    <definedName name="Newtech_Start" localSheetId="3">[14]NT_PWR!$C$30</definedName>
    <definedName name="Newtech_Start" localSheetId="7">[14]NT_PWR!$C$30</definedName>
    <definedName name="Newtech_Start">#REF!</definedName>
    <definedName name="NMM_EE_switch">[6]IND!#REF!</definedName>
    <definedName name="NNN">#REF!</definedName>
    <definedName name="NONLEAP">#REF!</definedName>
    <definedName name="OCLF">[3]EAF!#REF!</definedName>
    <definedName name="OctoberYearEndProj0809">#REF!</definedName>
    <definedName name="ONE">#REF!</definedName>
    <definedName name="ONE_1">#REF!</definedName>
    <definedName name="Page_1">[7]Burn!$B$2:$U$31</definedName>
    <definedName name="Page_2">[7]Burn!$AB$1:$AM$43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localSheetId="5" hidden="1">"VPJDZVPESBNLN75EMHY6J774"</definedName>
    <definedName name="Pal_Workbook_GUID" hidden="1">"E2D7SR7Q3BDXUD24G1M1SK63"</definedName>
    <definedName name="pamsindex" localSheetId="1">'[19]PAMS central control panel'!$C$2</definedName>
    <definedName name="pamsindex">#REF!</definedName>
    <definedName name="PAMSlevel" localSheetId="1">'[19]PAMS central control panel'!$D$10</definedName>
    <definedName name="PAMSlevel">[6]IND!$AS$48</definedName>
    <definedName name="par_TID_ETech" localSheetId="6">'[14]TID ETech'!$A$9:$I$13</definedName>
    <definedName name="par_TID_ETech" localSheetId="0">'[14]TID ETech'!$A$9:$I$13</definedName>
    <definedName name="par_TID_ETech" localSheetId="4">'[14]TID ETech'!$A$9:$I$13</definedName>
    <definedName name="par_TID_ETech" localSheetId="3">'[14]TID ETech'!$A$9:$I$13</definedName>
    <definedName name="par_TID_ETech" localSheetId="7">'[14]TID ETech'!$A$9:$I$13</definedName>
    <definedName name="par_TID_ETech">#REF!</definedName>
    <definedName name="par_TID_Ntech" localSheetId="6">'[14]TID NTech'!$A$9:$I$14</definedName>
    <definedName name="par_TID_Ntech" localSheetId="0">'[14]TID NTech'!$A$9:$I$14</definedName>
    <definedName name="par_TID_Ntech" localSheetId="4">'[14]TID NTech'!$A$9:$I$14</definedName>
    <definedName name="par_TID_Ntech" localSheetId="3">'[14]TID NTech'!$A$9:$I$14</definedName>
    <definedName name="par_TID_Ntech" localSheetId="7">'[14]TID NTech'!$A$9:$I$14</definedName>
    <definedName name="par_TID_Ntech">#REF!</definedName>
    <definedName name="par_TS_ETech" localSheetId="6">'[14]TS ETech'!$A$10:$J$18</definedName>
    <definedName name="par_TS_ETech" localSheetId="0">'[14]TS ETech'!$A$10:$J$18</definedName>
    <definedName name="par_TS_ETech" localSheetId="4">'[14]TS ETech'!$A$10:$J$18</definedName>
    <definedName name="par_TS_ETech" localSheetId="3">'[14]TS ETech'!$A$10:$J$18</definedName>
    <definedName name="par_TS_ETech" localSheetId="7">'[14]TS ETech'!$A$10:$J$18</definedName>
    <definedName name="par_TS_ETech">#REF!</definedName>
    <definedName name="PCLF">[20]EAF!$A$1:$O$15</definedName>
    <definedName name="PeakContribution.Wind">#REF!</definedName>
    <definedName name="PEAKING">[3]EAF!#REF!</definedName>
    <definedName name="Plan0809">#REF!</definedName>
    <definedName name="PP_EE_switch">[6]IND!#REF!</definedName>
    <definedName name="print_burnrates">#REF!</definedName>
    <definedName name="PRINT_FULL_BURN">'[8]1999 PLAN'!$S$1:$AJ$24</definedName>
    <definedName name="PRINT_FULL_ENERGY">'[8]1999 PLAN'!$A$1:$Q$53</definedName>
    <definedName name="Print1">#REF!</definedName>
    <definedName name="printarea">#REF!</definedName>
    <definedName name="reftrofits">#REF!</definedName>
    <definedName name="RES" localSheetId="6">[4]Index_SATIM!$C$10</definedName>
    <definedName name="RES" localSheetId="0">[4]Index_SATIM!$C$10</definedName>
    <definedName name="RES" localSheetId="4">[4]Index_SATIM!$C$10</definedName>
    <definedName name="RES" localSheetId="3">[4]Index_SATIM!$C$10</definedName>
    <definedName name="RES" localSheetId="7">[4]Index_SATIM!$C$10</definedName>
    <definedName name="RES">[5]Index!$C$10</definedName>
    <definedName name="retrofits">[9]Scenarios!$B$24</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'[8]1999 PLAN'!$CH$1:$CT$21</definedName>
    <definedName name="Sector.Agriculture">[13]Index!$D$2</definedName>
    <definedName name="Sector.Commercial">[13]Index!$E$2</definedName>
    <definedName name="Sector.Industry">[13]Index!$F$2</definedName>
    <definedName name="Sector.Power">[13]Index!$I$2</definedName>
    <definedName name="Sector.Residential">[13]Index!$H$2</definedName>
    <definedName name="Sector.Supply">[13]Index!$J$2</definedName>
    <definedName name="Sector.Transport">[13]Index!$G$2</definedName>
    <definedName name="sector_prefix" localSheetId="5">#REF!</definedName>
    <definedName name="sector_prefix">[13]UPS!$B$6</definedName>
    <definedName name="SEVEN">[7]PLAN!$CT$1:$DJ$32</definedName>
    <definedName name="SIX">#REF!</definedName>
    <definedName name="slide1">#REF!</definedName>
    <definedName name="slide2">#REF!</definedName>
    <definedName name="st">'[8]1999 PLAN'!$BS$1</definedName>
    <definedName name="sto">'[8]1999 PLAN'!$BD$1</definedName>
    <definedName name="STOCK">#REF!</definedName>
    <definedName name="STOCKDAYS">#REF!</definedName>
    <definedName name="stockp">'[8]1999 PLAN'!$BD$1:$BQ$18</definedName>
    <definedName name="stockt">'[8]1999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[21]Table2.2!#REF!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[21]Table2.2!#REF!</definedName>
    <definedName name="Summary_Tables_44">[1]Table2.1!#REF!</definedName>
    <definedName name="Summary_Tables_45">[1]Table2.2!#REF!</definedName>
    <definedName name="Summary_Tables_46">[1]Table2.2!#REF!</definedName>
    <definedName name="Summary_Tables_5">[21]Table2.2!#REF!</definedName>
    <definedName name="switch1">'[22]Modelled 2019 Emp'!#REF!</definedName>
    <definedName name="TABLE_11">[20]EAF!$A$1:$A$65536</definedName>
    <definedName name="table_41">'[8]1999 PLAN'!$BD$1:$BQ$49</definedName>
    <definedName name="TABLE1">'[8]1999 PLAN'!$A$1:$N$49</definedName>
    <definedName name="TABLE10">'[8]1999 PLAN'!$FC$1:$FR$24</definedName>
    <definedName name="table10_11">#REF!</definedName>
    <definedName name="TABLE11">[20]EAF!$A$1:$O$15</definedName>
    <definedName name="TABLE12">[20]EAF!$A$17:$O$32</definedName>
    <definedName name="table12_13">[3]EAF!#REF!</definedName>
    <definedName name="TABLE13">[3]EAF!#REF!</definedName>
    <definedName name="TABLE14">[20]EAF!$A$34:$O$34</definedName>
    <definedName name="table14_15">[20]EAF!$A$34:$O$34</definedName>
    <definedName name="TABLE15">[3]EAF!#REF!</definedName>
    <definedName name="TABLE2">'[8]1999 PLAN'!$S$1:$AG$25</definedName>
    <definedName name="TABLE3">'[8]1999 PLAN'!$AL$1:$AY$20</definedName>
    <definedName name="table3a">'[8]1999 PLAN'!$AL$1:$AY$34</definedName>
    <definedName name="table4">'[8]1999 PLAN'!$BD$1:$BQ$20</definedName>
    <definedName name="table5">'[8]1999 PLAN'!$BS$1:$CF$22</definedName>
    <definedName name="table6">'[8]1999 PLAN'!$CH$1:$CT$22</definedName>
    <definedName name="table7">'[8]1999 PLAN'!$CV$1:$DH$46</definedName>
    <definedName name="table8">'[8]1999 PLAN'!$DJ$1:$DW$35</definedName>
    <definedName name="table9">'[8]1999 PLAN'!$DY$1:$EL$34</definedName>
    <definedName name="tale12_13">[20]EAF!$A$1:$O$32</definedName>
    <definedName name="THREE">#REF!</definedName>
    <definedName name="TRA" localSheetId="6">[4]Index_SATIM!$C$11</definedName>
    <definedName name="TRA" localSheetId="0">[4]Index_SATIM!$C$11</definedName>
    <definedName name="TRA" localSheetId="4">[4]Index_SATIM!$C$11</definedName>
    <definedName name="TRA" localSheetId="3">[4]Index_SATIM!$C$11</definedName>
    <definedName name="TRA" localSheetId="7">[4]Index_SATIM!$C$11</definedName>
    <definedName name="TRA">[5]Index!$C$11</definedName>
    <definedName name="TRA.freight.capex">[9]Scenarios!$B$18</definedName>
    <definedName name="TScode" localSheetId="6">[10]Index!$B$1</definedName>
    <definedName name="TScode" localSheetId="4">[12]Index!$B$1</definedName>
    <definedName name="TScode" localSheetId="3">[12]Index!$B$1</definedName>
    <definedName name="TScode" localSheetId="7">[11]Index!$B$1</definedName>
    <definedName name="TScode">Index!$B$1</definedName>
    <definedName name="TWO">#REF!</definedName>
    <definedName name="TX_Losses">'[23]TX Losses'!$B$2</definedName>
    <definedName name="UCLF">[20]EAF!$A$21:$O$32</definedName>
    <definedName name="wastePAM" localSheetId="1">'[19]PAMS central control panel'!$C$3</definedName>
    <definedName name="wastePAM">[6]IND!$AS$56</definedName>
    <definedName name="XLSIMSI" localSheetId="6"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6"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localSheetId="5" hidden="1">{"Sim",3,"Output 1","'Reworked data'!$AI$84","Output 2","'Reworked data'!$AJ$84","Output 3","'Reworked data'!$AK$84","1","2","100","0"}</definedName>
    <definedName name="XLSIMSIM" hidden="1">{"Sim",3,"Output 1","'Reworked data'!$AI$84","Output 2","'Reworked data'!$AJ$84","Output 3","'Reworked data'!$AK$84","1","2","100","0"}</definedName>
    <definedName name="xvalues">#REF!</definedName>
    <definedName name="Year">#REF!</definedName>
    <definedName name="YTD_ANC">#REF!</definedName>
    <definedName name="YTD_REV">#REF!</definedName>
    <definedName name="zar.2010" localSheetId="1">[19]Index!$B$11</definedName>
    <definedName name="zar.2010" localSheetId="5">#REF!</definedName>
    <definedName name="zar.2010">[6]Index!$B$11</definedName>
    <definedName name="zar.2012">#REF!</definedName>
    <definedName name="zar.2015">#REF!</definedName>
    <definedName name="zar.base">#REF!</definedName>
    <definedName name="zar.year" localSheetId="1">[19]Index!$B$10</definedName>
    <definedName name="zar.year">[6]Index!$B$10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C82" i="11"/>
  <c r="B82" i="11"/>
  <c r="U82" i="11" s="1"/>
  <c r="C81" i="11"/>
  <c r="B81" i="11"/>
  <c r="P81" i="11" s="1"/>
  <c r="C80" i="11"/>
  <c r="B80" i="11"/>
  <c r="T80" i="11" s="1"/>
  <c r="C79" i="11"/>
  <c r="B79" i="11"/>
  <c r="P79" i="11" s="1"/>
  <c r="C78" i="11"/>
  <c r="B78" i="11"/>
  <c r="T78" i="11" s="1"/>
  <c r="C77" i="11"/>
  <c r="B77" i="11"/>
  <c r="P77" i="11" s="1"/>
  <c r="C76" i="11"/>
  <c r="B76" i="11"/>
  <c r="T76" i="11" s="1"/>
  <c r="C75" i="11"/>
  <c r="B75" i="11"/>
  <c r="P75" i="11" s="1"/>
  <c r="C74" i="11"/>
  <c r="B74" i="11"/>
  <c r="R74" i="11" s="1"/>
  <c r="C73" i="11"/>
  <c r="B73" i="11"/>
  <c r="P73" i="11" s="1"/>
  <c r="C72" i="11"/>
  <c r="B72" i="11"/>
  <c r="J72" i="11" s="1"/>
  <c r="G71" i="11"/>
  <c r="C71" i="11"/>
  <c r="B71" i="11"/>
  <c r="P71" i="11" s="1"/>
  <c r="C70" i="11"/>
  <c r="B70" i="11"/>
  <c r="R70" i="11" s="1"/>
  <c r="C69" i="11"/>
  <c r="B69" i="11"/>
  <c r="P69" i="11" s="1"/>
  <c r="C68" i="11"/>
  <c r="B68" i="11"/>
  <c r="C67" i="11"/>
  <c r="B67" i="11"/>
  <c r="P67" i="11" s="1"/>
  <c r="C66" i="11"/>
  <c r="B66" i="11"/>
  <c r="U66" i="11" s="1"/>
  <c r="C65" i="11"/>
  <c r="B65" i="11"/>
  <c r="L65" i="11" s="1"/>
  <c r="C64" i="11"/>
  <c r="B64" i="11"/>
  <c r="U64" i="11" s="1"/>
  <c r="C63" i="11"/>
  <c r="B63" i="11"/>
  <c r="L63" i="11" s="1"/>
  <c r="C62" i="11"/>
  <c r="B62" i="11"/>
  <c r="U62" i="11" s="1"/>
  <c r="C61" i="11"/>
  <c r="B61" i="11"/>
  <c r="U61" i="11" s="1"/>
  <c r="C60" i="11"/>
  <c r="B60" i="11"/>
  <c r="L60" i="11" s="1"/>
  <c r="C59" i="11"/>
  <c r="B59" i="11"/>
  <c r="S59" i="11" s="1"/>
  <c r="C58" i="11"/>
  <c r="B58" i="11"/>
  <c r="O58" i="11" s="1"/>
  <c r="C57" i="11"/>
  <c r="B57" i="11"/>
  <c r="T57" i="11" s="1"/>
  <c r="C56" i="11"/>
  <c r="B56" i="11"/>
  <c r="K56" i="11" s="1"/>
  <c r="C55" i="11"/>
  <c r="B55" i="11"/>
  <c r="S55" i="11" s="1"/>
  <c r="H54" i="11"/>
  <c r="C54" i="11"/>
  <c r="B54" i="11"/>
  <c r="Q54" i="11" s="1"/>
  <c r="C53" i="11"/>
  <c r="B53" i="11"/>
  <c r="U53" i="11" s="1"/>
  <c r="C52" i="11"/>
  <c r="B52" i="11"/>
  <c r="H52" i="11" s="1"/>
  <c r="C51" i="11"/>
  <c r="B51" i="11"/>
  <c r="C50" i="11"/>
  <c r="B50" i="11"/>
  <c r="C49" i="11"/>
  <c r="B49" i="11"/>
  <c r="T49" i="11" s="1"/>
  <c r="C48" i="11"/>
  <c r="B48" i="11"/>
  <c r="G48" i="11" s="1"/>
  <c r="C47" i="11"/>
  <c r="B47" i="11"/>
  <c r="T47" i="11" s="1"/>
  <c r="C46" i="11"/>
  <c r="B46" i="11"/>
  <c r="K46" i="11" s="1"/>
  <c r="C45" i="11"/>
  <c r="B45" i="11"/>
  <c r="T45" i="11" s="1"/>
  <c r="C44" i="11"/>
  <c r="B44" i="11"/>
  <c r="K44" i="11" s="1"/>
  <c r="C43" i="11"/>
  <c r="B43" i="11"/>
  <c r="T43" i="11" s="1"/>
  <c r="C42" i="11"/>
  <c r="B42" i="11"/>
  <c r="C41" i="11"/>
  <c r="B41" i="11"/>
  <c r="R41" i="11" s="1"/>
  <c r="C40" i="11"/>
  <c r="B40" i="11"/>
  <c r="Q40" i="11" s="1"/>
  <c r="I39" i="11"/>
  <c r="C39" i="11"/>
  <c r="B39" i="11"/>
  <c r="S39" i="11" s="1"/>
  <c r="C38" i="11"/>
  <c r="B38" i="11"/>
  <c r="S38" i="11" s="1"/>
  <c r="C37" i="11"/>
  <c r="B37" i="11"/>
  <c r="H36" i="11"/>
  <c r="C36" i="11"/>
  <c r="B36" i="11"/>
  <c r="U36" i="11" s="1"/>
  <c r="C35" i="11"/>
  <c r="B35" i="11"/>
  <c r="T35" i="11" s="1"/>
  <c r="C34" i="11"/>
  <c r="B34" i="11"/>
  <c r="Q34" i="11" s="1"/>
  <c r="C33" i="11"/>
  <c r="B33" i="11"/>
  <c r="T33" i="11" s="1"/>
  <c r="C32" i="11"/>
  <c r="B32" i="11"/>
  <c r="Q32" i="11" s="1"/>
  <c r="M31" i="11"/>
  <c r="C31" i="11"/>
  <c r="B31" i="11"/>
  <c r="T31" i="11" s="1"/>
  <c r="C30" i="11"/>
  <c r="B30" i="11"/>
  <c r="S30" i="11" s="1"/>
  <c r="C29" i="11"/>
  <c r="B29" i="11"/>
  <c r="I29" i="11" s="1"/>
  <c r="C28" i="11"/>
  <c r="B28" i="11"/>
  <c r="U28" i="11" s="1"/>
  <c r="C27" i="11"/>
  <c r="B27" i="11"/>
  <c r="T27" i="11" s="1"/>
  <c r="C26" i="11"/>
  <c r="B26" i="11"/>
  <c r="Q26" i="11" s="1"/>
  <c r="C25" i="11"/>
  <c r="B25" i="11"/>
  <c r="T25" i="11" s="1"/>
  <c r="C24" i="11"/>
  <c r="B24" i="11"/>
  <c r="Q24" i="11" s="1"/>
  <c r="C23" i="11"/>
  <c r="B23" i="11"/>
  <c r="T23" i="11" s="1"/>
  <c r="C22" i="11"/>
  <c r="B22" i="11"/>
  <c r="S22" i="11" s="1"/>
  <c r="C21" i="11"/>
  <c r="B21" i="11"/>
  <c r="N21" i="11" s="1"/>
  <c r="C20" i="11"/>
  <c r="B20" i="11"/>
  <c r="U20" i="11" s="1"/>
  <c r="C19" i="11"/>
  <c r="B19" i="11"/>
  <c r="T19" i="11" s="1"/>
  <c r="C18" i="11"/>
  <c r="B18" i="11"/>
  <c r="K18" i="11" s="1"/>
  <c r="C17" i="11"/>
  <c r="B17" i="11"/>
  <c r="T17" i="11" s="1"/>
  <c r="C16" i="11"/>
  <c r="B16" i="11"/>
  <c r="Q16" i="11" s="1"/>
  <c r="C15" i="11"/>
  <c r="B15" i="11"/>
  <c r="T15" i="11" s="1"/>
  <c r="C14" i="11"/>
  <c r="B14" i="11"/>
  <c r="M14" i="11" s="1"/>
  <c r="C13" i="11"/>
  <c r="B13" i="11"/>
  <c r="C12" i="11"/>
  <c r="B12" i="11"/>
  <c r="C11" i="11"/>
  <c r="B11" i="11"/>
  <c r="K11" i="11" s="1"/>
  <c r="C10" i="11"/>
  <c r="B10" i="11"/>
  <c r="S10" i="11" s="1"/>
  <c r="C9" i="11"/>
  <c r="B9" i="11"/>
  <c r="U9" i="11" s="1"/>
  <c r="C8" i="11"/>
  <c r="B8" i="11"/>
  <c r="S8" i="11" s="1"/>
  <c r="C7" i="11"/>
  <c r="B7" i="11"/>
  <c r="K7" i="11" s="1"/>
  <c r="C6" i="11"/>
  <c r="B6" i="11"/>
  <c r="S6" i="11" s="1"/>
  <c r="F35" i="11" l="1"/>
  <c r="U43" i="11"/>
  <c r="G15" i="11"/>
  <c r="H32" i="11"/>
  <c r="G40" i="11"/>
  <c r="R72" i="11"/>
  <c r="O45" i="11"/>
  <c r="M15" i="11"/>
  <c r="O35" i="11"/>
  <c r="P36" i="11"/>
  <c r="O39" i="11"/>
  <c r="H40" i="11"/>
  <c r="R45" i="11"/>
  <c r="J70" i="11"/>
  <c r="S40" i="11"/>
  <c r="F45" i="11"/>
  <c r="L58" i="11"/>
  <c r="P63" i="11"/>
  <c r="F19" i="11"/>
  <c r="G9" i="11"/>
  <c r="R19" i="11"/>
  <c r="F33" i="11"/>
  <c r="G45" i="11"/>
  <c r="F57" i="11"/>
  <c r="H60" i="11"/>
  <c r="H30" i="11"/>
  <c r="Q33" i="11"/>
  <c r="K34" i="11"/>
  <c r="G49" i="11"/>
  <c r="I62" i="11"/>
  <c r="M19" i="11"/>
  <c r="R17" i="11"/>
  <c r="O19" i="11"/>
  <c r="H22" i="11"/>
  <c r="O27" i="11"/>
  <c r="R33" i="11"/>
  <c r="P40" i="11"/>
  <c r="F43" i="11"/>
  <c r="M45" i="11"/>
  <c r="G73" i="11"/>
  <c r="G19" i="11"/>
  <c r="S32" i="11"/>
  <c r="G33" i="11"/>
  <c r="R57" i="11"/>
  <c r="Q25" i="11"/>
  <c r="F9" i="11"/>
  <c r="G17" i="11"/>
  <c r="K19" i="11"/>
  <c r="U19" i="11"/>
  <c r="P20" i="11"/>
  <c r="S24" i="11"/>
  <c r="G25" i="11"/>
  <c r="G27" i="11"/>
  <c r="G30" i="11"/>
  <c r="G32" i="11"/>
  <c r="M33" i="11"/>
  <c r="M35" i="11"/>
  <c r="M40" i="11"/>
  <c r="O43" i="11"/>
  <c r="K45" i="11"/>
  <c r="U45" i="11"/>
  <c r="M57" i="11"/>
  <c r="I59" i="11"/>
  <c r="O9" i="11"/>
  <c r="R25" i="11"/>
  <c r="U30" i="11"/>
  <c r="P32" i="11"/>
  <c r="G35" i="11"/>
  <c r="R35" i="11"/>
  <c r="G43" i="11"/>
  <c r="O49" i="11"/>
  <c r="S54" i="11"/>
  <c r="G57" i="11"/>
  <c r="U57" i="11"/>
  <c r="J59" i="11"/>
  <c r="S9" i="11"/>
  <c r="H20" i="11"/>
  <c r="I21" i="11"/>
  <c r="H24" i="11"/>
  <c r="F25" i="11"/>
  <c r="K35" i="11"/>
  <c r="U35" i="11"/>
  <c r="M43" i="11"/>
  <c r="K57" i="11"/>
  <c r="U59" i="11"/>
  <c r="G67" i="11"/>
  <c r="N13" i="11"/>
  <c r="I13" i="11"/>
  <c r="U7" i="11"/>
  <c r="S7" i="11"/>
  <c r="G7" i="11"/>
  <c r="O7" i="11"/>
  <c r="F7" i="11"/>
  <c r="N7" i="11"/>
  <c r="U12" i="11"/>
  <c r="P12" i="11"/>
  <c r="H12" i="11"/>
  <c r="S14" i="11"/>
  <c r="H14" i="11"/>
  <c r="G14" i="11"/>
  <c r="U14" i="11"/>
  <c r="P14" i="11"/>
  <c r="T11" i="11"/>
  <c r="S11" i="11"/>
  <c r="G11" i="11"/>
  <c r="F11" i="11"/>
  <c r="N11" i="11"/>
  <c r="O11" i="11"/>
  <c r="G81" i="11"/>
  <c r="M38" i="11"/>
  <c r="J61" i="11"/>
  <c r="Q61" i="11"/>
  <c r="M16" i="11"/>
  <c r="M22" i="11"/>
  <c r="L24" i="11"/>
  <c r="U24" i="11"/>
  <c r="J27" i="11"/>
  <c r="J49" i="11"/>
  <c r="Q49" i="11"/>
  <c r="P52" i="11"/>
  <c r="O60" i="11"/>
  <c r="K61" i="11"/>
  <c r="R61" i="11"/>
  <c r="K9" i="11"/>
  <c r="M17" i="11"/>
  <c r="P22" i="11"/>
  <c r="G23" i="11"/>
  <c r="M24" i="11"/>
  <c r="K25" i="11"/>
  <c r="K27" i="11"/>
  <c r="R27" i="11"/>
  <c r="H28" i="11"/>
  <c r="M30" i="11"/>
  <c r="L32" i="11"/>
  <c r="U32" i="11"/>
  <c r="G38" i="11"/>
  <c r="U38" i="11"/>
  <c r="G41" i="11"/>
  <c r="J43" i="11"/>
  <c r="Q43" i="11"/>
  <c r="F47" i="11"/>
  <c r="M47" i="11"/>
  <c r="U47" i="11"/>
  <c r="K49" i="11"/>
  <c r="R49" i="11"/>
  <c r="G52" i="11"/>
  <c r="Q52" i="11"/>
  <c r="M54" i="11"/>
  <c r="G56" i="11"/>
  <c r="S56" i="11"/>
  <c r="O57" i="11"/>
  <c r="O59" i="11"/>
  <c r="P60" i="11"/>
  <c r="F61" i="11"/>
  <c r="M61" i="11"/>
  <c r="F65" i="11"/>
  <c r="I66" i="11"/>
  <c r="G69" i="11"/>
  <c r="G75" i="11"/>
  <c r="L16" i="11"/>
  <c r="U16" i="11"/>
  <c r="R23" i="11"/>
  <c r="J47" i="11"/>
  <c r="Q47" i="11"/>
  <c r="M52" i="11"/>
  <c r="M56" i="11"/>
  <c r="K17" i="11"/>
  <c r="Q27" i="11"/>
  <c r="R31" i="11"/>
  <c r="P38" i="11"/>
  <c r="K47" i="11"/>
  <c r="R47" i="11"/>
  <c r="L54" i="11"/>
  <c r="U54" i="11"/>
  <c r="Q56" i="11"/>
  <c r="G16" i="11"/>
  <c r="P16" i="11"/>
  <c r="N9" i="11"/>
  <c r="R15" i="11"/>
  <c r="H16" i="11"/>
  <c r="S16" i="11"/>
  <c r="F17" i="11"/>
  <c r="Q17" i="11"/>
  <c r="J19" i="11"/>
  <c r="Q19" i="11"/>
  <c r="G22" i="11"/>
  <c r="U22" i="11"/>
  <c r="M23" i="11"/>
  <c r="G24" i="11"/>
  <c r="P24" i="11"/>
  <c r="M25" i="11"/>
  <c r="F27" i="11"/>
  <c r="M27" i="11"/>
  <c r="U27" i="11"/>
  <c r="P28" i="11"/>
  <c r="P30" i="11"/>
  <c r="G31" i="11"/>
  <c r="M32" i="11"/>
  <c r="K33" i="11"/>
  <c r="J35" i="11"/>
  <c r="Q35" i="11"/>
  <c r="H38" i="11"/>
  <c r="L40" i="11"/>
  <c r="U40" i="11"/>
  <c r="N41" i="11"/>
  <c r="K43" i="11"/>
  <c r="R43" i="11"/>
  <c r="J45" i="11"/>
  <c r="Q45" i="11"/>
  <c r="G47" i="11"/>
  <c r="O47" i="11"/>
  <c r="F49" i="11"/>
  <c r="M49" i="11"/>
  <c r="U49" i="11"/>
  <c r="G54" i="11"/>
  <c r="P54" i="11"/>
  <c r="J57" i="11"/>
  <c r="Q57" i="11"/>
  <c r="G60" i="11"/>
  <c r="T60" i="11"/>
  <c r="G61" i="11"/>
  <c r="O61" i="11"/>
  <c r="F63" i="11"/>
  <c r="I64" i="11"/>
  <c r="P65" i="11"/>
  <c r="G77" i="11"/>
  <c r="G79" i="11"/>
  <c r="F82" i="11"/>
  <c r="T37" i="11"/>
  <c r="R37" i="11"/>
  <c r="M37" i="11"/>
  <c r="G37" i="11"/>
  <c r="Q37" i="11"/>
  <c r="K37" i="11"/>
  <c r="F37" i="11"/>
  <c r="U37" i="11"/>
  <c r="O37" i="11"/>
  <c r="J37" i="11"/>
  <c r="S37" i="11"/>
  <c r="N37" i="11"/>
  <c r="I37" i="11"/>
  <c r="T13" i="11"/>
  <c r="R13" i="11"/>
  <c r="M13" i="11"/>
  <c r="G13" i="11"/>
  <c r="U13" i="11"/>
  <c r="J13" i="11"/>
  <c r="Q13" i="11"/>
  <c r="K13" i="11"/>
  <c r="F13" i="11"/>
  <c r="O13" i="11"/>
  <c r="S13" i="11"/>
  <c r="P34" i="11"/>
  <c r="H34" i="11"/>
  <c r="S34" i="11"/>
  <c r="L34" i="11"/>
  <c r="U34" i="11"/>
  <c r="M34" i="11"/>
  <c r="G34" i="11"/>
  <c r="P18" i="11"/>
  <c r="H18" i="11"/>
  <c r="M18" i="11"/>
  <c r="G18" i="11"/>
  <c r="U18" i="11"/>
  <c r="S18" i="11"/>
  <c r="L18" i="11"/>
  <c r="T29" i="11"/>
  <c r="R29" i="11"/>
  <c r="M29" i="11"/>
  <c r="G29" i="11"/>
  <c r="Q29" i="11"/>
  <c r="K29" i="11"/>
  <c r="F29" i="11"/>
  <c r="U29" i="11"/>
  <c r="O29" i="11"/>
  <c r="J29" i="11"/>
  <c r="S29" i="11"/>
  <c r="P26" i="11"/>
  <c r="H26" i="11"/>
  <c r="U26" i="11"/>
  <c r="M26" i="11"/>
  <c r="G26" i="11"/>
  <c r="S26" i="11"/>
  <c r="L26" i="11"/>
  <c r="Q18" i="11"/>
  <c r="T21" i="11"/>
  <c r="R21" i="11"/>
  <c r="M21" i="11"/>
  <c r="G21" i="11"/>
  <c r="U21" i="11"/>
  <c r="O21" i="11"/>
  <c r="J21" i="11"/>
  <c r="Q21" i="11"/>
  <c r="K21" i="11"/>
  <c r="F21" i="11"/>
  <c r="S21" i="11"/>
  <c r="K26" i="11"/>
  <c r="N29" i="11"/>
  <c r="P42" i="11"/>
  <c r="H42" i="11"/>
  <c r="L42" i="11"/>
  <c r="U42" i="11"/>
  <c r="U50" i="11"/>
  <c r="M50" i="11"/>
  <c r="G50" i="11"/>
  <c r="L50" i="11"/>
  <c r="T51" i="11"/>
  <c r="R51" i="11"/>
  <c r="M51" i="11"/>
  <c r="G51" i="11"/>
  <c r="J51" i="11"/>
  <c r="Q51" i="11"/>
  <c r="T68" i="11"/>
  <c r="Q68" i="11"/>
  <c r="I68" i="11"/>
  <c r="N68" i="11"/>
  <c r="F68" i="11"/>
  <c r="U68" i="11"/>
  <c r="M68" i="11"/>
  <c r="K12" i="11"/>
  <c r="Q12" i="11"/>
  <c r="N15" i="11"/>
  <c r="S15" i="11"/>
  <c r="I23" i="11"/>
  <c r="S23" i="11"/>
  <c r="K28" i="11"/>
  <c r="Q28" i="11"/>
  <c r="K36" i="11"/>
  <c r="K51" i="11"/>
  <c r="S51" i="11"/>
  <c r="T74" i="11"/>
  <c r="Q74" i="11"/>
  <c r="I74" i="11"/>
  <c r="N74" i="11"/>
  <c r="F74" i="11"/>
  <c r="U74" i="11"/>
  <c r="M74" i="11"/>
  <c r="L12" i="11"/>
  <c r="K14" i="11"/>
  <c r="Q14" i="11"/>
  <c r="I17" i="11"/>
  <c r="S17" i="11"/>
  <c r="S20" i="11"/>
  <c r="K22" i="11"/>
  <c r="J23" i="11"/>
  <c r="O23" i="11"/>
  <c r="U23" i="11"/>
  <c r="I25" i="11"/>
  <c r="S25" i="11"/>
  <c r="I33" i="11"/>
  <c r="N33" i="11"/>
  <c r="S33" i="11"/>
  <c r="L36" i="11"/>
  <c r="K38" i="11"/>
  <c r="K41" i="11"/>
  <c r="G42" i="11"/>
  <c r="Q42" i="11"/>
  <c r="K48" i="11"/>
  <c r="H50" i="11"/>
  <c r="Q50" i="11"/>
  <c r="F51" i="11"/>
  <c r="N51" i="11"/>
  <c r="U51" i="11"/>
  <c r="G53" i="11"/>
  <c r="N53" i="11"/>
  <c r="F55" i="11"/>
  <c r="M55" i="11"/>
  <c r="J68" i="11"/>
  <c r="T72" i="11"/>
  <c r="Q72" i="11"/>
  <c r="I72" i="11"/>
  <c r="N72" i="11"/>
  <c r="F72" i="11"/>
  <c r="U72" i="11"/>
  <c r="M72" i="11"/>
  <c r="R44" i="11"/>
  <c r="G44" i="11"/>
  <c r="S44" i="11"/>
  <c r="R46" i="11"/>
  <c r="G46" i="11"/>
  <c r="S46" i="11"/>
  <c r="U48" i="11"/>
  <c r="T53" i="11"/>
  <c r="Q53" i="11"/>
  <c r="K53" i="11"/>
  <c r="F53" i="11"/>
  <c r="J53" i="11"/>
  <c r="R53" i="11"/>
  <c r="T55" i="11"/>
  <c r="U55" i="11"/>
  <c r="O55" i="11"/>
  <c r="J55" i="11"/>
  <c r="I55" i="11"/>
  <c r="Q55" i="11"/>
  <c r="I15" i="11"/>
  <c r="K20" i="11"/>
  <c r="Q20" i="11"/>
  <c r="N23" i="11"/>
  <c r="I31" i="11"/>
  <c r="N31" i="11"/>
  <c r="S31" i="11"/>
  <c r="Q36" i="11"/>
  <c r="T39" i="11"/>
  <c r="Q39" i="11"/>
  <c r="K39" i="11"/>
  <c r="F39" i="11"/>
  <c r="J39" i="11"/>
  <c r="R39" i="11"/>
  <c r="T41" i="11"/>
  <c r="U41" i="11"/>
  <c r="O41" i="11"/>
  <c r="J41" i="11"/>
  <c r="I41" i="11"/>
  <c r="Q41" i="11"/>
  <c r="M42" i="11"/>
  <c r="P50" i="11"/>
  <c r="M53" i="11"/>
  <c r="S53" i="11"/>
  <c r="K55" i="11"/>
  <c r="R55" i="11"/>
  <c r="S12" i="11"/>
  <c r="J15" i="11"/>
  <c r="O15" i="11"/>
  <c r="U15" i="11"/>
  <c r="N17" i="11"/>
  <c r="L20" i="11"/>
  <c r="Q22" i="11"/>
  <c r="N25" i="11"/>
  <c r="L28" i="11"/>
  <c r="S28" i="11"/>
  <c r="K30" i="11"/>
  <c r="Q30" i="11"/>
  <c r="J31" i="11"/>
  <c r="O31" i="11"/>
  <c r="U31" i="11"/>
  <c r="S36" i="11"/>
  <c r="Q38" i="11"/>
  <c r="M39" i="11"/>
  <c r="J7" i="11"/>
  <c r="R7" i="11"/>
  <c r="J9" i="11"/>
  <c r="R9" i="11"/>
  <c r="J11" i="11"/>
  <c r="R11" i="11"/>
  <c r="G12" i="11"/>
  <c r="M12" i="11"/>
  <c r="L14" i="11"/>
  <c r="F15" i="11"/>
  <c r="K15" i="11"/>
  <c r="Q15" i="11"/>
  <c r="K16" i="11"/>
  <c r="J17" i="11"/>
  <c r="O17" i="11"/>
  <c r="U17" i="11"/>
  <c r="I19" i="11"/>
  <c r="N19" i="11"/>
  <c r="S19" i="11"/>
  <c r="G20" i="11"/>
  <c r="M20" i="11"/>
  <c r="L22" i="11"/>
  <c r="F23" i="11"/>
  <c r="K23" i="11"/>
  <c r="Q23" i="11"/>
  <c r="K24" i="11"/>
  <c r="J25" i="11"/>
  <c r="O25" i="11"/>
  <c r="U25" i="11"/>
  <c r="I27" i="11"/>
  <c r="N27" i="11"/>
  <c r="S27" i="11"/>
  <c r="G28" i="11"/>
  <c r="M28" i="11"/>
  <c r="L30" i="11"/>
  <c r="F31" i="11"/>
  <c r="K31" i="11"/>
  <c r="Q31" i="11"/>
  <c r="K32" i="11"/>
  <c r="J33" i="11"/>
  <c r="O33" i="11"/>
  <c r="U33" i="11"/>
  <c r="I35" i="11"/>
  <c r="N35" i="11"/>
  <c r="S35" i="11"/>
  <c r="G36" i="11"/>
  <c r="M36" i="11"/>
  <c r="L38" i="11"/>
  <c r="G39" i="11"/>
  <c r="N39" i="11"/>
  <c r="U39" i="11"/>
  <c r="F41" i="11"/>
  <c r="M41" i="11"/>
  <c r="S41" i="11"/>
  <c r="K42" i="11"/>
  <c r="S42" i="11"/>
  <c r="O44" i="11"/>
  <c r="O46" i="11"/>
  <c r="P48" i="11"/>
  <c r="K50" i="11"/>
  <c r="S50" i="11"/>
  <c r="I51" i="11"/>
  <c r="O51" i="11"/>
  <c r="S52" i="11"/>
  <c r="L52" i="11"/>
  <c r="K52" i="11"/>
  <c r="U52" i="11"/>
  <c r="I53" i="11"/>
  <c r="O53" i="11"/>
  <c r="G55" i="11"/>
  <c r="N55" i="11"/>
  <c r="P56" i="11"/>
  <c r="H56" i="11"/>
  <c r="L56" i="11"/>
  <c r="U56" i="11"/>
  <c r="T58" i="11"/>
  <c r="H58" i="11"/>
  <c r="P58" i="11"/>
  <c r="G58" i="11"/>
  <c r="T59" i="11"/>
  <c r="R59" i="11"/>
  <c r="M59" i="11"/>
  <c r="G59" i="11"/>
  <c r="Q59" i="11"/>
  <c r="K59" i="11"/>
  <c r="F59" i="11"/>
  <c r="N59" i="11"/>
  <c r="R68" i="11"/>
  <c r="T70" i="11"/>
  <c r="Q70" i="11"/>
  <c r="I70" i="11"/>
  <c r="N70" i="11"/>
  <c r="F70" i="11"/>
  <c r="U70" i="11"/>
  <c r="M70" i="11"/>
  <c r="J74" i="11"/>
  <c r="J76" i="11"/>
  <c r="R76" i="11"/>
  <c r="J78" i="11"/>
  <c r="R78" i="11"/>
  <c r="J80" i="11"/>
  <c r="R80" i="11"/>
  <c r="J82" i="11"/>
  <c r="K40" i="11"/>
  <c r="I43" i="11"/>
  <c r="N43" i="11"/>
  <c r="S43" i="11"/>
  <c r="I45" i="11"/>
  <c r="N45" i="11"/>
  <c r="S45" i="11"/>
  <c r="I47" i="11"/>
  <c r="N47" i="11"/>
  <c r="S47" i="11"/>
  <c r="I49" i="11"/>
  <c r="N49" i="11"/>
  <c r="S49" i="11"/>
  <c r="K54" i="11"/>
  <c r="I57" i="11"/>
  <c r="N57" i="11"/>
  <c r="S57" i="11"/>
  <c r="I61" i="11"/>
  <c r="N61" i="11"/>
  <c r="S61" i="11"/>
  <c r="T62" i="11"/>
  <c r="G63" i="11"/>
  <c r="R63" i="11"/>
  <c r="T64" i="11"/>
  <c r="G65" i="11"/>
  <c r="R65" i="11"/>
  <c r="T66" i="11"/>
  <c r="H67" i="11"/>
  <c r="H69" i="11"/>
  <c r="H71" i="11"/>
  <c r="H73" i="11"/>
  <c r="H75" i="11"/>
  <c r="M76" i="11"/>
  <c r="U76" i="11"/>
  <c r="H77" i="11"/>
  <c r="M78" i="11"/>
  <c r="U78" i="11"/>
  <c r="H79" i="11"/>
  <c r="M80" i="11"/>
  <c r="U80" i="11"/>
  <c r="H81" i="11"/>
  <c r="M82" i="11"/>
  <c r="K63" i="11"/>
  <c r="K65" i="11"/>
  <c r="O67" i="11"/>
  <c r="O69" i="11"/>
  <c r="O71" i="11"/>
  <c r="O73" i="11"/>
  <c r="O75" i="11"/>
  <c r="F76" i="11"/>
  <c r="N76" i="11"/>
  <c r="O77" i="11"/>
  <c r="F78" i="11"/>
  <c r="N78" i="11"/>
  <c r="O79" i="11"/>
  <c r="F80" i="11"/>
  <c r="N80" i="11"/>
  <c r="O81" i="11"/>
  <c r="N82" i="11"/>
  <c r="I76" i="11"/>
  <c r="Q76" i="11"/>
  <c r="I78" i="11"/>
  <c r="Q78" i="11"/>
  <c r="I80" i="11"/>
  <c r="Q80" i="11"/>
  <c r="I82" i="11"/>
  <c r="Q82" i="11"/>
  <c r="H8" i="11"/>
  <c r="P8" i="11"/>
  <c r="L10" i="11"/>
  <c r="N6" i="11"/>
  <c r="T6" i="11"/>
  <c r="H10" i="11"/>
  <c r="P10" i="11"/>
  <c r="T10" i="11"/>
  <c r="J6" i="11"/>
  <c r="O6" i="11"/>
  <c r="U6" i="11"/>
  <c r="Q8" i="11"/>
  <c r="I10" i="11"/>
  <c r="M10" i="11"/>
  <c r="Q10" i="11"/>
  <c r="U10" i="11"/>
  <c r="G6" i="11"/>
  <c r="L6" i="11"/>
  <c r="R6" i="11"/>
  <c r="H7" i="11"/>
  <c r="P7" i="11"/>
  <c r="F8" i="11"/>
  <c r="J8" i="11"/>
  <c r="N8" i="11"/>
  <c r="R8" i="11"/>
  <c r="L9" i="11"/>
  <c r="T9" i="11"/>
  <c r="J10" i="11"/>
  <c r="R10" i="11"/>
  <c r="I6" i="11"/>
  <c r="L8" i="11"/>
  <c r="T8" i="11"/>
  <c r="I8" i="11"/>
  <c r="M8" i="11"/>
  <c r="U8" i="11"/>
  <c r="L7" i="11"/>
  <c r="T7" i="11"/>
  <c r="H9" i="11"/>
  <c r="P9" i="11"/>
  <c r="F10" i="11"/>
  <c r="N10" i="11"/>
  <c r="H11" i="11"/>
  <c r="L11" i="11"/>
  <c r="P11" i="11"/>
  <c r="U11" i="11"/>
  <c r="H6" i="11"/>
  <c r="M6" i="11"/>
  <c r="I7" i="11"/>
  <c r="M7" i="11"/>
  <c r="Q7" i="11"/>
  <c r="G8" i="11"/>
  <c r="K8" i="11"/>
  <c r="O8" i="11"/>
  <c r="I9" i="11"/>
  <c r="M9" i="11"/>
  <c r="Q9" i="11"/>
  <c r="G10" i="11"/>
  <c r="K10" i="11"/>
  <c r="O10" i="11"/>
  <c r="I11" i="11"/>
  <c r="M11" i="11"/>
  <c r="Q11" i="11"/>
  <c r="R12" i="11"/>
  <c r="N12" i="11"/>
  <c r="J12" i="11"/>
  <c r="F12" i="11"/>
  <c r="I12" i="11"/>
  <c r="O12" i="11"/>
  <c r="T12" i="11"/>
  <c r="R14" i="11"/>
  <c r="N14" i="11"/>
  <c r="J14" i="11"/>
  <c r="F14" i="11"/>
  <c r="I14" i="11"/>
  <c r="O14" i="11"/>
  <c r="T14" i="11"/>
  <c r="R16" i="11"/>
  <c r="N16" i="11"/>
  <c r="J16" i="11"/>
  <c r="F16" i="11"/>
  <c r="I16" i="11"/>
  <c r="O16" i="11"/>
  <c r="T16" i="11"/>
  <c r="R18" i="11"/>
  <c r="N18" i="11"/>
  <c r="J18" i="11"/>
  <c r="F18" i="11"/>
  <c r="I18" i="11"/>
  <c r="O18" i="11"/>
  <c r="T18" i="11"/>
  <c r="R20" i="11"/>
  <c r="N20" i="11"/>
  <c r="J20" i="11"/>
  <c r="F20" i="11"/>
  <c r="I20" i="11"/>
  <c r="O20" i="11"/>
  <c r="T20" i="11"/>
  <c r="R22" i="11"/>
  <c r="N22" i="11"/>
  <c r="J22" i="11"/>
  <c r="F22" i="11"/>
  <c r="I22" i="11"/>
  <c r="O22" i="11"/>
  <c r="T22" i="11"/>
  <c r="R24" i="11"/>
  <c r="N24" i="11"/>
  <c r="J24" i="11"/>
  <c r="F24" i="11"/>
  <c r="I24" i="11"/>
  <c r="O24" i="11"/>
  <c r="T24" i="11"/>
  <c r="R26" i="11"/>
  <c r="N26" i="11"/>
  <c r="J26" i="11"/>
  <c r="F26" i="11"/>
  <c r="I26" i="11"/>
  <c r="O26" i="11"/>
  <c r="T26" i="11"/>
  <c r="R28" i="11"/>
  <c r="N28" i="11"/>
  <c r="J28" i="11"/>
  <c r="F28" i="11"/>
  <c r="I28" i="11"/>
  <c r="O28" i="11"/>
  <c r="T28" i="11"/>
  <c r="R30" i="11"/>
  <c r="N30" i="11"/>
  <c r="J30" i="11"/>
  <c r="F30" i="11"/>
  <c r="I30" i="11"/>
  <c r="O30" i="11"/>
  <c r="T30" i="11"/>
  <c r="R32" i="11"/>
  <c r="N32" i="11"/>
  <c r="J32" i="11"/>
  <c r="F32" i="11"/>
  <c r="I32" i="11"/>
  <c r="O32" i="11"/>
  <c r="T32" i="11"/>
  <c r="R34" i="11"/>
  <c r="N34" i="11"/>
  <c r="J34" i="11"/>
  <c r="F34" i="11"/>
  <c r="I34" i="11"/>
  <c r="O34" i="11"/>
  <c r="T34" i="11"/>
  <c r="R36" i="11"/>
  <c r="N36" i="11"/>
  <c r="J36" i="11"/>
  <c r="F36" i="11"/>
  <c r="I36" i="11"/>
  <c r="O36" i="11"/>
  <c r="T36" i="11"/>
  <c r="R38" i="11"/>
  <c r="N38" i="11"/>
  <c r="J38" i="11"/>
  <c r="F38" i="11"/>
  <c r="I38" i="11"/>
  <c r="O38" i="11"/>
  <c r="T38" i="11"/>
  <c r="R40" i="11"/>
  <c r="N40" i="11"/>
  <c r="J40" i="11"/>
  <c r="F40" i="11"/>
  <c r="I40" i="11"/>
  <c r="O40" i="11"/>
  <c r="T40" i="11"/>
  <c r="R42" i="11"/>
  <c r="N42" i="11"/>
  <c r="J42" i="11"/>
  <c r="F42" i="11"/>
  <c r="I42" i="11"/>
  <c r="O42" i="11"/>
  <c r="T42" i="11"/>
  <c r="H44" i="11"/>
  <c r="L44" i="11"/>
  <c r="P44" i="11"/>
  <c r="T44" i="11"/>
  <c r="H46" i="11"/>
  <c r="L46" i="11"/>
  <c r="P46" i="11"/>
  <c r="T46" i="11"/>
  <c r="R48" i="11"/>
  <c r="N48" i="11"/>
  <c r="H48" i="11"/>
  <c r="L48" i="11"/>
  <c r="Q48" i="11"/>
  <c r="J62" i="11"/>
  <c r="J64" i="11"/>
  <c r="J66" i="11"/>
  <c r="I44" i="11"/>
  <c r="M44" i="11"/>
  <c r="Q44" i="11"/>
  <c r="U44" i="11"/>
  <c r="I46" i="11"/>
  <c r="M46" i="11"/>
  <c r="Q46" i="11"/>
  <c r="U46" i="11"/>
  <c r="I48" i="11"/>
  <c r="M48" i="11"/>
  <c r="S48" i="11"/>
  <c r="S62" i="11"/>
  <c r="O62" i="11"/>
  <c r="K62" i="11"/>
  <c r="G62" i="11"/>
  <c r="R62" i="11"/>
  <c r="M62" i="11"/>
  <c r="H62" i="11"/>
  <c r="Q62" i="11"/>
  <c r="L62" i="11"/>
  <c r="F62" i="11"/>
  <c r="N62" i="11"/>
  <c r="S64" i="11"/>
  <c r="O64" i="11"/>
  <c r="K64" i="11"/>
  <c r="G64" i="11"/>
  <c r="R64" i="11"/>
  <c r="M64" i="11"/>
  <c r="H64" i="11"/>
  <c r="Q64" i="11"/>
  <c r="L64" i="11"/>
  <c r="F64" i="11"/>
  <c r="N64" i="11"/>
  <c r="S66" i="11"/>
  <c r="O66" i="11"/>
  <c r="K66" i="11"/>
  <c r="G66" i="11"/>
  <c r="R66" i="11"/>
  <c r="M66" i="11"/>
  <c r="H66" i="11"/>
  <c r="Q66" i="11"/>
  <c r="L66" i="11"/>
  <c r="F66" i="11"/>
  <c r="N66" i="11"/>
  <c r="H13" i="11"/>
  <c r="L13" i="11"/>
  <c r="P13" i="11"/>
  <c r="H15" i="11"/>
  <c r="L15" i="11"/>
  <c r="P15" i="11"/>
  <c r="H17" i="11"/>
  <c r="L17" i="11"/>
  <c r="P17" i="11"/>
  <c r="H19" i="11"/>
  <c r="L19" i="11"/>
  <c r="P19" i="11"/>
  <c r="H21" i="11"/>
  <c r="L21" i="11"/>
  <c r="P21" i="11"/>
  <c r="H23" i="11"/>
  <c r="L23" i="11"/>
  <c r="P23" i="11"/>
  <c r="H25" i="11"/>
  <c r="L25" i="11"/>
  <c r="P25" i="11"/>
  <c r="H27" i="11"/>
  <c r="L27" i="11"/>
  <c r="P27" i="11"/>
  <c r="H29" i="11"/>
  <c r="L29" i="11"/>
  <c r="P29" i="11"/>
  <c r="H31" i="11"/>
  <c r="L31" i="11"/>
  <c r="P31" i="11"/>
  <c r="H33" i="11"/>
  <c r="L33" i="11"/>
  <c r="P33" i="11"/>
  <c r="H35" i="11"/>
  <c r="L35" i="11"/>
  <c r="P35" i="11"/>
  <c r="H37" i="11"/>
  <c r="L37" i="11"/>
  <c r="P37" i="11"/>
  <c r="H39" i="11"/>
  <c r="L39" i="11"/>
  <c r="P39" i="11"/>
  <c r="H41" i="11"/>
  <c r="L41" i="11"/>
  <c r="P41" i="11"/>
  <c r="H43" i="11"/>
  <c r="L43" i="11"/>
  <c r="P43" i="11"/>
  <c r="F44" i="11"/>
  <c r="J44" i="11"/>
  <c r="N44" i="11"/>
  <c r="H45" i="11"/>
  <c r="L45" i="11"/>
  <c r="P45" i="11"/>
  <c r="F46" i="11"/>
  <c r="J46" i="11"/>
  <c r="N46" i="11"/>
  <c r="H47" i="11"/>
  <c r="L47" i="11"/>
  <c r="P47" i="11"/>
  <c r="F48" i="11"/>
  <c r="J48" i="11"/>
  <c r="O48" i="11"/>
  <c r="T48" i="11"/>
  <c r="R50" i="11"/>
  <c r="N50" i="11"/>
  <c r="J50" i="11"/>
  <c r="F50" i="11"/>
  <c r="I50" i="11"/>
  <c r="O50" i="11"/>
  <c r="T50" i="11"/>
  <c r="R52" i="11"/>
  <c r="N52" i="11"/>
  <c r="J52" i="11"/>
  <c r="F52" i="11"/>
  <c r="I52" i="11"/>
  <c r="O52" i="11"/>
  <c r="T52" i="11"/>
  <c r="R54" i="11"/>
  <c r="N54" i="11"/>
  <c r="J54" i="11"/>
  <c r="F54" i="11"/>
  <c r="I54" i="11"/>
  <c r="O54" i="11"/>
  <c r="T54" i="11"/>
  <c r="R56" i="11"/>
  <c r="N56" i="11"/>
  <c r="J56" i="11"/>
  <c r="F56" i="11"/>
  <c r="I56" i="11"/>
  <c r="O56" i="11"/>
  <c r="T56" i="11"/>
  <c r="R58" i="11"/>
  <c r="N58" i="11"/>
  <c r="J58" i="11"/>
  <c r="F58" i="11"/>
  <c r="U58" i="11"/>
  <c r="Q58" i="11"/>
  <c r="M58" i="11"/>
  <c r="I58" i="11"/>
  <c r="K58" i="11"/>
  <c r="S58" i="11"/>
  <c r="R60" i="11"/>
  <c r="N60" i="11"/>
  <c r="J60" i="11"/>
  <c r="F60" i="11"/>
  <c r="U60" i="11"/>
  <c r="Q60" i="11"/>
  <c r="M60" i="11"/>
  <c r="I60" i="11"/>
  <c r="K60" i="11"/>
  <c r="S60" i="11"/>
  <c r="P62" i="11"/>
  <c r="P64" i="11"/>
  <c r="P66" i="11"/>
  <c r="U63" i="11"/>
  <c r="Q63" i="11"/>
  <c r="M63" i="11"/>
  <c r="I63" i="11"/>
  <c r="H63" i="11"/>
  <c r="N63" i="11"/>
  <c r="S63" i="11"/>
  <c r="U65" i="11"/>
  <c r="Q65" i="11"/>
  <c r="M65" i="11"/>
  <c r="I65" i="11"/>
  <c r="H65" i="11"/>
  <c r="N65" i="11"/>
  <c r="S65" i="11"/>
  <c r="R67" i="11"/>
  <c r="N67" i="11"/>
  <c r="J67" i="11"/>
  <c r="F67" i="11"/>
  <c r="U67" i="11"/>
  <c r="Q67" i="11"/>
  <c r="M67" i="11"/>
  <c r="I67" i="11"/>
  <c r="K67" i="11"/>
  <c r="S67" i="11"/>
  <c r="R69" i="11"/>
  <c r="N69" i="11"/>
  <c r="J69" i="11"/>
  <c r="F69" i="11"/>
  <c r="U69" i="11"/>
  <c r="Q69" i="11"/>
  <c r="M69" i="11"/>
  <c r="I69" i="11"/>
  <c r="K69" i="11"/>
  <c r="S69" i="11"/>
  <c r="R71" i="11"/>
  <c r="N71" i="11"/>
  <c r="J71" i="11"/>
  <c r="F71" i="11"/>
  <c r="U71" i="11"/>
  <c r="Q71" i="11"/>
  <c r="M71" i="11"/>
  <c r="I71" i="11"/>
  <c r="K71" i="11"/>
  <c r="S71" i="11"/>
  <c r="R73" i="11"/>
  <c r="N73" i="11"/>
  <c r="J73" i="11"/>
  <c r="F73" i="11"/>
  <c r="U73" i="11"/>
  <c r="Q73" i="11"/>
  <c r="M73" i="11"/>
  <c r="I73" i="11"/>
  <c r="K73" i="11"/>
  <c r="S73" i="11"/>
  <c r="R75" i="11"/>
  <c r="N75" i="11"/>
  <c r="J75" i="11"/>
  <c r="F75" i="11"/>
  <c r="U75" i="11"/>
  <c r="Q75" i="11"/>
  <c r="M75" i="11"/>
  <c r="I75" i="11"/>
  <c r="K75" i="11"/>
  <c r="S75" i="11"/>
  <c r="R77" i="11"/>
  <c r="N77" i="11"/>
  <c r="J77" i="11"/>
  <c r="F77" i="11"/>
  <c r="U77" i="11"/>
  <c r="Q77" i="11"/>
  <c r="M77" i="11"/>
  <c r="I77" i="11"/>
  <c r="K77" i="11"/>
  <c r="S77" i="11"/>
  <c r="R79" i="11"/>
  <c r="N79" i="11"/>
  <c r="J79" i="11"/>
  <c r="F79" i="11"/>
  <c r="U79" i="11"/>
  <c r="Q79" i="11"/>
  <c r="M79" i="11"/>
  <c r="I79" i="11"/>
  <c r="K79" i="11"/>
  <c r="S79" i="11"/>
  <c r="R81" i="11"/>
  <c r="N81" i="11"/>
  <c r="J81" i="11"/>
  <c r="F81" i="11"/>
  <c r="U81" i="11"/>
  <c r="Q81" i="11"/>
  <c r="M81" i="11"/>
  <c r="I81" i="11"/>
  <c r="K81" i="11"/>
  <c r="S81" i="11"/>
  <c r="H49" i="11"/>
  <c r="L49" i="11"/>
  <c r="P49" i="11"/>
  <c r="H51" i="11"/>
  <c r="L51" i="11"/>
  <c r="P51" i="11"/>
  <c r="H53" i="11"/>
  <c r="L53" i="11"/>
  <c r="P53" i="11"/>
  <c r="H55" i="11"/>
  <c r="L55" i="11"/>
  <c r="P55" i="11"/>
  <c r="H57" i="11"/>
  <c r="L57" i="11"/>
  <c r="P57" i="11"/>
  <c r="H59" i="11"/>
  <c r="L59" i="11"/>
  <c r="P59" i="11"/>
  <c r="H61" i="11"/>
  <c r="L61" i="11"/>
  <c r="P61" i="11"/>
  <c r="T61" i="11"/>
  <c r="J63" i="11"/>
  <c r="O63" i="11"/>
  <c r="T63" i="11"/>
  <c r="J65" i="11"/>
  <c r="O65" i="11"/>
  <c r="T65" i="11"/>
  <c r="L67" i="11"/>
  <c r="T67" i="11"/>
  <c r="L69" i="11"/>
  <c r="T69" i="11"/>
  <c r="L71" i="11"/>
  <c r="T71" i="11"/>
  <c r="L73" i="11"/>
  <c r="T73" i="11"/>
  <c r="L75" i="11"/>
  <c r="T75" i="11"/>
  <c r="L77" i="11"/>
  <c r="T77" i="11"/>
  <c r="L79" i="11"/>
  <c r="T79" i="11"/>
  <c r="L81" i="11"/>
  <c r="T81" i="11"/>
  <c r="R82" i="11"/>
  <c r="G68" i="11"/>
  <c r="K68" i="11"/>
  <c r="O68" i="11"/>
  <c r="S68" i="11"/>
  <c r="G70" i="11"/>
  <c r="K70" i="11"/>
  <c r="O70" i="11"/>
  <c r="S70" i="11"/>
  <c r="G72" i="11"/>
  <c r="K72" i="11"/>
  <c r="O72" i="11"/>
  <c r="S72" i="11"/>
  <c r="G74" i="11"/>
  <c r="K74" i="11"/>
  <c r="O74" i="11"/>
  <c r="S74" i="11"/>
  <c r="G76" i="11"/>
  <c r="K76" i="11"/>
  <c r="O76" i="11"/>
  <c r="S76" i="11"/>
  <c r="G78" i="11"/>
  <c r="K78" i="11"/>
  <c r="O78" i="11"/>
  <c r="S78" i="11"/>
  <c r="G80" i="11"/>
  <c r="K80" i="11"/>
  <c r="O80" i="11"/>
  <c r="S80" i="11"/>
  <c r="G82" i="11"/>
  <c r="K82" i="11"/>
  <c r="O82" i="11"/>
  <c r="S82" i="11"/>
  <c r="H68" i="11"/>
  <c r="L68" i="11"/>
  <c r="P68" i="11"/>
  <c r="H70" i="11"/>
  <c r="L70" i="11"/>
  <c r="P70" i="11"/>
  <c r="H72" i="11"/>
  <c r="L72" i="11"/>
  <c r="P72" i="11"/>
  <c r="H74" i="11"/>
  <c r="L74" i="11"/>
  <c r="P74" i="11"/>
  <c r="H76" i="11"/>
  <c r="L76" i="11"/>
  <c r="P76" i="11"/>
  <c r="H78" i="11"/>
  <c r="L78" i="11"/>
  <c r="P78" i="11"/>
  <c r="H80" i="11"/>
  <c r="L80" i="11"/>
  <c r="P80" i="11"/>
  <c r="H82" i="11"/>
  <c r="L82" i="11"/>
  <c r="P82" i="11"/>
  <c r="T82" i="11"/>
  <c r="F4" i="3" l="1"/>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K51" i="10" s="1"/>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E50" i="10"/>
  <c r="K50" i="10" s="1"/>
  <c r="E54" i="10"/>
  <c r="K54" i="10" s="1"/>
  <c r="I85" i="10"/>
  <c r="J85" i="10" s="1"/>
  <c r="I86" i="10"/>
  <c r="I108" i="10" s="1"/>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D79" i="10"/>
  <c r="F84" i="10"/>
  <c r="BA49" i="10"/>
  <c r="C109" i="10"/>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A93" i="10" s="1"/>
  <c r="C85" i="10"/>
  <c r="C69" i="10"/>
  <c r="C68" i="10"/>
  <c r="H11" i="10"/>
  <c r="A65" i="10"/>
  <c r="A64" i="10"/>
  <c r="A67" i="10"/>
  <c r="J55" i="10"/>
  <c r="A120" i="10"/>
  <c r="A118" i="10"/>
  <c r="J43" i="10"/>
  <c r="H46" i="10"/>
  <c r="H55" i="10" s="1"/>
  <c r="A100" i="10"/>
  <c r="A96" i="10"/>
  <c r="A69" i="10"/>
  <c r="D81" i="10"/>
  <c r="I105" i="10"/>
  <c r="J105" i="10" s="1"/>
  <c r="J88" i="10"/>
  <c r="D107" i="10"/>
  <c r="F113" i="10"/>
  <c r="C116" i="10"/>
  <c r="A116" i="10" s="1"/>
  <c r="C72" i="10"/>
  <c r="M72" i="10" s="1"/>
  <c r="C46" i="10"/>
  <c r="C43" i="10"/>
  <c r="M100" i="10"/>
  <c r="N100" i="10" s="1"/>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C74" i="10"/>
  <c r="M74" i="10" s="1"/>
  <c r="N74" i="10" s="1"/>
  <c r="A80" i="10"/>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M85" i="10" l="1"/>
  <c r="N85" i="10" s="1"/>
  <c r="K48" i="10"/>
  <c r="M73" i="10"/>
  <c r="N73" i="10" s="1"/>
  <c r="I106" i="10"/>
  <c r="J106" i="10" s="1"/>
  <c r="M116" i="10"/>
  <c r="J86" i="10"/>
  <c r="M109" i="10"/>
  <c r="N109" i="10" s="1"/>
  <c r="H109" i="10" s="1"/>
  <c r="M107" i="10"/>
  <c r="N107" i="10" s="1"/>
  <c r="M87" i="10"/>
  <c r="N87" i="10" s="1"/>
  <c r="M84" i="10"/>
  <c r="N84" i="10" s="1"/>
  <c r="M88" i="10"/>
  <c r="N88" i="10" s="1"/>
  <c r="H122" i="10"/>
  <c r="A72" i="10"/>
  <c r="M89" i="10"/>
  <c r="N89" i="10" s="1"/>
  <c r="A105" i="10"/>
  <c r="B105" i="10" s="1"/>
  <c r="K49" i="10"/>
  <c r="M92" i="10"/>
  <c r="M94" i="10" s="1"/>
  <c r="L50" i="10" s="1"/>
  <c r="M50" i="10" s="1"/>
  <c r="M67" i="10"/>
  <c r="N67" i="10" s="1"/>
  <c r="H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110" i="10" s="1"/>
  <c r="AL111" i="10" s="1"/>
  <c r="B7" i="10"/>
  <c r="A74" i="10"/>
  <c r="M82" i="10"/>
  <c r="L48" i="10" s="1"/>
  <c r="M48" i="10" s="1"/>
  <c r="N79" i="10"/>
  <c r="B87" i="10"/>
  <c r="F87" i="10"/>
  <c r="B66" i="10"/>
  <c r="I66" i="10" s="1"/>
  <c r="J66" i="10" s="1"/>
  <c r="F66" i="10"/>
  <c r="M103" i="10"/>
  <c r="L51" i="10" s="1"/>
  <c r="M51" i="10" s="1"/>
  <c r="N96" i="10"/>
  <c r="R98" i="10" s="1"/>
  <c r="F106" i="10"/>
  <c r="H106" i="10" s="1"/>
  <c r="B106" i="10"/>
  <c r="A81" i="10"/>
  <c r="N72" i="10"/>
  <c r="R76" i="10" s="1"/>
  <c r="F107" i="10"/>
  <c r="B107" i="10"/>
  <c r="A99" i="10"/>
  <c r="M66" i="10"/>
  <c r="N66" i="10" s="1"/>
  <c r="B84" i="10"/>
  <c r="A89" i="10"/>
  <c r="A108" i="10"/>
  <c r="B108" i="10" s="1"/>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F93" i="10"/>
  <c r="B93" i="10"/>
  <c r="AL94" i="10" s="1"/>
  <c r="F118" i="10"/>
  <c r="B118" i="10"/>
  <c r="I118" i="10" s="1"/>
  <c r="J118" i="10" s="1"/>
  <c r="J108" i="10"/>
  <c r="I107" i="10"/>
  <c r="J107" i="10" s="1"/>
  <c r="B69" i="10"/>
  <c r="AL70" i="10" s="1"/>
  <c r="F69"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F88" i="10"/>
  <c r="B88" i="10"/>
  <c r="F121" i="10"/>
  <c r="H121" i="10" s="1"/>
  <c r="B121" i="10"/>
  <c r="I121" i="10" s="1"/>
  <c r="J121" i="10" s="1"/>
  <c r="I122" i="10"/>
  <c r="J122" i="10" s="1"/>
  <c r="AL123" i="10"/>
  <c r="B89" i="10"/>
  <c r="AL90" i="10" s="1"/>
  <c r="F89" i="10"/>
  <c r="F68" i="10"/>
  <c r="B68" i="10"/>
  <c r="F105" i="10"/>
  <c r="BA52" i="10"/>
  <c r="M65" i="10"/>
  <c r="N65" i="10" s="1"/>
  <c r="A113" i="10"/>
  <c r="A121" i="10"/>
  <c r="B113" i="10"/>
  <c r="AL114" i="10" s="1"/>
  <c r="M64" i="10"/>
  <c r="A85" i="10"/>
  <c r="F97" i="10"/>
  <c r="H97" i="10" s="1"/>
  <c r="B97" i="10"/>
  <c r="I97" i="10" s="1"/>
  <c r="J97" i="10" s="1"/>
  <c r="A109" i="10"/>
  <c r="B109" i="10" s="1"/>
  <c r="F98" i="10"/>
  <c r="H98" i="10" s="1"/>
  <c r="B98" i="10"/>
  <c r="I98" i="10" s="1"/>
  <c r="F100" i="10"/>
  <c r="H100" i="10" s="1"/>
  <c r="B100" i="10"/>
  <c r="B73" i="10"/>
  <c r="I73" i="10" s="1"/>
  <c r="F73" i="10"/>
  <c r="H107" i="10" l="1"/>
  <c r="H73" i="10"/>
  <c r="M77" i="10"/>
  <c r="L47" i="10" s="1"/>
  <c r="M47" i="10" s="1"/>
  <c r="R87" i="10"/>
  <c r="S87" i="10" s="1"/>
  <c r="H88" i="10"/>
  <c r="M111" i="10"/>
  <c r="L52" i="10" s="1"/>
  <c r="M52" i="10" s="1"/>
  <c r="M90" i="10"/>
  <c r="L49" i="10" s="1"/>
  <c r="M49" i="10" s="1"/>
  <c r="H87" i="10"/>
  <c r="R97" i="10"/>
  <c r="T97" i="10" s="1"/>
  <c r="R75" i="10"/>
  <c r="R100" i="10"/>
  <c r="V100" i="10" s="1"/>
  <c r="K55" i="10"/>
  <c r="R101" i="10"/>
  <c r="Y101" i="10" s="1"/>
  <c r="R120" i="10"/>
  <c r="H117" i="10"/>
  <c r="N92" i="10"/>
  <c r="R93" i="10" s="1"/>
  <c r="AC93" i="10" s="1"/>
  <c r="R110" i="10"/>
  <c r="T110" i="10" s="1"/>
  <c r="H118" i="10"/>
  <c r="Y108" i="10"/>
  <c r="U108" i="10"/>
  <c r="W108" i="10"/>
  <c r="V108" i="10"/>
  <c r="T108" i="10"/>
  <c r="AC108" i="10"/>
  <c r="S108" i="10"/>
  <c r="X108" i="10"/>
  <c r="I99" i="10"/>
  <c r="J98" i="10"/>
  <c r="W97" i="10"/>
  <c r="V97" i="10"/>
  <c r="R106" i="10"/>
  <c r="H116" i="10"/>
  <c r="N123" i="10"/>
  <c r="BC54" i="10" s="1"/>
  <c r="R116" i="10"/>
  <c r="R72" i="10"/>
  <c r="H72" i="10"/>
  <c r="N77" i="10"/>
  <c r="BC47" i="10" s="1"/>
  <c r="N103" i="10"/>
  <c r="BC51" i="10" s="1"/>
  <c r="H96" i="10"/>
  <c r="R96" i="10"/>
  <c r="R73" i="10"/>
  <c r="R99" i="10"/>
  <c r="H79" i="10"/>
  <c r="N82" i="10"/>
  <c r="BC48" i="10" s="1"/>
  <c r="R79" i="10"/>
  <c r="R81" i="10"/>
  <c r="AC110" i="10"/>
  <c r="T101" i="10"/>
  <c r="AC101" i="10"/>
  <c r="X87" i="10"/>
  <c r="AC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V87" i="10" l="1"/>
  <c r="W87" i="10"/>
  <c r="Y87" i="10"/>
  <c r="U87" i="10"/>
  <c r="T87" i="10"/>
  <c r="W101" i="10"/>
  <c r="X101" i="10"/>
  <c r="U110" i="10"/>
  <c r="AC97" i="10"/>
  <c r="AF97" i="10" s="1"/>
  <c r="V101" i="10"/>
  <c r="S101" i="10"/>
  <c r="W110" i="10"/>
  <c r="N94" i="10"/>
  <c r="BC50" i="10" s="1"/>
  <c r="X97" i="10"/>
  <c r="U101" i="10"/>
  <c r="X110" i="10"/>
  <c r="U97" i="10"/>
  <c r="S97" i="10"/>
  <c r="Y97" i="10"/>
  <c r="X100" i="10"/>
  <c r="W100" i="10"/>
  <c r="S100" i="10"/>
  <c r="U100" i="10"/>
  <c r="Y100" i="10"/>
  <c r="T100" i="10"/>
  <c r="AC100" i="10"/>
  <c r="AF100" i="10" s="1"/>
  <c r="H92" i="10"/>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AD100" i="10" l="1"/>
  <c r="AI97" i="10"/>
  <c r="AI100" i="10"/>
  <c r="AG97" i="10"/>
  <c r="AE97" i="10"/>
  <c r="X92" i="10"/>
  <c r="AJ97" i="10"/>
  <c r="AD97" i="10"/>
  <c r="AH97" i="10"/>
  <c r="AE100" i="10"/>
  <c r="AG100" i="10"/>
  <c r="AJ100" i="10"/>
  <c r="AH100" i="10"/>
  <c r="W92" i="10"/>
  <c r="U92" i="10"/>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F92" i="10" l="1"/>
  <c r="AI92" i="10"/>
  <c r="AH92" i="10"/>
  <c r="AJ92" i="10"/>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G24" i="3"/>
  <c r="H9" i="3"/>
  <c r="G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<sst xmlns="http://schemas.openxmlformats.org/spreadsheetml/2006/main" count="1391" uniqueCount="797">
  <si>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</si>
  <si>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</si>
  <si>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</si>
  <si>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</si>
  <si>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</si>
  <si>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</si>
  <si>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</si>
  <si>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</si>
  <si>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</si>
  <si>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</si>
  <si>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</si>
  <si>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</si>
  <si>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</si>
  <si>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</si>
  <si>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</si>
  <si>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</si>
  <si>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</si>
  <si>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</si>
  <si>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</si>
  <si>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</si>
  <si>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</si>
  <si>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</si>
  <si>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</si>
  <si>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</si>
  <si>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</si>
  <si>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</si>
  <si>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</si>
  <si>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</si>
  <si>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</si>
  <si>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</si>
  <si>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</si>
  <si>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</si>
  <si>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</si>
  <si>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</si>
  <si>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</si>
  <si>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</si>
  <si>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</si>
  <si>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</si>
  <si>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</si>
  <si>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</si>
  <si>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</si>
  <si>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</si>
  <si>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</si>
  <si>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</si>
  <si>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</si>
  <si>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</si>
  <si>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</si>
  <si>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</si>
  <si>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</si>
  <si>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</si>
  <si>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</si>
  <si>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</si>
  <si>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</si>
  <si>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</si>
  <si>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</si>
  <si>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</si>
  <si>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</si>
  <si>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</si>
  <si>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</si>
  <si>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</si>
  <si>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</si>
  <si>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</si>
  <si>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</si>
  <si>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</si>
  <si>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</si>
  <si>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</si>
  <si>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</si>
  <si>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</si>
  <si>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</si>
  <si>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</si>
  <si>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</si>
  <si>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</si>
  <si>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</si>
  <si>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</si>
  <si>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</si>
  <si>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</si>
  <si>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</si>
  <si>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</si>
  <si>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</si>
  <si>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</si>
  <si>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</si>
  <si>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</si>
  <si>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</si>
  <si>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</si>
  <si>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</si>
  <si>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</si>
  <si>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</si>
  <si>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</si>
  <si>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</si>
  <si>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</si>
  <si>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</si>
  <si>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</si>
  <si>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</si>
  <si>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</si>
  <si>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</si>
  <si>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</si>
  <si>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</si>
  <si>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</si>
  <si>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</si>
  <si>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</si>
  <si>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</si>
  <si>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</si>
  <si>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</si>
  <si>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</si>
  <si>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</si>
  <si>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</si>
  <si>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</si>
  <si>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</si>
  <si>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</si>
  <si>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</si>
  <si>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</si>
  <si>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</si>
  <si>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</si>
  <si>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</si>
  <si>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</si>
  <si>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</si>
  <si>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</si>
  <si>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</si>
  <si>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</si>
  <si>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</si>
  <si>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</si>
  <si>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</si>
  <si>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</si>
  <si>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</si>
  <si>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</si>
  <si>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</si>
  <si>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</si>
  <si>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</si>
  <si>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</si>
  <si>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</si>
  <si>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</si>
  <si>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</si>
  <si>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</si>
  <si>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</si>
  <si>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</si>
  <si>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</si>
  <si>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</si>
  <si>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</si>
  <si>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</si>
  <si>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</si>
  <si>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</si>
  <si>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</si>
  <si>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</si>
  <si>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</si>
  <si>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</si>
  <si>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</si>
  <si>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</si>
  <si>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</si>
  <si>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</si>
  <si>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</si>
  <si>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</si>
  <si>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</si>
  <si>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</si>
  <si>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</si>
  <si>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</si>
  <si>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</si>
  <si>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</si>
  <si>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</si>
  <si>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r>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 (</t>
    </r>
    <r>
      <rPr>
        <b/>
        <sz val="8"/>
        <color theme="8"/>
        <rFont val="Arial"/>
        <family val="2"/>
      </rPr>
      <t xml:space="preserve">this should be under Notes/Assumptions and Values should be actual values) </t>
    </r>
  </si>
  <si>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</si>
  <si>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</si>
  <si>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</si>
  <si>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</si>
  <si>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</si>
  <si>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</si>
  <si>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</si>
  <si>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</si>
  <si>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</si>
  <si>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</si>
  <si>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</si>
  <si>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</si>
  <si>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</si>
  <si>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</si>
  <si>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</si>
  <si>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</si>
  <si>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</si>
  <si>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</si>
  <si>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</si>
  <si>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</si>
  <si>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</si>
  <si>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</si>
  <si>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</si>
  <si>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</si>
  <si>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</si>
  <si>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</si>
  <si>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</si>
  <si>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</si>
  <si>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</si>
  <si>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</si>
  <si>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</si>
  <si>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</si>
  <si>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</si>
  <si>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</si>
  <si>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</si>
  <si>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</si>
  <si>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</si>
  <si>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</si>
  <si>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</si>
  <si>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</si>
  <si>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</si>
  <si>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</si>
  <si>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</si>
  <si>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</si>
  <si>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</si>
  <si>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</si>
  <si>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</si>
  <si>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</si>
  <si>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</si>
  <si>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</si>
  <si>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</si>
  <si>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</si>
  <si>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</si>
  <si>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</si>
  <si>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</si>
  <si>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</si>
  <si>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</si>
  <si>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</si>
  <si>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</si>
  <si>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Project sales output of the commercial sub-sectors (sales output measured in rands).</t>
  </si>
  <si>
    <t>Use commercial sub-sector output projections to project floor-space for different types of buildings (floor-space measured in square metres).</t>
  </si>
  <si>
    <t>The output variable used for the commercial sector was annual sales, since the Industrial Development Corporation (1999) provides sales growth projections for the period 1999 to 2015 for the following commercial sub-sectors:</t>
  </si>
  <si>
    <t>Trade, catering and accommodation (SIC 6).</t>
  </si>
  <si>
    <t>Finance, Property and Business Services (SIC 8).</t>
  </si>
  <si>
    <t>Community, Social and Personal Services (SIC 9).</t>
  </si>
  <si>
    <t>Sales growth for 2015 to 2030 was taken to be the average growth projected for 2010 to 2015.</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</si>
  <si>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</si>
  <si>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</si>
  <si>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</si>
  <si>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</si>
  <si>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</si>
  <si>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</si>
  <si>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</si>
  <si>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</si>
  <si>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</si>
  <si>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</si>
  <si>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</si>
  <si>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</si>
  <si>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</si>
  <si>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</si>
  <si>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</si>
  <si>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</si>
  <si>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</si>
  <si>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</si>
  <si>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</si>
  <si>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</si>
  <si>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</si>
  <si>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</si>
  <si>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</si>
  <si>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</si>
  <si>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</si>
  <si>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</si>
  <si>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</si>
  <si>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</si>
  <si>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</si>
  <si>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</si>
  <si>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</si>
  <si>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</si>
  <si>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</si>
  <si>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</si>
  <si>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</si>
  <si>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</si>
  <si>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</si>
  <si>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</si>
  <si>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</si>
  <si>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</si>
  <si>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</si>
  <si>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</si>
  <si>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</si>
  <si>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</si>
  <si>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</si>
  <si>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</si>
  <si>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</si>
  <si>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</si>
  <si>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</si>
  <si>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</si>
  <si>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</si>
  <si>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</si>
  <si>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</si>
  <si>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</si>
  <si>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</si>
  <si>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</si>
  <si>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</si>
  <si>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</si>
  <si>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</si>
  <si>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</si>
  <si>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</si>
  <si>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</si>
  <si>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</si>
  <si>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</si>
  <si>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</si>
  <si>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</si>
  <si>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</si>
  <si>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</si>
  <si>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</si>
  <si>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</si>
  <si>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</si>
  <si>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</si>
  <si>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</si>
  <si>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</si>
  <si>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</si>
  <si>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</si>
  <si>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</si>
  <si>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</si>
  <si>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</si>
  <si>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</si>
  <si>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</si>
  <si>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</si>
  <si>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</si>
  <si>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</si>
  <si>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</si>
  <si>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</si>
  <si>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</si>
  <si>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</si>
  <si>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</si>
  <si>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</si>
  <si>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</si>
  <si>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</si>
  <si>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</si>
  <si>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</si>
  <si>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</si>
  <si>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</si>
  <si>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</si>
  <si>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</si>
  <si>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</si>
  <si>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</si>
  <si>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</si>
  <si>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</si>
  <si>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</si>
  <si>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</si>
  <si>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</si>
  <si>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</si>
  <si>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</si>
  <si>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</si>
  <si>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</si>
  <si>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</si>
  <si>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</si>
  <si>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</si>
  <si>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</si>
  <si>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</si>
  <si>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</si>
  <si>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</si>
  <si>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</si>
  <si>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</si>
  <si>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</si>
  <si>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</si>
  <si>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</si>
  <si>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</si>
  <si>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</si>
  <si>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</si>
  <si>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</si>
  <si>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</si>
  <si>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</si>
  <si>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</si>
  <si>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</si>
  <si>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</si>
  <si>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</si>
  <si>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</si>
  <si>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</si>
  <si>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</si>
  <si>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</si>
  <si>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</si>
  <si>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</si>
  <si>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</si>
  <si>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</si>
  <si>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</si>
  <si>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</si>
  <si>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</si>
  <si>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</si>
  <si>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</si>
  <si>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</si>
  <si>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</si>
  <si>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</si>
  <si>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</si>
  <si>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</si>
  <si>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</si>
  <si>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</si>
  <si>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</si>
  <si>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</si>
  <si>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</si>
  <si>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</si>
  <si>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</si>
  <si>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</si>
  <si>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</si>
  <si>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</si>
  <si>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</si>
  <si>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</si>
  <si>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</si>
  <si>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</si>
  <si>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</si>
  <si>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</si>
  <si>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</si>
  <si>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</si>
  <si>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</si>
  <si>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</si>
  <si>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</si>
  <si>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</si>
  <si>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</si>
  <si>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</si>
  <si>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</si>
  <si>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</si>
  <si>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</si>
  <si>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</si>
  <si>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</si>
  <si>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</si>
  <si>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</si>
  <si>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</si>
  <si>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</si>
  <si>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</si>
  <si>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</si>
  <si>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</si>
  <si>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</si>
  <si>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</si>
  <si>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</si>
  <si>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</si>
  <si>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</si>
  <si>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</si>
  <si>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</si>
  <si>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</si>
  <si>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</si>
  <si>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</si>
  <si>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</si>
  <si>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</si>
  <si>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</si>
  <si>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</si>
  <si>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</si>
  <si>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</si>
  <si>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</si>
  <si>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</si>
  <si>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</si>
  <si>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</si>
  <si>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</si>
  <si>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</si>
  <si>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</si>
  <si>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</si>
  <si>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</si>
  <si>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</si>
  <si>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</si>
  <si>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</si>
  <si>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</si>
  <si>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</si>
  <si>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</si>
  <si>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</si>
  <si>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</si>
  <si>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</si>
  <si>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</si>
  <si>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</si>
  <si>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</si>
  <si>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</si>
  <si>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</si>
  <si>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</si>
  <si>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</si>
  <si>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</si>
  <si>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</si>
  <si>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</si>
  <si>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</si>
  <si>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</si>
  <si>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</si>
  <si>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</si>
  <si>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</si>
  <si>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</si>
  <si>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</si>
  <si>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</si>
  <si>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</si>
  <si>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</si>
  <si>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</si>
  <si>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</si>
  <si>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</si>
  <si>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</si>
  <si>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</si>
  <si>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</si>
  <si>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</si>
  <si>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</si>
  <si>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</si>
  <si>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</si>
  <si>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</si>
  <si>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</si>
  <si>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</si>
  <si>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</si>
  <si>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</si>
  <si>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</si>
  <si>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</si>
  <si>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</si>
  <si>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</si>
  <si>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</si>
  <si>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</si>
  <si>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</si>
  <si>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</si>
  <si>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</si>
  <si>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</si>
  <si>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</si>
  <si>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</si>
  <si>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</si>
  <si>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</si>
  <si>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</si>
  <si>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</si>
  <si>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</si>
  <si>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</si>
  <si>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</si>
  <si>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</si>
  <si>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</si>
  <si>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</si>
  <si>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</si>
  <si>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</si>
  <si>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</si>
  <si>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</si>
  <si>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</si>
  <si>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</si>
  <si>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</si>
  <si>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</si>
  <si>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</si>
  <si>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</si>
  <si>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</si>
  <si>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</si>
  <si>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</si>
  <si>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</si>
  <si>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</si>
  <si>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</si>
  <si>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</si>
  <si>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</si>
  <si>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</si>
  <si>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</si>
  <si>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</si>
  <si>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</si>
  <si>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</si>
  <si>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</si>
  <si>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</si>
  <si>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</si>
  <si>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</si>
  <si>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</si>
  <si>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</si>
  <si>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</si>
  <si>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</si>
  <si>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</si>
  <si>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</si>
  <si>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</si>
  <si>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</si>
  <si>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</si>
  <si>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</si>
  <si>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</si>
  <si>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</si>
  <si>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</si>
  <si>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</si>
  <si>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</si>
  <si>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</si>
  <si>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</si>
  <si>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</si>
  <si>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</si>
  <si>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</si>
  <si>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</si>
  <si>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</si>
  <si>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</si>
  <si>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</si>
  <si>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</si>
  <si>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</si>
  <si>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</si>
  <si>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</si>
  <si>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</si>
  <si>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</si>
  <si>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</si>
  <si>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</si>
  <si>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</si>
  <si>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</si>
  <si>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</si>
  <si>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</si>
  <si>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</si>
  <si>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</si>
  <si>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</si>
  <si>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</si>
  <si>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</si>
  <si>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</si>
  <si>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</si>
  <si>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</si>
  <si>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</si>
  <si>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</si>
  <si>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</si>
  <si>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</si>
  <si>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</si>
  <si>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</si>
  <si>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</si>
  <si>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</si>
  <si>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</si>
  <si>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</si>
  <si>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</si>
  <si>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</si>
  <si>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</si>
  <si>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</si>
  <si>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</si>
  <si>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</si>
  <si>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</si>
  <si>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</si>
  <si>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</si>
  <si>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</si>
  <si>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</si>
  <si>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</si>
  <si>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</si>
  <si>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</si>
  <si>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</si>
  <si>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</si>
  <si>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</si>
  <si>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</si>
  <si>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</si>
  <si>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</si>
  <si>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</si>
  <si>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</si>
  <si>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</si>
  <si>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</si>
  <si>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</si>
  <si>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</si>
  <si>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</si>
  <si>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</si>
  <si>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</si>
  <si>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</si>
  <si>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</si>
  <si>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</si>
  <si>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</si>
  <si>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</si>
  <si>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</si>
  <si>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</si>
  <si>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</si>
  <si>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</si>
  <si>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</si>
  <si>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</si>
  <si>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</si>
  <si>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</si>
  <si>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</si>
  <si>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</si>
  <si>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</si>
  <si>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</si>
  <si>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</si>
  <si>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</si>
  <si>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</si>
  <si>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</si>
  <si>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</si>
  <si>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</si>
  <si>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</si>
  <si>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</si>
  <si>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</si>
  <si>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</si>
  <si>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</si>
  <si>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</si>
  <si>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</si>
  <si>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</si>
  <si>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</si>
  <si>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</si>
  <si>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</si>
  <si>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</si>
  <si>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</si>
  <si>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</si>
  <si>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</si>
  <si>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</si>
  <si>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</si>
  <si>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</si>
  <si>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</si>
  <si>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</si>
  <si>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</si>
  <si>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</si>
  <si>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</si>
  <si>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</si>
  <si>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</si>
  <si>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</si>
  <si>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</si>
  <si>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</si>
  <si>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</si>
  <si>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</si>
  <si>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</si>
  <si>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</si>
  <si>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</si>
  <si>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</si>
  <si>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</si>
  <si>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</si>
  <si>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</si>
  <si>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</si>
  <si>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</si>
  <si>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</si>
  <si>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</si>
  <si>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</si>
  <si>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</si>
  <si>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</si>
  <si>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</si>
  <si>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r>
      <t>Purpose</t>
    </r>
    <r>
      <rPr>
        <sz val="11"/>
        <color theme="1"/>
        <rFont val="Aptos Narrow"/>
        <family val="2"/>
        <scheme val="minor"/>
      </rPr>
      <t>: Briefly describe each sheet in the workbook as an outline</t>
    </r>
  </si>
  <si>
    <t>Index</t>
  </si>
  <si>
    <t>Sheet Name</t>
  </si>
  <si>
    <t>Description</t>
  </si>
  <si>
    <t>Last Updated By</t>
  </si>
  <si>
    <t>Relevant Sections</t>
  </si>
  <si>
    <t>COM_2017</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</si>
  <si>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</si>
  <si>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</si>
  <si>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</si>
  <si>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</si>
  <si>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</si>
  <si>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</si>
  <si>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</si>
  <si>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COM2017</t>
  </si>
  <si>
    <t>A6-E7</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</si>
  <si>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</si>
  <si>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</si>
  <si>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</si>
  <si>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</si>
  <si>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</si>
  <si>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</si>
  <si>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</si>
  <si>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</si>
  <si>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</si>
  <si>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</si>
  <si>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</si>
  <si>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</si>
  <si>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t>Methods/Methodology</t>
  </si>
  <si>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</si>
  <si>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</si>
  <si>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</si>
  <si>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Structured Processed Data Sheet</t>
  </si>
  <si>
    <r>
      <t>Purpose</t>
    </r>
    <r>
      <rPr>
        <sz val="16"/>
        <color theme="1"/>
        <rFont val="Aptos Narrow"/>
        <family val="2"/>
        <scheme val="minor"/>
      </rPr>
      <t>: Organize processed data by energy balance, sectoral splits, and ready-to-import VEDA tables.</t>
    </r>
  </si>
  <si>
    <t>Cell range/Variable names</t>
  </si>
  <si>
    <t>VEDA Input - Existing Transport Stock</t>
  </si>
  <si>
    <t>EFF</t>
  </si>
  <si>
    <t>AFA</t>
  </si>
  <si>
    <t>CapUnit</t>
  </si>
  <si>
    <t>RESID</t>
  </si>
  <si>
    <t>EFF~2017</t>
  </si>
  <si>
    <t>EFF~2020</t>
  </si>
  <si>
    <t>EFF~2030</t>
  </si>
  <si>
    <t>EFF~2040</t>
  </si>
  <si>
    <t>EFF~2050</t>
  </si>
  <si>
    <t>NCAP_AF~2017</t>
  </si>
  <si>
    <t>NCAP_AF~2020</t>
  </si>
  <si>
    <t>NCAP_AF~2030</t>
  </si>
  <si>
    <t>NCAP_AF~2040</t>
  </si>
  <si>
    <t>NCAP_AF~2050</t>
  </si>
  <si>
    <t>STOCK~2017</t>
  </si>
  <si>
    <t>STOCK~2020</t>
  </si>
  <si>
    <t>STOCK~2030</t>
  </si>
  <si>
    <t>STOCK~2040</t>
  </si>
  <si>
    <t>STOCK~2050</t>
  </si>
  <si>
    <t>NCAP_BND~0</t>
  </si>
  <si>
    <t>NCAP_BND~2017</t>
  </si>
  <si>
    <t>CapAct</t>
  </si>
  <si>
    <t>km/MJ</t>
  </si>
  <si>
    <t>[yyyy/2012]</t>
  </si>
  <si>
    <t>million km/y</t>
  </si>
  <si>
    <t>000 vehs</t>
  </si>
  <si>
    <t>TRAODS</t>
  </si>
  <si>
    <t>TPPRSUV</t>
  </si>
  <si>
    <t>TRAOGS</t>
  </si>
  <si>
    <t>TRAELC</t>
  </si>
  <si>
    <t>TRAGAS</t>
  </si>
  <si>
    <t>TPPRCAR</t>
  </si>
  <si>
    <t>TPPRMOT</t>
  </si>
  <si>
    <t>TPPUBUS</t>
  </si>
  <si>
    <t>TPPUMBT</t>
  </si>
  <si>
    <t>TPPUMER</t>
  </si>
  <si>
    <t>TFLCV</t>
  </si>
  <si>
    <t>TFHCV1</t>
  </si>
  <si>
    <t>TFHCV2</t>
  </si>
  <si>
    <t>TFHCV3</t>
  </si>
  <si>
    <t>TFHCV4</t>
  </si>
  <si>
    <t>TFHCV5</t>
  </si>
  <si>
    <t>TFHCV6</t>
  </si>
  <si>
    <t>TFHCV7</t>
  </si>
  <si>
    <t>TFHCV8</t>
  </si>
  <si>
    <t>TFHCV9</t>
  </si>
  <si>
    <t>TFRCO</t>
  </si>
  <si>
    <t>TFROT</t>
  </si>
  <si>
    <t>TFREX</t>
  </si>
  <si>
    <t>TFPIP</t>
  </si>
  <si>
    <t>TRAOKE</t>
  </si>
  <si>
    <t>TAIJET</t>
  </si>
  <si>
    <t>TADJET</t>
  </si>
  <si>
    <t>TRAOAG</t>
  </si>
  <si>
    <t>TAOAG</t>
  </si>
  <si>
    <t>TRAOHF</t>
  </si>
  <si>
    <t>TSHFO</t>
  </si>
  <si>
    <t>use VO - helpful to keep track of the processes.</t>
  </si>
  <si>
    <t xml:space="preserve">will from kth - open source data management </t>
  </si>
  <si>
    <t>Example Source: vt_REGION1_COM workbook</t>
  </si>
  <si>
    <t xml:space="preserve">Example:
</t>
  </si>
  <si>
    <t>Proposed Structure:</t>
  </si>
  <si>
    <t>Cover page sheet - see EU TIMES?</t>
  </si>
  <si>
    <t>TRP_E</t>
  </si>
  <si>
    <t>Transport exemplar of structured Veda Input tables</t>
  </si>
  <si>
    <r>
      <rPr>
        <b/>
        <sz val="11"/>
        <color theme="1"/>
        <rFont val="Aptos Narrow"/>
        <family val="2"/>
        <scheme val="minor"/>
      </rPr>
      <t>Notes:</t>
    </r>
    <r>
      <rPr>
        <sz val="11"/>
        <color theme="1"/>
        <rFont val="Aptos Narrow"/>
        <family val="2"/>
        <scheme val="minor"/>
      </rPr>
      <t xml:space="preserve"> Possibly put this in Methods and Assumptions tab, remember if extracting with python - cells changing will have an effect. Check python/ pandas table structure, ignoring NaN values and displaying all text on a given sheet.</t>
    </r>
  </si>
  <si>
    <t>done in excel - Cells are linked to tech names etc.</t>
  </si>
  <si>
    <t>githooks. Csv -&gt; githooks -&gt; gitdiff</t>
  </si>
  <si>
    <t>Git vs spreadsheet change log? Diff tools on Git compare. Is a change log necessary?</t>
  </si>
  <si>
    <t xml:space="preserve">Excel doesn’t directly support automatic change logging, but you could use VBA macros to track edits. </t>
  </si>
  <si>
    <t>Changes need to be specific format (also in Git) :Change Description, Sheet Name, Cell Range. Also relevant for Grant's data management plan.</t>
  </si>
  <si>
    <t xml:space="preserve">gitkraken plugin ? </t>
  </si>
  <si>
    <t>Example: Structured processed data and Veda Input tables (energy balance -&gt; disaggregation by fuel/end use -&gt; veda tables)</t>
  </si>
  <si>
    <t>Possible sections: Overview, Assumptions, Data Cleaning, Data Aggregation, Unit Conversions, etc.</t>
  </si>
  <si>
    <t>Format excel tables as an object - import those into documentation to deal with expansion/changes</t>
  </si>
  <si>
    <t>Pro's: better scenario design and access to assumptions, less needing to ask Bruno</t>
  </si>
  <si>
    <t>Use EUTIMES power model to illustrate</t>
  </si>
  <si>
    <t>Con's: Work to set up, but Thursday session - food and coffee to entice x2</t>
  </si>
  <si>
    <t>See Guy's amazing TRA tables - each col comes from a single sheet and can be traced.</t>
  </si>
  <si>
    <t>Source (Full Harvard Reference if applicable)</t>
  </si>
  <si>
    <t>Base floor area value for 1990 assumed to be 65 million sqm from de villiers calculations
Share of floor area by building activity taken from de villiers calculations
Updated floor area data used between 1993 &amp; 2007
Updated GDP data used between 2000 &amp; 2009
Floor area growth from 2007 onwards predicted from GDP growth projections from stats SA 
Floor area growth in 1991 &amp; 1992  calculated from GDP growth for each sector:
Based on updated floor and GDP data floor space grows at 20% of GDP growth 
– Note devilliers assumption of 70% seems high</t>
  </si>
  <si>
    <t>De Villiers (1999)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</si>
</sst>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F800]dddd\,\ mmmm\ dd\,\ yyyy"/>
    <numFmt numFmtId="165" formatCode="0.0"/>
    <numFmt numFmtId="166" formatCode="0.0_)"/>
    <numFmt numFmtId="167" formatCode="_(* #,##0.00000_);_(* \(#,##0.00000\);_(* &quot;-&quot;??_);_(@_)"/>
    <numFmt numFmtId="168" formatCode="_ * #,##0.00_ ;_ * \-#,##0.00_ ;_ * &quot;-&quot;??_ ;_ @_ "/>
    <numFmt numFmtId="169" formatCode="0.0%"/>
    <numFmt numFmtId="170" formatCode="0.000%"/>
    <numFmt numFmtId="171" formatCode="#,##0.0000"/>
    <numFmt numFmtId="172" formatCode="0.0000"/>
  </numFmts>
  <fonts count="85">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b/>
      <sz val="8"/>
      <color theme="8"/>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
      <b/>
      <sz val="15"/>
      <color theme="3"/>
      <name val="Aptos Narrow"/>
      <family val="2"/>
      <scheme val="minor"/>
    </font>
    <font>
      <b/>
      <sz val="13"/>
      <color theme="3"/>
      <name val="Aptos Narrow"/>
      <family val="2"/>
      <scheme val="minor"/>
    </font>
    <font>
      <b/>
      <sz val="11"/>
      <color theme="4" tint="-0.249977111117893"/>
      <name val="Aptos Narrow"/>
      <family val="2"/>
      <scheme val="minor"/>
    </font>
    <font>
      <sz val="11"/>
      <color theme="4" tint="-0.249977111117893"/>
      <name val="Aptos Narrow"/>
      <family val="2"/>
      <scheme val="minor"/>
    </font>
    <font>
      <sz val="11"/>
      <color theme="8"/>
      <name val="Aptos Narrow"/>
      <family val="2"/>
      <scheme val="minor"/>
    </font>
    <font>
      <sz val="11"/>
      <color theme="5" tint="-0.249977111117893"/>
      <name val="Aptos Narrow"/>
      <family val="2"/>
      <scheme val="minor"/>
    </font>
    <font>
      <sz val="12"/>
      <color theme="0"/>
      <name val="Arial"/>
      <family val="2"/>
    </font>
    <font>
      <sz val="10"/>
      <color theme="0"/>
      <name val="Arial"/>
      <family val="2"/>
    </font>
  </fonts>
  <fills count="35">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rgb="FFE4F8E7"/>
        <bgColor indexed="64"/>
      </patternFill>
    </fill>
    <fill>
      <patternFill patternType="solid">
        <fgColor rgb="FFDFF4FD"/>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2"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9" fillId="0" borderId="0" applyNumberFormat="0" applyFill="0" applyBorder="0" applyAlignment="0" applyProtection="0"/>
    <xf numFmtId="0" fontId="25" fillId="0" borderId="0"/>
    <xf numFmtId="0" fontId="34" fillId="0" borderId="0"/>
    <xf numFmtId="0" fontId="28" fillId="7" borderId="0" applyNumberFormat="0" applyBorder="0" applyAlignment="0" applyProtection="0"/>
    <xf numFmtId="0" fontId="56" fillId="0" borderId="0" applyNumberFormat="0" applyFill="0" applyBorder="0" applyAlignment="0" applyProtection="0"/>
    <xf numFmtId="9" fontId="25" fillId="0" borderId="0" applyFont="0" applyFill="0" applyBorder="0" applyAlignment="0" applyProtection="0"/>
    <xf numFmtId="0" fontId="1" fillId="0" borderId="0"/>
    <xf numFmtId="0" fontId="77" fillId="0" borderId="26" applyNumberFormat="0" applyFill="0" applyAlignment="0" applyProtection="0"/>
    <xf numFmtId="0" fontId="78" fillId="0" borderId="27" applyNumberFormat="0" applyFill="0" applyAlignment="0" applyProtection="0"/>
    <xf numFmtId="0" fontId="27" fillId="0" borderId="28" applyNumberFormat="0" applyFill="0" applyAlignment="0" applyProtection="0"/>
  </cellStyleXfs>
  <cellXfs count="359">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0" fontId="1" fillId="0" borderId="8" xfId="10" applyBorder="1" applyAlignment="1">
      <alignment wrapText="1"/>
    </xf>
    <xf numFmtId="0" fontId="25" fillId="0" borderId="0" xfId="4"/>
    <xf numFmtId="0" fontId="36" fillId="12" borderId="0" xfId="11" applyFont="1" applyFill="1"/>
    <xf numFmtId="0" fontId="25" fillId="12" borderId="0" xfId="11" applyFill="1"/>
    <xf numFmtId="0" fontId="37" fillId="0" borderId="0" xfId="11" applyFont="1"/>
    <xf numFmtId="0" fontId="25" fillId="0" borderId="0" xfId="11"/>
    <xf numFmtId="0" fontId="35" fillId="0" borderId="0" xfId="11" applyFont="1"/>
    <xf numFmtId="0" fontId="38" fillId="0" borderId="0" xfId="11" applyFont="1"/>
    <xf numFmtId="0" fontId="39" fillId="0" borderId="0" xfId="11" applyFont="1"/>
    <xf numFmtId="0" fontId="40" fillId="0" borderId="0" xfId="11" applyFont="1"/>
    <xf numFmtId="0" fontId="35" fillId="0" borderId="19" xfId="11" applyFont="1" applyBorder="1"/>
    <xf numFmtId="0" fontId="25" fillId="13" borderId="19" xfId="11" applyFill="1" applyBorder="1"/>
    <xf numFmtId="0" fontId="25" fillId="14" borderId="19" xfId="11" applyFill="1" applyBorder="1"/>
    <xf numFmtId="0" fontId="25" fillId="0" borderId="19" xfId="11" applyBorder="1"/>
    <xf numFmtId="0" fontId="25" fillId="15" borderId="19" xfId="11" applyFill="1" applyBorder="1"/>
    <xf numFmtId="0" fontId="35" fillId="0" borderId="19" xfId="11" applyFont="1" applyBorder="1" applyAlignment="1">
      <alignment horizontal="center"/>
    </xf>
    <xf numFmtId="0" fontId="34" fillId="0" borderId="20" xfId="11" applyFont="1" applyBorder="1" applyAlignment="1">
      <alignment vertical="center" wrapText="1"/>
    </xf>
    <xf numFmtId="0" fontId="41" fillId="0" borderId="0" xfId="11" applyFont="1"/>
    <xf numFmtId="0" fontId="25" fillId="0" borderId="0" xfId="11" applyAlignment="1">
      <alignment horizontal="left"/>
    </xf>
    <xf numFmtId="0" fontId="25" fillId="0" borderId="0" xfId="11" applyAlignment="1">
      <alignment horizontal="left" wrapText="1"/>
    </xf>
    <xf numFmtId="0" fontId="42" fillId="12" borderId="0" xfId="11" applyFont="1" applyFill="1" applyAlignment="1">
      <alignment horizontal="left"/>
    </xf>
    <xf numFmtId="0" fontId="43" fillId="12" borderId="0" xfId="11" applyFont="1" applyFill="1"/>
    <xf numFmtId="0" fontId="44" fillId="0" borderId="0" xfId="10" applyFont="1" applyAlignment="1">
      <alignment vertical="center"/>
    </xf>
    <xf numFmtId="0" fontId="46" fillId="0" borderId="0" xfId="11" applyFont="1"/>
    <xf numFmtId="0" fontId="25" fillId="0" borderId="0" xfId="11" applyAlignment="1">
      <alignment wrapText="1"/>
    </xf>
    <xf numFmtId="0" fontId="47" fillId="0" borderId="0" xfId="11" applyFont="1"/>
    <xf numFmtId="3" fontId="25" fillId="0" borderId="0" xfId="11" applyNumberFormat="1"/>
    <xf numFmtId="0" fontId="37" fillId="0" borderId="0" xfId="11" applyFont="1" applyAlignment="1">
      <alignment horizontal="center"/>
    </xf>
    <xf numFmtId="0" fontId="48" fillId="17" borderId="20" xfId="11" applyFont="1" applyFill="1" applyBorder="1" applyAlignment="1">
      <alignment horizontal="center" vertical="center" wrapText="1"/>
    </xf>
    <xf numFmtId="0" fontId="48" fillId="18" borderId="20" xfId="11" applyFont="1" applyFill="1" applyBorder="1" applyAlignment="1">
      <alignment horizontal="center" vertical="center" wrapText="1"/>
    </xf>
    <xf numFmtId="0" fontId="48" fillId="19" borderId="20" xfId="11" applyFont="1" applyFill="1" applyBorder="1" applyAlignment="1">
      <alignment horizontal="center" vertical="center" wrapText="1"/>
    </xf>
    <xf numFmtId="0" fontId="48" fillId="20" borderId="20" xfId="11" applyFont="1" applyFill="1" applyBorder="1" applyAlignment="1">
      <alignment horizontal="center" vertical="center" wrapText="1"/>
    </xf>
    <xf numFmtId="0" fontId="25" fillId="0" borderId="0" xfId="11" applyAlignment="1">
      <alignment horizontal="center" vertical="center"/>
    </xf>
    <xf numFmtId="0" fontId="49" fillId="21" borderId="20" xfId="11" applyFont="1" applyFill="1" applyBorder="1" applyAlignment="1">
      <alignment horizontal="center" vertical="center"/>
    </xf>
    <xf numFmtId="0" fontId="48" fillId="22" borderId="20" xfId="11" applyFont="1" applyFill="1" applyBorder="1" applyAlignment="1">
      <alignment horizontal="center" vertical="center"/>
    </xf>
    <xf numFmtId="0" fontId="48" fillId="23" borderId="20" xfId="11" applyFont="1" applyFill="1" applyBorder="1" applyAlignment="1">
      <alignment horizontal="center" vertical="center"/>
    </xf>
    <xf numFmtId="0" fontId="48" fillId="24" borderId="20" xfId="11" applyFont="1" applyFill="1" applyBorder="1" applyAlignment="1">
      <alignment horizontal="center" vertical="center"/>
    </xf>
    <xf numFmtId="0" fontId="48" fillId="19" borderId="20" xfId="11" applyFont="1" applyFill="1" applyBorder="1" applyAlignment="1">
      <alignment horizontal="center" vertical="center"/>
    </xf>
    <xf numFmtId="0" fontId="48" fillId="20" borderId="20" xfId="11" applyFont="1" applyFill="1" applyBorder="1" applyAlignment="1">
      <alignment horizontal="center" vertical="center"/>
    </xf>
    <xf numFmtId="0" fontId="48" fillId="25" borderId="20" xfId="11" applyFont="1" applyFill="1" applyBorder="1" applyAlignment="1">
      <alignment horizontal="center" vertical="center"/>
    </xf>
    <xf numFmtId="0" fontId="49" fillId="26" borderId="20" xfId="11" applyFont="1" applyFill="1" applyBorder="1" applyAlignment="1">
      <alignment horizontal="center" vertical="center" wrapText="1"/>
    </xf>
    <xf numFmtId="0" fontId="49" fillId="0" borderId="20" xfId="11" applyFont="1" applyBorder="1" applyAlignment="1">
      <alignment horizontal="center" vertical="center" wrapText="1"/>
    </xf>
    <xf numFmtId="0" fontId="49" fillId="0" borderId="20" xfId="11" applyFont="1" applyBorder="1" applyAlignment="1">
      <alignment horizontal="center" vertical="center"/>
    </xf>
    <xf numFmtId="0" fontId="25" fillId="0" borderId="0" xfId="11" applyAlignment="1">
      <alignment horizontal="center"/>
    </xf>
    <xf numFmtId="0" fontId="35" fillId="0" borderId="0" xfId="12" applyFont="1" applyAlignment="1">
      <alignment horizontal="center"/>
    </xf>
    <xf numFmtId="0" fontId="35" fillId="0" borderId="0" xfId="12" applyFont="1"/>
    <xf numFmtId="165" fontId="25" fillId="0" borderId="0" xfId="12" applyNumberFormat="1"/>
    <xf numFmtId="0" fontId="25" fillId="0" borderId="0" xfId="12"/>
    <xf numFmtId="0" fontId="50" fillId="9" borderId="15" xfId="8" applyFont="1" applyAlignment="1">
      <alignment horizontal="right"/>
    </xf>
    <xf numFmtId="0" fontId="51" fillId="8" borderId="15" xfId="7" applyFont="1" applyAlignment="1" applyProtection="1">
      <alignment horizontal="center"/>
      <protection locked="0"/>
    </xf>
    <xf numFmtId="165" fontId="25" fillId="0" borderId="0" xfId="12" applyNumberFormat="1" applyAlignment="1" applyProtection="1">
      <alignment horizontal="center"/>
      <protection locked="0"/>
    </xf>
    <xf numFmtId="165"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5" fillId="0" borderId="0" xfId="12" applyFont="1" applyAlignment="1">
      <alignment horizontal="left"/>
    </xf>
    <xf numFmtId="2" fontId="25" fillId="0" borderId="0" xfId="12" applyNumberFormat="1" applyAlignment="1">
      <alignment horizontal="center"/>
    </xf>
    <xf numFmtId="4" fontId="53" fillId="0" borderId="0" xfId="13" applyFont="1">
      <alignment horizontal="center"/>
    </xf>
    <xf numFmtId="4" fontId="52" fillId="0" borderId="0" xfId="13">
      <alignment horizontal="center"/>
    </xf>
    <xf numFmtId="2" fontId="54" fillId="0" borderId="0" xfId="12" applyNumberFormat="1" applyFont="1" applyAlignment="1">
      <alignment horizontal="center"/>
    </xf>
    <xf numFmtId="10" fontId="52" fillId="0" borderId="0" xfId="13" applyNumberFormat="1">
      <alignment horizontal="center"/>
    </xf>
    <xf numFmtId="9" fontId="52" fillId="0" borderId="0" xfId="14" applyFont="1" applyAlignment="1">
      <alignment horizontal="center"/>
    </xf>
    <xf numFmtId="9" fontId="55" fillId="7" borderId="0" xfId="6" applyNumberFormat="1" applyFont="1" applyAlignment="1">
      <alignment horizontal="center"/>
    </xf>
    <xf numFmtId="43" fontId="56" fillId="0" borderId="0" xfId="15" applyFont="1"/>
    <xf numFmtId="0" fontId="35" fillId="0" borderId="21" xfId="12" applyFont="1" applyBorder="1"/>
    <xf numFmtId="0" fontId="35" fillId="0" borderId="21" xfId="12" applyFont="1" applyBorder="1" applyAlignment="1">
      <alignment horizontal="center"/>
    </xf>
    <xf numFmtId="2" fontId="25" fillId="0" borderId="0" xfId="12" applyNumberFormat="1" applyAlignment="1">
      <alignment horizontal="left"/>
    </xf>
    <xf numFmtId="166" fontId="25" fillId="0" borderId="0" xfId="12" applyNumberFormat="1" applyAlignment="1" applyProtection="1">
      <alignment horizontal="left"/>
      <protection locked="0"/>
    </xf>
    <xf numFmtId="2" fontId="57" fillId="0" borderId="0" xfId="12" applyNumberFormat="1" applyFont="1" applyAlignment="1">
      <alignment horizontal="center"/>
    </xf>
    <xf numFmtId="0" fontId="58" fillId="0" borderId="21" xfId="12" applyFont="1" applyBorder="1" applyAlignment="1" applyProtection="1">
      <alignment horizontal="center"/>
      <protection locked="0"/>
    </xf>
    <xf numFmtId="0" fontId="58" fillId="0" borderId="0" xfId="12" applyFont="1" applyAlignment="1" applyProtection="1">
      <alignment horizontal="left"/>
      <protection locked="0"/>
    </xf>
    <xf numFmtId="0" fontId="58" fillId="0" borderId="0" xfId="12" applyFont="1" applyAlignment="1" applyProtection="1">
      <alignment horizontal="center"/>
      <protection locked="0"/>
    </xf>
    <xf numFmtId="9" fontId="59" fillId="0" borderId="0" xfId="16" applyNumberFormat="1" applyAlignment="1">
      <alignment horizontal="center"/>
    </xf>
    <xf numFmtId="9" fontId="60" fillId="0" borderId="0" xfId="14" applyFont="1" applyAlignment="1">
      <alignment horizontal="center"/>
    </xf>
    <xf numFmtId="0" fontId="27" fillId="0" borderId="0" xfId="5"/>
    <xf numFmtId="0" fontId="26" fillId="0" borderId="0" xfId="17" applyFont="1"/>
    <xf numFmtId="0" fontId="27" fillId="27" borderId="0" xfId="5" applyFill="1"/>
    <xf numFmtId="0" fontId="61"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1" fillId="28" borderId="0" xfId="17" applyFont="1" applyFill="1"/>
    <xf numFmtId="0" fontId="25" fillId="28" borderId="0" xfId="17" applyFill="1"/>
    <xf numFmtId="43" fontId="60" fillId="0" borderId="0" xfId="15" applyFont="1"/>
    <xf numFmtId="2" fontId="25" fillId="0" borderId="0" xfId="12" applyNumberFormat="1"/>
    <xf numFmtId="167" fontId="25" fillId="0" borderId="0" xfId="12" applyNumberFormat="1"/>
    <xf numFmtId="168" fontId="25" fillId="0" borderId="0" xfId="12" applyNumberFormat="1"/>
    <xf numFmtId="0" fontId="61" fillId="0" borderId="0" xfId="17" applyFont="1"/>
    <xf numFmtId="0" fontId="25" fillId="0" borderId="0" xfId="17"/>
    <xf numFmtId="2" fontId="25" fillId="0" borderId="0" xfId="17" applyNumberFormat="1"/>
    <xf numFmtId="2" fontId="61" fillId="0" borderId="0" xfId="17" applyNumberFormat="1" applyFont="1"/>
    <xf numFmtId="0" fontId="62" fillId="0" borderId="0" xfId="12" applyFont="1" applyAlignment="1" applyProtection="1">
      <alignment horizontal="left"/>
      <protection locked="0"/>
    </xf>
    <xf numFmtId="0" fontId="50" fillId="9" borderId="15" xfId="8" applyFont="1"/>
    <xf numFmtId="9" fontId="51" fillId="8" borderId="15" xfId="7" applyNumberFormat="1" applyFont="1"/>
    <xf numFmtId="0" fontId="57" fillId="0" borderId="21" xfId="12" applyFont="1" applyBorder="1"/>
    <xf numFmtId="0" fontId="57" fillId="0" borderId="21" xfId="12" applyFont="1" applyBorder="1" applyAlignment="1">
      <alignment horizontal="center"/>
    </xf>
    <xf numFmtId="2" fontId="57" fillId="0" borderId="21" xfId="12" applyNumberFormat="1" applyFont="1" applyBorder="1" applyAlignment="1">
      <alignment horizontal="center"/>
    </xf>
    <xf numFmtId="9" fontId="25" fillId="0" borderId="0" xfId="12" applyNumberFormat="1"/>
    <xf numFmtId="0" fontId="53" fillId="0" borderId="0" xfId="12" applyFont="1"/>
    <xf numFmtId="9" fontId="53" fillId="0" borderId="0" xfId="14" applyFont="1" applyFill="1"/>
    <xf numFmtId="9" fontId="25" fillId="0" borderId="0" xfId="14" applyFont="1"/>
    <xf numFmtId="0" fontId="63" fillId="0" borderId="0" xfId="12" applyFont="1"/>
    <xf numFmtId="0" fontId="35" fillId="29" borderId="0" xfId="12" applyFont="1" applyFill="1" applyAlignment="1">
      <alignment horizontal="center" wrapText="1"/>
    </xf>
    <xf numFmtId="0" fontId="64" fillId="29" borderId="0" xfId="12" applyFont="1" applyFill="1" applyAlignment="1">
      <alignment horizontal="center" wrapText="1"/>
    </xf>
    <xf numFmtId="0" fontId="35" fillId="29" borderId="0" xfId="18" applyFont="1" applyFill="1" applyAlignment="1">
      <alignment horizontal="center" wrapText="1"/>
    </xf>
    <xf numFmtId="0" fontId="35" fillId="30" borderId="22" xfId="12" applyFont="1" applyFill="1" applyBorder="1"/>
    <xf numFmtId="0" fontId="25" fillId="0" borderId="0" xfId="12" applyAlignment="1">
      <alignment horizontal="left" wrapText="1"/>
    </xf>
    <xf numFmtId="0" fontId="35" fillId="31" borderId="23" xfId="12" applyFont="1" applyFill="1" applyBorder="1"/>
    <xf numFmtId="0" fontId="35" fillId="31" borderId="23" xfId="12" applyFont="1" applyFill="1" applyBorder="1" applyAlignment="1">
      <alignment horizontal="center" wrapText="1"/>
    </xf>
    <xf numFmtId="0" fontId="35" fillId="0" borderId="0" xfId="12" applyFont="1" applyAlignment="1">
      <alignment horizontal="center" wrapText="1"/>
    </xf>
    <xf numFmtId="0" fontId="35" fillId="31" borderId="0" xfId="12" applyFont="1" applyFill="1" applyAlignment="1">
      <alignment horizontal="center" wrapText="1"/>
    </xf>
    <xf numFmtId="0" fontId="25" fillId="31" borderId="24" xfId="12" applyFill="1" applyBorder="1" applyAlignment="1">
      <alignment horizontal="left" wrapText="1"/>
    </xf>
    <xf numFmtId="0" fontId="25" fillId="31" borderId="25" xfId="12" applyFill="1" applyBorder="1" applyAlignment="1">
      <alignment horizontal="left" wrapText="1"/>
    </xf>
    <xf numFmtId="0" fontId="25" fillId="31" borderId="23" xfId="12" applyFill="1" applyBorder="1" applyAlignment="1">
      <alignment horizontal="left" wrapText="1"/>
    </xf>
    <xf numFmtId="0" fontId="25" fillId="0" borderId="21" xfId="12" applyBorder="1"/>
    <xf numFmtId="0" fontId="62" fillId="0" borderId="0" xfId="12" applyFont="1" applyAlignment="1">
      <alignment horizontal="center" wrapText="1"/>
    </xf>
    <xf numFmtId="0" fontId="25" fillId="0" borderId="0" xfId="12" applyAlignment="1">
      <alignment horizontal="center" wrapText="1"/>
    </xf>
    <xf numFmtId="0" fontId="62" fillId="0" borderId="0" xfId="12" applyFont="1" applyAlignment="1">
      <alignment wrapText="1"/>
    </xf>
    <xf numFmtId="0" fontId="25" fillId="0" borderId="21" xfId="12" applyBorder="1" applyAlignment="1" applyProtection="1">
      <alignment horizontal="left"/>
      <protection locked="0"/>
    </xf>
    <xf numFmtId="0" fontId="58" fillId="0" borderId="0" xfId="12" applyFont="1" applyAlignment="1">
      <alignment horizontal="center"/>
    </xf>
    <xf numFmtId="169" fontId="57" fillId="0" borderId="0" xfId="14" applyNumberFormat="1" applyFont="1" applyFill="1" applyAlignment="1">
      <alignment horizontal="center"/>
    </xf>
    <xf numFmtId="0" fontId="58" fillId="0" borderId="0" xfId="12" applyFont="1" applyProtection="1">
      <protection locked="0"/>
    </xf>
    <xf numFmtId="165" fontId="59" fillId="0" borderId="0" xfId="16" applyNumberFormat="1" applyAlignment="1">
      <alignment horizontal="center"/>
    </xf>
    <xf numFmtId="2" fontId="55" fillId="0" borderId="0" xfId="19" applyNumberFormat="1" applyFont="1" applyFill="1" applyBorder="1" applyAlignment="1" applyProtection="1">
      <alignment horizontal="center"/>
      <protection locked="0"/>
    </xf>
    <xf numFmtId="1" fontId="59" fillId="0" borderId="0" xfId="16" applyNumberFormat="1" applyAlignment="1">
      <alignment horizontal="center"/>
    </xf>
    <xf numFmtId="2" fontId="56" fillId="0" borderId="0" xfId="20" applyNumberFormat="1" applyAlignment="1">
      <alignment horizontal="center"/>
    </xf>
    <xf numFmtId="9" fontId="59" fillId="0" borderId="0" xfId="16" applyNumberFormat="1" applyFill="1" applyBorder="1" applyAlignment="1" applyProtection="1">
      <alignment horizontal="center"/>
      <protection locked="0"/>
    </xf>
    <xf numFmtId="169" fontId="56" fillId="0" borderId="0" xfId="14" applyNumberFormat="1" applyFont="1"/>
    <xf numFmtId="9" fontId="65" fillId="0" borderId="0" xfId="14" applyFont="1"/>
    <xf numFmtId="170" fontId="56" fillId="0" borderId="0" xfId="14" applyNumberFormat="1" applyFont="1"/>
    <xf numFmtId="9" fontId="65" fillId="0" borderId="0" xfId="21" applyFont="1"/>
    <xf numFmtId="9" fontId="56" fillId="0" borderId="0" xfId="14" applyFont="1"/>
    <xf numFmtId="2" fontId="55" fillId="7" borderId="0" xfId="19" applyNumberFormat="1" applyFont="1" applyAlignment="1">
      <alignment horizontal="center"/>
    </xf>
    <xf numFmtId="0" fontId="58" fillId="0" borderId="0" xfId="12" applyFont="1" applyAlignment="1">
      <alignment horizontal="right"/>
    </xf>
    <xf numFmtId="0" fontId="58" fillId="0" borderId="0" xfId="12" applyFont="1"/>
    <xf numFmtId="0" fontId="58" fillId="0" borderId="0" xfId="12" applyFont="1" applyAlignment="1">
      <alignment horizontal="left" indent="1"/>
    </xf>
    <xf numFmtId="9" fontId="58" fillId="0" borderId="0" xfId="14" applyFont="1" applyFill="1" applyBorder="1" applyAlignment="1" applyProtection="1">
      <alignment horizontal="center"/>
      <protection locked="0"/>
    </xf>
    <xf numFmtId="2" fontId="60" fillId="0" borderId="0" xfId="20" applyNumberFormat="1" applyFont="1" applyAlignment="1">
      <alignment horizontal="center"/>
    </xf>
    <xf numFmtId="9" fontId="66" fillId="0" borderId="0" xfId="14" applyFont="1"/>
    <xf numFmtId="165" fontId="59" fillId="2" borderId="0" xfId="16" applyNumberFormat="1" applyFill="1" applyAlignment="1">
      <alignment horizontal="center"/>
    </xf>
    <xf numFmtId="2" fontId="55" fillId="2" borderId="0" xfId="19" applyNumberFormat="1" applyFont="1" applyFill="1" applyBorder="1" applyAlignment="1" applyProtection="1">
      <alignment horizontal="center"/>
      <protection locked="0"/>
    </xf>
    <xf numFmtId="1" fontId="59" fillId="2" borderId="0" xfId="16" applyNumberFormat="1" applyFill="1" applyAlignment="1">
      <alignment horizontal="center"/>
    </xf>
    <xf numFmtId="2" fontId="56" fillId="2" borderId="0" xfId="20" applyNumberFormat="1" applyFill="1" applyAlignment="1">
      <alignment horizontal="center"/>
    </xf>
    <xf numFmtId="165" fontId="59" fillId="6" borderId="0" xfId="16" applyNumberFormat="1" applyFill="1" applyAlignment="1">
      <alignment horizontal="center"/>
    </xf>
    <xf numFmtId="9" fontId="35" fillId="0" borderId="0" xfId="14" applyFont="1" applyAlignment="1">
      <alignment horizontal="center" wrapText="1"/>
    </xf>
    <xf numFmtId="2" fontId="67" fillId="6" borderId="0" xfId="19" applyNumberFormat="1" applyFont="1" applyFill="1" applyAlignment="1">
      <alignment horizontal="center"/>
    </xf>
    <xf numFmtId="1" fontId="55" fillId="7" borderId="0" xfId="6" applyNumberFormat="1" applyFont="1" applyAlignment="1">
      <alignment horizontal="center"/>
    </xf>
    <xf numFmtId="2" fontId="67" fillId="0" borderId="0" xfId="19" applyNumberFormat="1" applyFont="1" applyFill="1" applyAlignment="1">
      <alignment horizontal="center"/>
    </xf>
    <xf numFmtId="9" fontId="65" fillId="10" borderId="0" xfId="14" applyFont="1" applyFill="1"/>
    <xf numFmtId="0" fontId="25" fillId="0" borderId="0" xfId="12" applyAlignment="1">
      <alignment horizontal="center" vertical="center"/>
    </xf>
    <xf numFmtId="2" fontId="56"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3" fillId="0" borderId="0" xfId="22" applyFont="1" applyAlignment="1">
      <alignment horizontal="left"/>
    </xf>
    <xf numFmtId="0" fontId="35" fillId="0" borderId="0" xfId="22" applyFont="1" applyAlignment="1">
      <alignment vertical="center"/>
    </xf>
    <xf numFmtId="0" fontId="35" fillId="0" borderId="0" xfId="12" applyFont="1" applyAlignment="1">
      <alignment vertical="center"/>
    </xf>
    <xf numFmtId="0" fontId="35" fillId="0" borderId="0" xfId="22" applyFont="1" applyAlignment="1">
      <alignment horizontal="center" vertical="center" wrapText="1"/>
    </xf>
    <xf numFmtId="0" fontId="35" fillId="0" borderId="0" xfId="12" applyFont="1" applyAlignment="1">
      <alignment horizontal="center" vertical="center"/>
    </xf>
    <xf numFmtId="1" fontId="25" fillId="0" borderId="0" xfId="12" applyNumberFormat="1" applyAlignment="1">
      <alignment horizontal="center"/>
    </xf>
    <xf numFmtId="0" fontId="23" fillId="0" borderId="0" xfId="0" applyFont="1" applyAlignment="1">
      <alignment vertical="center" wrapText="1"/>
    </xf>
    <xf numFmtId="0" fontId="24" fillId="0" borderId="0" xfId="1" applyFont="1" applyFill="1" applyBorder="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3" fillId="0" borderId="0" xfId="0" applyFont="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Border="1" applyAlignment="1">
      <alignment vertical="center" wrapText="1"/>
    </xf>
    <xf numFmtId="0" fontId="32" fillId="0" borderId="7" xfId="0" applyFont="1" applyBorder="1" applyAlignment="1">
      <alignment vertical="center" wrapText="1"/>
    </xf>
    <xf numFmtId="0" fontId="32" fillId="0" borderId="6" xfId="0" applyFont="1" applyBorder="1" applyAlignment="1">
      <alignment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23" fillId="0" borderId="8" xfId="0" applyFont="1" applyBorder="1" applyAlignment="1">
      <alignment vertical="center" wrapText="1"/>
    </xf>
    <xf numFmtId="0" fontId="24" fillId="0" borderId="8" xfId="1" applyFont="1" applyFill="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14" xfId="0" applyFont="1" applyBorder="1" applyAlignment="1">
      <alignment vertical="center" wrapText="1"/>
    </xf>
    <xf numFmtId="0" fontId="21" fillId="0" borderId="8" xfId="0" applyFont="1" applyBorder="1" applyAlignment="1">
      <alignment horizontal="center" vertical="center" wrapText="1"/>
    </xf>
    <xf numFmtId="0" fontId="20" fillId="0" borderId="7" xfId="0" applyFont="1" applyBorder="1" applyAlignment="1">
      <alignment vertical="center" wrapText="1"/>
    </xf>
    <xf numFmtId="0" fontId="34" fillId="0" borderId="0" xfId="4" applyFont="1"/>
    <xf numFmtId="0" fontId="35" fillId="0" borderId="0" xfId="4" applyFont="1"/>
    <xf numFmtId="0" fontId="72" fillId="0" borderId="0" xfId="0" applyFont="1"/>
    <xf numFmtId="0" fontId="73" fillId="2" borderId="0" xfId="0" applyFont="1" applyFill="1"/>
    <xf numFmtId="0" fontId="35"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Alignment="1">
      <alignment wrapText="1"/>
    </xf>
    <xf numFmtId="0" fontId="34" fillId="0" borderId="0" xfId="4" applyFont="1" applyAlignment="1">
      <alignment wrapText="1"/>
    </xf>
    <xf numFmtId="0" fontId="35" fillId="2" borderId="0" xfId="4" applyFont="1" applyFill="1" applyAlignment="1">
      <alignment wrapText="1"/>
    </xf>
    <xf numFmtId="0" fontId="6" fillId="0" borderId="0" xfId="0" applyFont="1"/>
    <xf numFmtId="0" fontId="74" fillId="0" borderId="0" xfId="11" applyFont="1"/>
    <xf numFmtId="0" fontId="75" fillId="0" borderId="0" xfId="12" applyFont="1"/>
    <xf numFmtId="0" fontId="13" fillId="0" borderId="0" xfId="0" applyFont="1" applyAlignment="1">
      <alignment vertical="center"/>
    </xf>
    <xf numFmtId="0" fontId="13" fillId="0" borderId="0" xfId="0" applyFont="1" applyAlignment="1">
      <alignment horizontal="left" vertical="center" indent="1"/>
    </xf>
    <xf numFmtId="0" fontId="77" fillId="0" borderId="26" xfId="23"/>
    <xf numFmtId="0" fontId="0" fillId="0" borderId="0" xfId="0" applyAlignment="1">
      <alignment wrapText="1"/>
    </xf>
    <xf numFmtId="0" fontId="2" fillId="0" borderId="0" xfId="0" applyFont="1" applyAlignment="1">
      <alignment wrapText="1"/>
    </xf>
    <xf numFmtId="0" fontId="78" fillId="0" borderId="27" xfId="24" applyAlignment="1">
      <alignment wrapText="1"/>
    </xf>
    <xf numFmtId="0" fontId="27" fillId="0" borderId="28" xfId="25" applyFill="1" applyAlignment="1">
      <alignment wrapText="1"/>
    </xf>
    <xf numFmtId="0" fontId="27" fillId="33" borderId="28" xfId="25" applyFill="1" applyAlignment="1">
      <alignment wrapText="1"/>
    </xf>
    <xf numFmtId="0" fontId="27" fillId="34" borderId="28" xfId="25" applyFill="1" applyAlignment="1">
      <alignment wrapText="1"/>
    </xf>
    <xf numFmtId="0" fontId="2" fillId="10" borderId="8" xfId="0" applyFont="1" applyFill="1" applyBorder="1"/>
    <xf numFmtId="0" fontId="0" fillId="10" borderId="8" xfId="0" applyFill="1" applyBorder="1"/>
    <xf numFmtId="0" fontId="79" fillId="0" borderId="8" xfId="0" applyFont="1" applyBorder="1"/>
    <xf numFmtId="0" fontId="80" fillId="0" borderId="8" xfId="0" applyFont="1" applyBorder="1"/>
    <xf numFmtId="0" fontId="81" fillId="0" borderId="8" xfId="0" applyFont="1" applyBorder="1" applyAlignment="1">
      <alignment wrapText="1"/>
    </xf>
    <xf numFmtId="0" fontId="0" fillId="33" borderId="8" xfId="0" applyFill="1" applyBorder="1" applyAlignment="1">
      <alignment wrapText="1"/>
    </xf>
    <xf numFmtId="171" fontId="0" fillId="34" borderId="8" xfId="0" applyNumberFormat="1" applyFill="1" applyBorder="1" applyAlignment="1">
      <alignment wrapText="1"/>
    </xf>
    <xf numFmtId="171" fontId="0" fillId="33" borderId="8" xfId="0" applyNumberFormat="1" applyFill="1" applyBorder="1"/>
    <xf numFmtId="171" fontId="0" fillId="33" borderId="8" xfId="0" applyNumberFormat="1" applyFill="1" applyBorder="1" applyAlignment="1">
      <alignment wrapText="1"/>
    </xf>
    <xf numFmtId="0" fontId="81" fillId="10" borderId="8" xfId="0" applyFont="1" applyFill="1" applyBorder="1" applyAlignment="1">
      <alignment wrapText="1"/>
    </xf>
    <xf numFmtId="172" fontId="0" fillId="33" borderId="8" xfId="0" applyNumberFormat="1" applyFill="1" applyBorder="1" applyAlignment="1">
      <alignment wrapText="1"/>
    </xf>
    <xf numFmtId="165" fontId="81" fillId="10" borderId="8" xfId="0" applyNumberFormat="1" applyFont="1" applyFill="1" applyBorder="1" applyAlignment="1">
      <alignment wrapText="1"/>
    </xf>
    <xf numFmtId="172" fontId="82" fillId="33" borderId="8" xfId="0" applyNumberFormat="1" applyFont="1" applyFill="1" applyBorder="1" applyAlignment="1">
      <alignment wrapText="1"/>
    </xf>
    <xf numFmtId="0" fontId="6" fillId="2" borderId="0" xfId="0" applyFont="1" applyFill="1"/>
    <xf numFmtId="0" fontId="38" fillId="2" borderId="0" xfId="11" applyFont="1" applyFill="1"/>
    <xf numFmtId="0" fontId="2" fillId="0" borderId="0" xfId="9" applyFont="1"/>
    <xf numFmtId="0" fontId="1" fillId="0" borderId="24" xfId="9" applyBorder="1"/>
    <xf numFmtId="0" fontId="1" fillId="0" borderId="30" xfId="9" applyBorder="1"/>
    <xf numFmtId="0" fontId="1" fillId="0" borderId="21" xfId="9" applyBorder="1"/>
    <xf numFmtId="0" fontId="1" fillId="0" borderId="32" xfId="9" applyBorder="1"/>
    <xf numFmtId="0" fontId="1" fillId="0" borderId="33" xfId="9" applyBorder="1"/>
    <xf numFmtId="0" fontId="1" fillId="0" borderId="22" xfId="9" applyBorder="1"/>
    <xf numFmtId="0" fontId="1" fillId="0" borderId="14" xfId="9" applyBorder="1"/>
    <xf numFmtId="0" fontId="1" fillId="10" borderId="33" xfId="9" applyFill="1" applyBorder="1"/>
    <xf numFmtId="0" fontId="1" fillId="10" borderId="22" xfId="9" applyFill="1" applyBorder="1"/>
    <xf numFmtId="0" fontId="1" fillId="10" borderId="14" xfId="9" applyFill="1" applyBorder="1"/>
    <xf numFmtId="15" fontId="1" fillId="0" borderId="29" xfId="9" applyNumberFormat="1" applyBorder="1"/>
    <xf numFmtId="0" fontId="1" fillId="0" borderId="31" xfId="9" applyBorder="1"/>
    <xf numFmtId="15" fontId="1" fillId="0" borderId="8" xfId="9" applyNumberFormat="1" applyBorder="1"/>
    <xf numFmtId="0" fontId="35" fillId="0" borderId="0" xfId="11" applyFont="1" applyAlignment="1">
      <alignment vertical="top" wrapText="1"/>
    </xf>
    <xf numFmtId="0" fontId="37" fillId="0" borderId="0" xfId="11" applyFont="1" applyAlignment="1">
      <alignment vertical="top"/>
    </xf>
    <xf numFmtId="0" fontId="38" fillId="0" borderId="0" xfId="11" applyFont="1" applyAlignment="1">
      <alignment wrapText="1"/>
    </xf>
    <xf numFmtId="0" fontId="39" fillId="0" borderId="0" xfId="11" applyFont="1" applyAlignment="1">
      <alignment wrapText="1"/>
    </xf>
    <xf numFmtId="0" fontId="83" fillId="12" borderId="0" xfId="11" applyFont="1" applyFill="1" applyAlignment="1">
      <alignment wrapText="1"/>
    </xf>
    <xf numFmtId="0" fontId="84" fillId="12" borderId="0" xfId="11" applyFont="1" applyFill="1" applyAlignment="1">
      <alignment wrapText="1"/>
    </xf>
    <xf numFmtId="0" fontId="37" fillId="0" borderId="0" xfId="11" applyFont="1" applyAlignment="1">
      <alignment horizontal="left" vertical="center" wrapText="1"/>
    </xf>
    <xf numFmtId="0" fontId="21" fillId="2" borderId="3" xfId="0" applyFont="1" applyFill="1" applyBorder="1" applyAlignment="1">
      <alignment vertical="center" wrapText="1"/>
    </xf>
    <xf numFmtId="0" fontId="21" fillId="2" borderId="4" xfId="0" applyFont="1" applyFill="1" applyBorder="1" applyAlignment="1">
      <alignment vertical="center" wrapText="1"/>
    </xf>
    <xf numFmtId="0" fontId="21" fillId="2"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3" fillId="0" borderId="16" xfId="0" applyFont="1" applyBorder="1" applyAlignment="1">
      <alignment vertical="center" wrapText="1"/>
    </xf>
    <xf numFmtId="0" fontId="24" fillId="0" borderId="16" xfId="1" applyFont="1" applyFill="1" applyBorder="1" applyAlignment="1">
      <alignment vertical="center" wrapText="1"/>
    </xf>
    <xf numFmtId="0" fontId="20" fillId="0" borderId="16" xfId="0" applyFont="1" applyBorder="1" applyAlignment="1">
      <alignment vertical="center" wrapText="1"/>
    </xf>
    <xf numFmtId="0" fontId="20" fillId="0" borderId="16" xfId="0" applyFont="1" applyBorder="1" applyAlignment="1">
      <alignment horizontal="center" vertical="center" wrapText="1"/>
    </xf>
    <xf numFmtId="0" fontId="23" fillId="0" borderId="16" xfId="0" applyFont="1" applyBorder="1" applyAlignment="1">
      <alignment horizontal="left" vertical="center" wrapText="1"/>
    </xf>
    <xf numFmtId="0" fontId="1" fillId="0" borderId="29" xfId="9" applyBorder="1" applyAlignment="1">
      <alignment horizontal="center" vertical="center"/>
    </xf>
    <xf numFmtId="0" fontId="1" fillId="0" borderId="31" xfId="9" applyBorder="1" applyAlignment="1">
      <alignment horizontal="center" vertical="center"/>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9" applyBorder="1" applyAlignment="1">
      <alignment horizontal="center" vertical="center"/>
    </xf>
    <xf numFmtId="0" fontId="23" fillId="0" borderId="8" xfId="0" applyFont="1" applyBorder="1" applyAlignment="1">
      <alignment horizontal="center"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14" xfId="0" applyFont="1" applyBorder="1" applyAlignment="1">
      <alignment vertical="center" wrapText="1"/>
    </xf>
    <xf numFmtId="0" fontId="23" fillId="0" borderId="8" xfId="0" applyFont="1" applyBorder="1" applyAlignment="1">
      <alignment vertical="center" wrapText="1"/>
    </xf>
    <xf numFmtId="0" fontId="37" fillId="0" borderId="0" xfId="11" applyFont="1" applyAlignment="1">
      <alignment wrapText="1"/>
    </xf>
    <xf numFmtId="0" fontId="37" fillId="0" borderId="0" xfId="11" applyFont="1" applyAlignment="1">
      <alignment horizontal="center"/>
    </xf>
    <xf numFmtId="0" fontId="35" fillId="0" borderId="0" xfId="12" applyFont="1" applyAlignment="1">
      <alignment horizontal="center"/>
    </xf>
    <xf numFmtId="0" fontId="25" fillId="0" borderId="0" xfId="12" applyAlignment="1">
      <alignment horizontal="center" wrapText="1"/>
    </xf>
    <xf numFmtId="0" fontId="25" fillId="0" borderId="0" xfId="11" applyAlignment="1">
      <alignment wrapText="1"/>
    </xf>
    <xf numFmtId="0" fontId="25" fillId="16" borderId="0" xfId="11" applyFill="1" applyAlignment="1">
      <alignment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 fillId="3" borderId="5" xfId="2" applyFont="1" applyFill="1" applyBorder="1" applyAlignment="1">
      <alignment vertical="center" wrapText="1"/>
    </xf>
    <xf numFmtId="0" fontId="1" fillId="3" borderId="7"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7"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7" xfId="2" applyFill="1" applyBorder="1" applyAlignment="1">
      <alignment horizontal="center"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4" fillId="2" borderId="3" xfId="2" applyFill="1" applyBorder="1" applyAlignment="1">
      <alignment horizontal="center"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cellXfs>
  <cellStyles count="26">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1" xfId="23" builtinId="16"/>
    <cellStyle name="Heading 2" xfId="24" builtinId="17"/>
    <cellStyle name="Heading 3" xfId="25" builtinId="18"/>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6">
    <dxf>
      <numFmt numFmtId="0" formatCode="General"/>
    </dxf>
    <dxf>
      <font>
        <b val="0"/>
        <i val="0"/>
        <strike val="0"/>
        <condense val="0"/>
        <extend val="0"/>
        <outline val="0"/>
        <shadow val="0"/>
        <u val="none"/>
        <vertAlign val="baseline"/>
        <sz val="12"/>
        <color auto="1"/>
        <name val="Arial"/>
        <family val="2"/>
        <scheme val="none"/>
      </font>
    </dxf>
    <dxf>
      <font>
        <strike val="0"/>
        <outline val="0"/>
        <shadow val="0"/>
        <u val="none"/>
        <vertAlign val="baseline"/>
        <color theme="0"/>
        <name val="Arial"/>
        <family val="2"/>
        <scheme val="none"/>
      </font>
      <alignment horizontal="general" vertical="bottom" textRotation="0" wrapText="1" indent="0" justifyLastLine="0" shrinkToFit="0" readingOrder="0"/>
    </dxf>
    <dxf>
      <border outline="0">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9" tint="0.5999938962981048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microsoft.com/office/2017/10/relationships/person" Target="persons/perso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457200</xdr:colOff>
      <xdr:row>7</xdr:row>
      <xdr:rowOff>9525</xdr:rowOff>
    </xdr:from>
    <xdr:to>
      <xdr:col>16</xdr:col>
      <xdr:colOff>476250</xdr:colOff>
      <xdr:row>98</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7</xdr:row>
      <xdr:rowOff>28575</xdr:rowOff>
    </xdr:from>
    <xdr:to>
      <xdr:col>17</xdr:col>
      <xdr:colOff>352425</xdr:colOff>
      <xdr:row>98</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7</xdr:row>
      <xdr:rowOff>9525</xdr:rowOff>
    </xdr:from>
    <xdr:to>
      <xdr:col>18</xdr:col>
      <xdr:colOff>514350</xdr:colOff>
      <xdr:row>98</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7</xdr:row>
      <xdr:rowOff>28575</xdr:rowOff>
    </xdr:from>
    <xdr:to>
      <xdr:col>19</xdr:col>
      <xdr:colOff>352425</xdr:colOff>
      <xdr:row>98</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7</xdr:row>
      <xdr:rowOff>9525</xdr:rowOff>
    </xdr:from>
    <xdr:to>
      <xdr:col>21</xdr:col>
      <xdr:colOff>552450</xdr:colOff>
      <xdr:row>98</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7</xdr:row>
      <xdr:rowOff>9525</xdr:rowOff>
    </xdr:from>
    <xdr:to>
      <xdr:col>22</xdr:col>
      <xdr:colOff>361950</xdr:colOff>
      <xdr:row>98</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xdr:row>
      <xdr:rowOff>38100</xdr:rowOff>
    </xdr:from>
    <xdr:to>
      <xdr:col>5</xdr:col>
      <xdr:colOff>276225</xdr:colOff>
      <xdr:row>101</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7</xdr:row>
      <xdr:rowOff>9525</xdr:rowOff>
    </xdr:from>
    <xdr:to>
      <xdr:col>6</xdr:col>
      <xdr:colOff>190500</xdr:colOff>
      <xdr:row>101</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xdr:row>
      <xdr:rowOff>9525</xdr:rowOff>
    </xdr:from>
    <xdr:to>
      <xdr:col>7</xdr:col>
      <xdr:colOff>409575</xdr:colOff>
      <xdr:row>101</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7</xdr:row>
      <xdr:rowOff>9525</xdr:rowOff>
    </xdr:from>
    <xdr:to>
      <xdr:col>8</xdr:col>
      <xdr:colOff>285750</xdr:colOff>
      <xdr:row>102</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7</xdr:row>
      <xdr:rowOff>9525</xdr:rowOff>
    </xdr:from>
    <xdr:to>
      <xdr:col>9</xdr:col>
      <xdr:colOff>228600</xdr:colOff>
      <xdr:row>101</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7</xdr:row>
      <xdr:rowOff>9525</xdr:rowOff>
    </xdr:from>
    <xdr:to>
      <xdr:col>10</xdr:col>
      <xdr:colOff>171450</xdr:colOff>
      <xdr:row>101</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7</xdr:row>
      <xdr:rowOff>9525</xdr:rowOff>
    </xdr:from>
    <xdr:to>
      <xdr:col>11</xdr:col>
      <xdr:colOff>361950</xdr:colOff>
      <xdr:row>102</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10</xdr:row>
      <xdr:rowOff>38100</xdr:rowOff>
    </xdr:from>
    <xdr:to>
      <xdr:col>16</xdr:col>
      <xdr:colOff>457200</xdr:colOff>
      <xdr:row>10</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12</xdr:row>
      <xdr:rowOff>57150</xdr:rowOff>
    </xdr:from>
    <xdr:to>
      <xdr:col>16</xdr:col>
      <xdr:colOff>438150</xdr:colOff>
      <xdr:row>12</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14</xdr:row>
      <xdr:rowOff>38100</xdr:rowOff>
    </xdr:from>
    <xdr:to>
      <xdr:col>16</xdr:col>
      <xdr:colOff>438150</xdr:colOff>
      <xdr:row>14</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16</xdr:row>
      <xdr:rowOff>57150</xdr:rowOff>
    </xdr:from>
    <xdr:to>
      <xdr:col>16</xdr:col>
      <xdr:colOff>457200</xdr:colOff>
      <xdr:row>16</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18</xdr:row>
      <xdr:rowOff>38100</xdr:rowOff>
    </xdr:from>
    <xdr:to>
      <xdr:col>16</xdr:col>
      <xdr:colOff>457200</xdr:colOff>
      <xdr:row>18</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24</xdr:row>
      <xdr:rowOff>9525</xdr:rowOff>
    </xdr:from>
    <xdr:to>
      <xdr:col>17</xdr:col>
      <xdr:colOff>352425</xdr:colOff>
      <xdr:row>24</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34</xdr:row>
      <xdr:rowOff>9525</xdr:rowOff>
    </xdr:from>
    <xdr:to>
      <xdr:col>18</xdr:col>
      <xdr:colOff>514350</xdr:colOff>
      <xdr:row>34</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47</xdr:row>
      <xdr:rowOff>133350</xdr:rowOff>
    </xdr:from>
    <xdr:to>
      <xdr:col>18</xdr:col>
      <xdr:colOff>514350</xdr:colOff>
      <xdr:row>47</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59</xdr:row>
      <xdr:rowOff>133350</xdr:rowOff>
    </xdr:from>
    <xdr:to>
      <xdr:col>19</xdr:col>
      <xdr:colOff>352425</xdr:colOff>
      <xdr:row>59</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71</xdr:row>
      <xdr:rowOff>123825</xdr:rowOff>
    </xdr:from>
    <xdr:to>
      <xdr:col>21</xdr:col>
      <xdr:colOff>533400</xdr:colOff>
      <xdr:row>71</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75</xdr:row>
      <xdr:rowOff>123825</xdr:rowOff>
    </xdr:from>
    <xdr:to>
      <xdr:col>22</xdr:col>
      <xdr:colOff>352425</xdr:colOff>
      <xdr:row>75</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63</xdr:row>
      <xdr:rowOff>133350</xdr:rowOff>
    </xdr:from>
    <xdr:to>
      <xdr:col>20</xdr:col>
      <xdr:colOff>533400</xdr:colOff>
      <xdr:row>63</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67</xdr:row>
      <xdr:rowOff>152400</xdr:rowOff>
    </xdr:from>
    <xdr:to>
      <xdr:col>20</xdr:col>
      <xdr:colOff>504825</xdr:colOff>
      <xdr:row>67</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7</xdr:row>
      <xdr:rowOff>9525</xdr:rowOff>
    </xdr:from>
    <xdr:to>
      <xdr:col>20</xdr:col>
      <xdr:colOff>542925</xdr:colOff>
      <xdr:row>98</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26</xdr:row>
      <xdr:rowOff>9525</xdr:rowOff>
    </xdr:from>
    <xdr:to>
      <xdr:col>17</xdr:col>
      <xdr:colOff>342900</xdr:colOff>
      <xdr:row>26</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9525</xdr:rowOff>
    </xdr:from>
    <xdr:to>
      <xdr:col>17</xdr:col>
      <xdr:colOff>352425</xdr:colOff>
      <xdr:row>28</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29</xdr:row>
      <xdr:rowOff>152400</xdr:rowOff>
    </xdr:from>
    <xdr:to>
      <xdr:col>17</xdr:col>
      <xdr:colOff>333375</xdr:colOff>
      <xdr:row>29</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46</xdr:row>
      <xdr:rowOff>0</xdr:rowOff>
    </xdr:from>
    <xdr:to>
      <xdr:col>18</xdr:col>
      <xdr:colOff>514350</xdr:colOff>
      <xdr:row>46</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57</xdr:row>
      <xdr:rowOff>123825</xdr:rowOff>
    </xdr:from>
    <xdr:to>
      <xdr:col>19</xdr:col>
      <xdr:colOff>342900</xdr:colOff>
      <xdr:row>57</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55</xdr:row>
      <xdr:rowOff>133350</xdr:rowOff>
    </xdr:from>
    <xdr:to>
      <xdr:col>19</xdr:col>
      <xdr:colOff>361950</xdr:colOff>
      <xdr:row>55</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53</xdr:row>
      <xdr:rowOff>123825</xdr:rowOff>
    </xdr:from>
    <xdr:to>
      <xdr:col>19</xdr:col>
      <xdr:colOff>342900</xdr:colOff>
      <xdr:row>53</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51</xdr:row>
      <xdr:rowOff>104775</xdr:rowOff>
    </xdr:from>
    <xdr:to>
      <xdr:col>19</xdr:col>
      <xdr:colOff>352425</xdr:colOff>
      <xdr:row>51</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65</xdr:row>
      <xdr:rowOff>152400</xdr:rowOff>
    </xdr:from>
    <xdr:to>
      <xdr:col>20</xdr:col>
      <xdr:colOff>523875</xdr:colOff>
      <xdr:row>65</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39</xdr:row>
      <xdr:rowOff>152400</xdr:rowOff>
    </xdr:from>
    <xdr:to>
      <xdr:col>18</xdr:col>
      <xdr:colOff>504825</xdr:colOff>
      <xdr:row>39</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41</xdr:row>
      <xdr:rowOff>152400</xdr:rowOff>
    </xdr:from>
    <xdr:to>
      <xdr:col>18</xdr:col>
      <xdr:colOff>476250</xdr:colOff>
      <xdr:row>41</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20</xdr:row>
      <xdr:rowOff>9525</xdr:rowOff>
    </xdr:from>
    <xdr:to>
      <xdr:col>16</xdr:col>
      <xdr:colOff>466725</xdr:colOff>
      <xdr:row>20</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43</xdr:row>
      <xdr:rowOff>152400</xdr:rowOff>
    </xdr:from>
    <xdr:to>
      <xdr:col>18</xdr:col>
      <xdr:colOff>476250</xdr:colOff>
      <xdr:row>43</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36</xdr:row>
      <xdr:rowOff>9525</xdr:rowOff>
    </xdr:from>
    <xdr:to>
      <xdr:col>18</xdr:col>
      <xdr:colOff>514350</xdr:colOff>
      <xdr:row>36</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37</xdr:row>
      <xdr:rowOff>152400</xdr:rowOff>
    </xdr:from>
    <xdr:to>
      <xdr:col>18</xdr:col>
      <xdr:colOff>495300</xdr:colOff>
      <xdr:row>38</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12</xdr:row>
      <xdr:rowOff>28575</xdr:rowOff>
    </xdr:from>
    <xdr:to>
      <xdr:col>5</xdr:col>
      <xdr:colOff>238125</xdr:colOff>
      <xdr:row>12</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14</xdr:row>
      <xdr:rowOff>9525</xdr:rowOff>
    </xdr:from>
    <xdr:to>
      <xdr:col>5</xdr:col>
      <xdr:colOff>266700</xdr:colOff>
      <xdr:row>14</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16</xdr:row>
      <xdr:rowOff>9525</xdr:rowOff>
    </xdr:from>
    <xdr:to>
      <xdr:col>5</xdr:col>
      <xdr:colOff>238125</xdr:colOff>
      <xdr:row>16</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7</xdr:row>
      <xdr:rowOff>38100</xdr:rowOff>
    </xdr:from>
    <xdr:to>
      <xdr:col>1</xdr:col>
      <xdr:colOff>400050</xdr:colOff>
      <xdr:row>101</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7</xdr:row>
      <xdr:rowOff>9525</xdr:rowOff>
    </xdr:from>
    <xdr:to>
      <xdr:col>2</xdr:col>
      <xdr:colOff>161925</xdr:colOff>
      <xdr:row>101</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xdr:row>
      <xdr:rowOff>9525</xdr:rowOff>
    </xdr:from>
    <xdr:to>
      <xdr:col>3</xdr:col>
      <xdr:colOff>361950</xdr:colOff>
      <xdr:row>101</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9</xdr:row>
      <xdr:rowOff>9525</xdr:rowOff>
    </xdr:from>
    <xdr:to>
      <xdr:col>5</xdr:col>
      <xdr:colOff>257175</xdr:colOff>
      <xdr:row>9</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7</xdr:row>
      <xdr:rowOff>9525</xdr:rowOff>
    </xdr:from>
    <xdr:to>
      <xdr:col>0</xdr:col>
      <xdr:colOff>390525</xdr:colOff>
      <xdr:row>101</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7</xdr:row>
      <xdr:rowOff>9525</xdr:rowOff>
    </xdr:from>
    <xdr:to>
      <xdr:col>12</xdr:col>
      <xdr:colOff>190500</xdr:colOff>
      <xdr:row>102</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C:\Models\SATIMGE_Veda\VT_REGION1_TRA.xlsx" TargetMode="External"/><Relationship Id="rId1" Type="http://schemas.openxmlformats.org/officeDocument/2006/relationships/externalLinkPath" Target="/Models/SATIMGE_Veda/VT_REGION1_T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Models\SATIMGE\SATIM\DataSpreadsheets\TCH_TRA.xlsm" TargetMode="External"/><Relationship Id="rId1" Type="http://schemas.openxmlformats.org/officeDocument/2006/relationships/externalLinkPath" Target="/Models/SATIMGE/SATIM/DataSpreadsheets/TCH_T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sheetData sheetId="2"/>
      <sheetData sheetId="3"/>
      <sheetData sheetId="4"/>
      <sheetData sheetId="5"/>
      <sheetData sheetId="6"/>
      <sheetData sheetId="7"/>
      <sheetData sheetId="8"/>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sheetData sheetId="12"/>
      <sheetData sheetId="13"/>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sheetData sheetId="16">
        <row r="34">
          <cell r="A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row r="12">
          <cell r="D12"/>
          <cell r="E12"/>
          <cell r="F12"/>
        </row>
        <row r="15">
          <cell r="D15"/>
          <cell r="E15"/>
          <cell r="F15"/>
        </row>
        <row r="16">
          <cell r="D16"/>
          <cell r="E16"/>
          <cell r="F16"/>
        </row>
        <row r="17">
          <cell r="D17"/>
          <cell r="E17"/>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b">
            <v>0</v>
          </cell>
        </row>
        <row r="3">
          <cell r="C3" t="b">
            <v>0</v>
          </cell>
        </row>
        <row r="10">
          <cell r="D10" t="str">
            <v>High</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1">
          <cell r="F1" t="str">
            <v>2022 ZAR</v>
          </cell>
        </row>
        <row r="2">
          <cell r="F2"/>
        </row>
        <row r="5">
          <cell r="F5" t="e">
            <v>#REF!</v>
          </cell>
        </row>
        <row r="20">
          <cell r="F20" t="e">
            <v>#REF!</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AND"/>
      <sheetName val="Demand_Calcs"/>
      <sheetName val="ITEMS_Tech_E"/>
      <sheetName val="TRP_E"/>
      <sheetName val="EFF-E_ANTC"/>
      <sheetName val="AFA-E_ANTC"/>
      <sheetName val="RESID-E_ANTC"/>
      <sheetName val="FNRG_ANTC"/>
      <sheetName val="TRA-EB"/>
      <sheetName val="Calib_2017"/>
      <sheetName val="Calib_old"/>
      <sheetName val="EB_2017"/>
      <sheetName val="Analytica"/>
      <sheetName val="SOL"/>
      <sheetName val="ITEMS_Tech_N"/>
      <sheetName val="TRP_N"/>
      <sheetName val="EFF-N_ANTC"/>
      <sheetName val="CapUnit-N_ANTC"/>
      <sheetName val="VehicleCostData"/>
      <sheetName val="AEA2012"/>
      <sheetName val="IEAWEO2023"/>
      <sheetName val="NREL_2022"/>
      <sheetName val="NREL_LCVs"/>
    </sheetNames>
    <sheetDataSet>
      <sheetData sheetId="0"/>
      <sheetData sheetId="1"/>
      <sheetData sheetId="2">
        <row r="6">
          <cell r="D6" t="str">
            <v>*</v>
          </cell>
          <cell r="E6" t="str">
            <v>Private SUVS</v>
          </cell>
        </row>
        <row r="7">
          <cell r="D7" t="str">
            <v>TPPRSUVODS-E</v>
          </cell>
          <cell r="E7" t="str">
            <v>Transport Passenger SUV Priv.Veh. Oil Diesel-Existing</v>
          </cell>
        </row>
        <row r="8">
          <cell r="D8" t="str">
            <v>TPPRSUVOGS-E</v>
          </cell>
          <cell r="E8" t="str">
            <v>Transport Passenger SUV Priv.Veh. Oil Gasoline-Existing</v>
          </cell>
        </row>
        <row r="9">
          <cell r="D9" t="str">
            <v>TPPRSUVOGSH-E</v>
          </cell>
          <cell r="E9" t="str">
            <v>Transport Passenger SUV Priv.Veh. Oil GasolineHybrid-Existing</v>
          </cell>
        </row>
        <row r="10">
          <cell r="D10" t="str">
            <v>TPPRSUVELC-E</v>
          </cell>
          <cell r="E10" t="str">
            <v>Transport Passenger SUV Priv.Veh. Electricity-Existing</v>
          </cell>
        </row>
        <row r="11">
          <cell r="D11" t="str">
            <v>*</v>
          </cell>
          <cell r="E11" t="str">
            <v>Transport Passenger SUV Priv.Veh. Oil DieselHybrid-Existing</v>
          </cell>
        </row>
        <row r="12">
          <cell r="D12" t="str">
            <v>TPPRSUVGAS-E</v>
          </cell>
          <cell r="E12" t="str">
            <v>Transport Passenger SUV Priv.Veh. Gas-Existing</v>
          </cell>
        </row>
        <row r="13">
          <cell r="D13" t="str">
            <v>*</v>
          </cell>
          <cell r="E13"/>
        </row>
        <row r="14">
          <cell r="D14" t="str">
            <v>*</v>
          </cell>
          <cell r="E14"/>
        </row>
        <row r="15">
          <cell r="D15" t="str">
            <v>*</v>
          </cell>
          <cell r="E15" t="str">
            <v>Private Cars</v>
          </cell>
        </row>
        <row r="16">
          <cell r="D16" t="str">
            <v>TPPRCARODS-E</v>
          </cell>
          <cell r="E16" t="str">
            <v>Transport Passenger Car Priv.Veh. Oil Diesel-Existing</v>
          </cell>
        </row>
        <row r="17">
          <cell r="D17" t="str">
            <v>TPPRCAROGS-E</v>
          </cell>
          <cell r="E17" t="str">
            <v>Transport Passenger Car Priv.Veh. Oil Gasoline-Existing</v>
          </cell>
        </row>
        <row r="18">
          <cell r="D18" t="str">
            <v>TPPRCAROGSH-E</v>
          </cell>
          <cell r="E18" t="str">
            <v>Transport Passenger Car Priv.Veh. Oil GasolineHybrid-Existing</v>
          </cell>
        </row>
        <row r="19">
          <cell r="D19" t="str">
            <v>TPPRCARELC-E</v>
          </cell>
          <cell r="E19" t="str">
            <v>Transport Passenger Car Priv.Veh. Electricity-Existing</v>
          </cell>
        </row>
        <row r="20">
          <cell r="D20" t="str">
            <v>*</v>
          </cell>
          <cell r="E20" t="str">
            <v>Transport Passenger Car Priv.Veh. Oil DieselHybrid-Existing</v>
          </cell>
        </row>
        <row r="21">
          <cell r="D21" t="str">
            <v>TPPRCARGAS-E</v>
          </cell>
          <cell r="E21" t="str">
            <v>Transport Passenger Car Priv.Veh. Gas-Existing</v>
          </cell>
        </row>
        <row r="22">
          <cell r="D22" t="str">
            <v>*</v>
          </cell>
          <cell r="E22"/>
        </row>
        <row r="23">
          <cell r="D23" t="str">
            <v>*</v>
          </cell>
          <cell r="E23"/>
        </row>
        <row r="24">
          <cell r="D24" t="str">
            <v>*</v>
          </cell>
          <cell r="E24" t="str">
            <v>Private Motorcycles</v>
          </cell>
        </row>
        <row r="25">
          <cell r="D25" t="str">
            <v>TPPRMOTOGS-E</v>
          </cell>
          <cell r="E25" t="str">
            <v>Transport Passenger Moto Priv.Veh. Oil Gasoline-Existing</v>
          </cell>
        </row>
        <row r="26">
          <cell r="D26" t="str">
            <v>*</v>
          </cell>
          <cell r="E26"/>
        </row>
        <row r="27">
          <cell r="D27" t="str">
            <v>*</v>
          </cell>
          <cell r="E27"/>
        </row>
        <row r="28">
          <cell r="D28" t="str">
            <v>*</v>
          </cell>
          <cell r="E28" t="str">
            <v>Public Buses</v>
          </cell>
        </row>
        <row r="29">
          <cell r="D29" t="str">
            <v>TPPUBUSODS-E</v>
          </cell>
          <cell r="E29" t="str">
            <v>Transport Passenger Bus Oil Diesel-Existing</v>
          </cell>
        </row>
        <row r="30">
          <cell r="D30" t="str">
            <v>TPPUBUSGAS-E</v>
          </cell>
          <cell r="E30" t="str">
            <v>Transport Passenger Bus Gas-Existing</v>
          </cell>
        </row>
        <row r="31">
          <cell r="D31" t="str">
            <v>*</v>
          </cell>
          <cell r="E31"/>
        </row>
        <row r="32">
          <cell r="D32" t="str">
            <v>*</v>
          </cell>
          <cell r="E32" t="str">
            <v>Public Minibus Taxis</v>
          </cell>
        </row>
        <row r="33">
          <cell r="D33" t="str">
            <v>TPPUMBTODS-E</v>
          </cell>
          <cell r="E33" t="str">
            <v>Transport Passenger Minibus Oil Diesel-Existing</v>
          </cell>
        </row>
        <row r="34">
          <cell r="D34" t="str">
            <v>TPPUMBTOGS-E</v>
          </cell>
          <cell r="E34" t="str">
            <v>Transport Passenger Minibus Oil Gasoline-Existing</v>
          </cell>
        </row>
        <row r="35">
          <cell r="D35" t="str">
            <v>TPPUMBTGAS-E</v>
          </cell>
          <cell r="E35" t="str">
            <v>Transport Passenger Minibus Gas-Existing</v>
          </cell>
        </row>
        <row r="36">
          <cell r="D36" t="str">
            <v>*</v>
          </cell>
          <cell r="E36"/>
        </row>
        <row r="37">
          <cell r="D37" t="str">
            <v>*</v>
          </cell>
          <cell r="E37"/>
        </row>
        <row r="38">
          <cell r="D38" t="str">
            <v>*</v>
          </cell>
          <cell r="E38" t="str">
            <v>Public Metrorail</v>
          </cell>
        </row>
        <row r="39">
          <cell r="D39" t="str">
            <v>TPPUMERELC-E</v>
          </cell>
          <cell r="E39" t="str">
            <v>Transport Passenger Metro Rail Electricity-Existing</v>
          </cell>
        </row>
        <row r="40">
          <cell r="D40" t="str">
            <v>*</v>
          </cell>
          <cell r="E40"/>
        </row>
        <row r="41">
          <cell r="D41" t="str">
            <v>*</v>
          </cell>
          <cell r="E41"/>
        </row>
        <row r="42">
          <cell r="D42" t="str">
            <v>*</v>
          </cell>
          <cell r="E42"/>
        </row>
        <row r="43">
          <cell r="D43" t="str">
            <v>*</v>
          </cell>
          <cell r="E43" t="str">
            <v>Light Commercial Vehicles</v>
          </cell>
        </row>
        <row r="44">
          <cell r="D44" t="str">
            <v>TFLCVODS-E</v>
          </cell>
          <cell r="E44" t="str">
            <v>Transport Freight - LCV Oil Diesel-E</v>
          </cell>
        </row>
        <row r="45">
          <cell r="D45" t="str">
            <v>TFLCVOGS-E</v>
          </cell>
          <cell r="E45" t="str">
            <v>Transport Freight - LCV Oil Gasoline-E</v>
          </cell>
        </row>
        <row r="46">
          <cell r="D46" t="str">
            <v>TFLCVGAS-E</v>
          </cell>
          <cell r="E46" t="str">
            <v>Transport Freight - LCV Gas-E</v>
          </cell>
        </row>
        <row r="47">
          <cell r="D47" t="str">
            <v>*</v>
          </cell>
          <cell r="E47"/>
        </row>
        <row r="48">
          <cell r="D48" t="str">
            <v>*</v>
          </cell>
          <cell r="E48" t="str">
            <v>Heavy Commercial Vehicles</v>
          </cell>
        </row>
        <row r="49">
          <cell r="D49" t="str">
            <v>TFHCV1ODS-E</v>
          </cell>
          <cell r="E49" t="str">
            <v>Transport Freight - HCV1 Oil Diesel-E</v>
          </cell>
        </row>
        <row r="50">
          <cell r="D50" t="str">
            <v>TFHCV1OGS-E</v>
          </cell>
          <cell r="E50" t="str">
            <v>Transport Freight - HCV1 Oil Gasoline-E</v>
          </cell>
        </row>
        <row r="51">
          <cell r="D51" t="str">
            <v>TFHCV2ODS-E</v>
          </cell>
          <cell r="E51" t="str">
            <v>Transport Freight - HCV2 Oil Diesel-E</v>
          </cell>
        </row>
        <row r="52">
          <cell r="D52" t="str">
            <v>TFHCV3ODS-E</v>
          </cell>
          <cell r="E52" t="str">
            <v>Transport Freight - HCV3 Oil Diesel-E</v>
          </cell>
        </row>
        <row r="53">
          <cell r="D53" t="str">
            <v>TFHCV4ODS-E</v>
          </cell>
          <cell r="E53" t="str">
            <v>Transport Freight - HCV4 Oil Diesel-E</v>
          </cell>
        </row>
        <row r="54">
          <cell r="D54" t="str">
            <v>TFHCV5ODS-E</v>
          </cell>
          <cell r="E54" t="str">
            <v>Transport Freight - HCV5 Oil Diesel-E</v>
          </cell>
        </row>
        <row r="55">
          <cell r="D55" t="str">
            <v>TFHCV6ODS-E</v>
          </cell>
          <cell r="E55" t="str">
            <v>Transport Freight - HCV6 Oil Diesel-E</v>
          </cell>
        </row>
        <row r="56">
          <cell r="D56" t="str">
            <v>TFHCV7ODS-E</v>
          </cell>
          <cell r="E56" t="str">
            <v>Transport Freight - HCV7 Oil Diesel-E</v>
          </cell>
        </row>
        <row r="57">
          <cell r="D57" t="str">
            <v>TFHCV8ODS-E</v>
          </cell>
          <cell r="E57" t="str">
            <v>Transport Freight - HCV8 Oil Diesel-E</v>
          </cell>
        </row>
        <row r="58">
          <cell r="D58" t="str">
            <v>TFHCV9ODS-E</v>
          </cell>
          <cell r="E58" t="str">
            <v>Transport Freight - HCV9 Oil Diesel-E</v>
          </cell>
        </row>
        <row r="59">
          <cell r="D59" t="str">
            <v>TFHCV1GAS-E</v>
          </cell>
          <cell r="E59" t="str">
            <v>Transport Freight - HCV1 Gas-E</v>
          </cell>
        </row>
        <row r="60">
          <cell r="D60" t="str">
            <v>*</v>
          </cell>
          <cell r="E60"/>
        </row>
        <row r="61">
          <cell r="D61" t="str">
            <v>*</v>
          </cell>
          <cell r="E61"/>
        </row>
        <row r="62">
          <cell r="D62" t="str">
            <v>*</v>
          </cell>
          <cell r="E62" t="str">
            <v>Freight Rail</v>
          </cell>
        </row>
        <row r="63">
          <cell r="D63" t="str">
            <v>TFRCOODS-E</v>
          </cell>
          <cell r="E63" t="str">
            <v>Transport Freight - Rail Corridor Oil Diesel-E</v>
          </cell>
        </row>
        <row r="64">
          <cell r="D64" t="str">
            <v>TFRCOELC-E</v>
          </cell>
          <cell r="E64" t="str">
            <v>Transport Freight - Rail Corridor Electricity-E</v>
          </cell>
        </row>
        <row r="65">
          <cell r="D65" t="str">
            <v>TFROTODS-E</v>
          </cell>
          <cell r="E65" t="str">
            <v>Transport Freight - Rail Other Oil Diesel-E</v>
          </cell>
        </row>
        <row r="66">
          <cell r="D66" t="str">
            <v>TFROTELC-E</v>
          </cell>
          <cell r="E66" t="str">
            <v>Transport Freight - Rail Other Electricity-E</v>
          </cell>
        </row>
        <row r="67">
          <cell r="D67" t="str">
            <v>TFREXODSR-E</v>
          </cell>
          <cell r="E67" t="str">
            <v>Transport Freight - Rail Export (bulk mining) Oil Diesel-E</v>
          </cell>
        </row>
        <row r="68">
          <cell r="D68" t="str">
            <v>TFREXELCR-E</v>
          </cell>
          <cell r="E68" t="str">
            <v>Transport Freight - Rail Export (bulk mining) Electricity-E</v>
          </cell>
        </row>
        <row r="69">
          <cell r="D69" t="str">
            <v>*</v>
          </cell>
          <cell r="E69"/>
        </row>
        <row r="70">
          <cell r="D70" t="str">
            <v>*</v>
          </cell>
          <cell r="E70"/>
        </row>
        <row r="71">
          <cell r="D71" t="str">
            <v>*</v>
          </cell>
          <cell r="E71"/>
        </row>
        <row r="72">
          <cell r="D72" t="str">
            <v>*</v>
          </cell>
          <cell r="E72" t="str">
            <v>Transport Other</v>
          </cell>
        </row>
        <row r="73">
          <cell r="D73" t="str">
            <v>TFPIPELC-E</v>
          </cell>
          <cell r="E73" t="str">
            <v>Transport Other - Pipeline Electricity-E</v>
          </cell>
        </row>
        <row r="74">
          <cell r="D74" t="str">
            <v>TAIJETOKE-E</v>
          </cell>
          <cell r="E74" t="str">
            <v>Transport Other -  Aviation Int Jet Fuel -E</v>
          </cell>
        </row>
        <row r="75">
          <cell r="D75" t="str">
            <v>TADJETOKE-E</v>
          </cell>
          <cell r="E75" t="str">
            <v>Transport Other -  Aviation Dom Jet Fuel -E</v>
          </cell>
        </row>
        <row r="76">
          <cell r="D76" t="str">
            <v>TAOAGOAG-E</v>
          </cell>
          <cell r="E76" t="str">
            <v>Transport Other - Aviation Gasoline-E</v>
          </cell>
        </row>
        <row r="77">
          <cell r="D77" t="str">
            <v>TSHFOOHF-E</v>
          </cell>
          <cell r="E77" t="str">
            <v>Transport Other - HFO-E</v>
          </cell>
        </row>
        <row r="78">
          <cell r="D78" t="str">
            <v>*</v>
          </cell>
          <cell r="E78"/>
        </row>
        <row r="79">
          <cell r="D79" t="str">
            <v>*</v>
          </cell>
          <cell r="E79"/>
        </row>
        <row r="80">
          <cell r="D80" t="str">
            <v>*</v>
          </cell>
          <cell r="E80"/>
        </row>
        <row r="81">
          <cell r="D81" t="str">
            <v>*</v>
          </cell>
          <cell r="E81"/>
        </row>
      </sheetData>
      <sheetData sheetId="3"/>
      <sheetData sheetId="4">
        <row r="3">
          <cell r="C3">
            <v>2012</v>
          </cell>
          <cell r="D3">
            <v>2017</v>
          </cell>
          <cell r="E3">
            <v>2020</v>
          </cell>
          <cell r="F3">
            <v>2030</v>
          </cell>
          <cell r="G3">
            <v>2040</v>
          </cell>
          <cell r="H3">
            <v>2050</v>
          </cell>
        </row>
        <row r="4">
          <cell r="A4" t="str">
            <v>TPPUBUSODS-E</v>
          </cell>
          <cell r="C4">
            <v>6.1451225052252298E-2</v>
          </cell>
          <cell r="D4">
            <v>6.4348339348895098E-2</v>
          </cell>
          <cell r="E4">
            <v>6.4532835825940396E-2</v>
          </cell>
          <cell r="F4">
            <v>6.5227894002483106E-2</v>
          </cell>
          <cell r="G4">
            <v>6.6011283101863896E-2</v>
          </cell>
          <cell r="H4">
            <v>6.6777008175099004E-2</v>
          </cell>
        </row>
        <row r="5">
          <cell r="A5" t="str">
            <v>TPPRCARODS-E</v>
          </cell>
          <cell r="C5">
            <v>0.32230996851715898</v>
          </cell>
          <cell r="D5">
            <v>0.332001778720379</v>
          </cell>
          <cell r="E5">
            <v>0.33265717758608498</v>
          </cell>
          <cell r="F5">
            <v>0.33651934650542698</v>
          </cell>
          <cell r="G5">
            <v>0.34211282028256701</v>
          </cell>
          <cell r="H5">
            <v>0.34710783356449998</v>
          </cell>
        </row>
        <row r="6">
          <cell r="A6" t="str">
            <v>TPPRCAROGS-E</v>
          </cell>
          <cell r="C6">
            <v>0.34093701352969102</v>
          </cell>
          <cell r="D6">
            <v>0.35686173917097103</v>
          </cell>
          <cell r="E6">
            <v>0.35949352149263297</v>
          </cell>
          <cell r="F6">
            <v>0.36773748352763003</v>
          </cell>
          <cell r="G6">
            <v>0.374376610599086</v>
          </cell>
          <cell r="H6">
            <v>0.37938792131855897</v>
          </cell>
        </row>
        <row r="7">
          <cell r="A7" t="str">
            <v>TPPRCARODSH-E</v>
          </cell>
          <cell r="C7">
            <v>0.44260233149753841</v>
          </cell>
          <cell r="D7">
            <v>0.442677144204426</v>
          </cell>
          <cell r="E7">
            <v>0.44268528093113702</v>
          </cell>
          <cell r="F7">
            <v>0.44274684110372098</v>
          </cell>
          <cell r="G7">
            <v>0.44285783965419501</v>
          </cell>
          <cell r="H7">
            <v>0.44301014956021301</v>
          </cell>
        </row>
        <row r="8">
          <cell r="A8" t="str">
            <v>TPPRCAROGSH-E</v>
          </cell>
          <cell r="C8">
            <v>0.475035020619682</v>
          </cell>
          <cell r="D8">
            <v>0.48634218857827199</v>
          </cell>
          <cell r="E8">
            <v>0.48658239494189298</v>
          </cell>
          <cell r="F8">
            <v>0.48849585750196101</v>
          </cell>
          <cell r="G8">
            <v>0.492038428921173</v>
          </cell>
          <cell r="H8">
            <v>0.49648557965280099</v>
          </cell>
        </row>
        <row r="9">
          <cell r="A9" t="str">
            <v>TPPRCARELC-E</v>
          </cell>
          <cell r="C9">
            <v>1.60037643566239</v>
          </cell>
          <cell r="D9">
            <v>1.60037643566239</v>
          </cell>
          <cell r="E9">
            <v>1.60041633961525</v>
          </cell>
          <cell r="F9">
            <v>1.6010609819072401</v>
          </cell>
          <cell r="G9">
            <v>1.6027693715918201</v>
          </cell>
          <cell r="H9">
            <v>1.6056042777811199</v>
          </cell>
        </row>
        <row r="10">
          <cell r="A10" t="str">
            <v>TFHCV1ODS-E</v>
          </cell>
          <cell r="C10">
            <v>0.15973207030061001</v>
          </cell>
          <cell r="D10">
            <v>0.170324176066042</v>
          </cell>
          <cell r="E10">
            <v>0.17019984843924499</v>
          </cell>
          <cell r="F10">
            <v>0.17409813013726</v>
          </cell>
          <cell r="G10">
            <v>0.17789366131389001</v>
          </cell>
          <cell r="H10">
            <v>0.18082625096775001</v>
          </cell>
        </row>
        <row r="11">
          <cell r="A11" t="str">
            <v>TFHCV1OGS-E</v>
          </cell>
          <cell r="C11">
            <v>0.14527289486418399</v>
          </cell>
          <cell r="D11">
            <v>0.14896435210389899</v>
          </cell>
          <cell r="E11">
            <v>0.152765483769921</v>
          </cell>
          <cell r="F11">
            <v>0.16609404654853699</v>
          </cell>
          <cell r="G11">
            <v>0.17211134514717899</v>
          </cell>
          <cell r="H11">
            <v>0.173986340906439</v>
          </cell>
        </row>
        <row r="12">
          <cell r="A12" t="str">
            <v>TFHCV2ODS-E</v>
          </cell>
          <cell r="C12">
            <v>0.12700916328634601</v>
          </cell>
          <cell r="D12">
            <v>0.13643182834537301</v>
          </cell>
          <cell r="E12">
            <v>0.136459139072411</v>
          </cell>
          <cell r="F12">
            <v>0.14013799688852099</v>
          </cell>
          <cell r="G12">
            <v>0.143519603118716</v>
          </cell>
          <cell r="H12">
            <v>0.14596983768762201</v>
          </cell>
        </row>
        <row r="13">
          <cell r="A13" t="str">
            <v>TFHCV3ODS-E</v>
          </cell>
          <cell r="C13">
            <v>0.11158645590879999</v>
          </cell>
          <cell r="D13">
            <v>0.119281768417066</v>
          </cell>
          <cell r="E13">
            <v>0.11931868717182099</v>
          </cell>
          <cell r="F13">
            <v>0.12232153623233299</v>
          </cell>
          <cell r="G13">
            <v>0.12509253733459699</v>
          </cell>
          <cell r="H13">
            <v>0.12724056107916601</v>
          </cell>
        </row>
        <row r="14">
          <cell r="A14" t="str">
            <v>TFHCV4ODS-E</v>
          </cell>
          <cell r="C14">
            <v>9.6686855885418296E-2</v>
          </cell>
          <cell r="D14">
            <v>0.102511485821615</v>
          </cell>
          <cell r="E14">
            <v>0.10254809996583</v>
          </cell>
          <cell r="F14">
            <v>0.105418203184048</v>
          </cell>
          <cell r="G14">
            <v>0.108304805407653</v>
          </cell>
          <cell r="H14">
            <v>0.110554573148034</v>
          </cell>
        </row>
        <row r="15">
          <cell r="A15" t="str">
            <v>TFHCV5ODS-E</v>
          </cell>
          <cell r="C15">
            <v>8.8022657757619804E-2</v>
          </cell>
          <cell r="D15">
            <v>9.4439576839910805E-2</v>
          </cell>
          <cell r="E15">
            <v>9.4370120075289193E-2</v>
          </cell>
          <cell r="F15">
            <v>9.6441406801161797E-2</v>
          </cell>
          <cell r="G15">
            <v>9.8419663807944702E-2</v>
          </cell>
          <cell r="H15">
            <v>9.9889600984333304E-2</v>
          </cell>
        </row>
        <row r="16">
          <cell r="A16" t="str">
            <v>TFHCV6ODS-E</v>
          </cell>
          <cell r="C16">
            <v>6.0770510906732703E-2</v>
          </cell>
          <cell r="D16">
            <v>6.5140074152247901E-2</v>
          </cell>
          <cell r="E16">
            <v>6.5086835525467304E-2</v>
          </cell>
          <cell r="F16">
            <v>6.6124396909204006E-2</v>
          </cell>
          <cell r="G16">
            <v>6.7166260047415702E-2</v>
          </cell>
          <cell r="H16">
            <v>6.8012622129019304E-2</v>
          </cell>
        </row>
        <row r="17">
          <cell r="A17" t="str">
            <v>TFHCV7ODS-E</v>
          </cell>
          <cell r="C17">
            <v>6.5864517822129001E-2</v>
          </cell>
          <cell r="D17">
            <v>7.0317841528990704E-2</v>
          </cell>
          <cell r="E17">
            <v>7.0234604805822207E-2</v>
          </cell>
          <cell r="F17">
            <v>7.1524983519216004E-2</v>
          </cell>
          <cell r="G17">
            <v>7.2864914411162496E-2</v>
          </cell>
          <cell r="H17">
            <v>7.39190120279309E-2</v>
          </cell>
        </row>
        <row r="18">
          <cell r="A18" t="str">
            <v>TFHCV8ODS-E</v>
          </cell>
          <cell r="C18">
            <v>6.4937428235684005E-2</v>
          </cell>
          <cell r="D18">
            <v>6.9193607941341495E-2</v>
          </cell>
          <cell r="E18">
            <v>6.9134613553873694E-2</v>
          </cell>
          <cell r="F18">
            <v>6.9756638806478602E-2</v>
          </cell>
          <cell r="G18">
            <v>7.0539322337285895E-2</v>
          </cell>
          <cell r="H18">
            <v>7.1239826934415704E-2</v>
          </cell>
        </row>
        <row r="19">
          <cell r="A19" t="str">
            <v>TFHCV9ODS-E</v>
          </cell>
          <cell r="C19">
            <v>5.3663791961647903E-2</v>
          </cell>
          <cell r="D19">
            <v>5.4371364101907703E-2</v>
          </cell>
          <cell r="E19">
            <v>5.4374543331148002E-2</v>
          </cell>
          <cell r="F19">
            <v>5.4895435674524602E-2</v>
          </cell>
          <cell r="G19">
            <v>5.5820318048132901E-2</v>
          </cell>
          <cell r="H19">
            <v>5.7192352651667E-2</v>
          </cell>
        </row>
        <row r="20">
          <cell r="A20" t="str">
            <v>TFLCVODS-E</v>
          </cell>
          <cell r="C20">
            <v>0.224634152664134</v>
          </cell>
          <cell r="D20">
            <v>0.23594563867169499</v>
          </cell>
          <cell r="E20">
            <v>0.236416891901715</v>
          </cell>
          <cell r="F20">
            <v>0.237476755649043</v>
          </cell>
          <cell r="G20">
            <v>0.23820734864530901</v>
          </cell>
          <cell r="H20">
            <v>0.238773147737598</v>
          </cell>
        </row>
        <row r="21">
          <cell r="A21" t="str">
            <v>TFLCVOGS-E</v>
          </cell>
          <cell r="C21">
            <v>0.19897796018658001</v>
          </cell>
          <cell r="D21">
            <v>0.206254237709705</v>
          </cell>
          <cell r="E21">
            <v>0.206726097108171</v>
          </cell>
          <cell r="F21">
            <v>0.20785170508495199</v>
          </cell>
          <cell r="G21">
            <v>0.20866460609364401</v>
          </cell>
          <cell r="H21">
            <v>0.209312603622752</v>
          </cell>
        </row>
        <row r="22">
          <cell r="A22" t="str">
            <v>TPPUMBTODS-E</v>
          </cell>
          <cell r="C22">
            <v>0.226141211498956</v>
          </cell>
          <cell r="D22">
            <v>0.23693697386285401</v>
          </cell>
          <cell r="E22">
            <v>0.23714071054781499</v>
          </cell>
          <cell r="F22">
            <v>0.23771796611346999</v>
          </cell>
          <cell r="G22">
            <v>0.238197153562765</v>
          </cell>
          <cell r="H22">
            <v>0.23860947241442801</v>
          </cell>
        </row>
        <row r="23">
          <cell r="A23" t="str">
            <v>TPPUMBTOGS-E</v>
          </cell>
          <cell r="C23">
            <v>0.19268141937712499</v>
          </cell>
          <cell r="D23">
            <v>0.2007607462921</v>
          </cell>
          <cell r="E23">
            <v>0.20159853580370701</v>
          </cell>
          <cell r="F23">
            <v>0.203758901219809</v>
          </cell>
          <cell r="G23">
            <v>0.205400647316764</v>
          </cell>
          <cell r="H23">
            <v>0.206733282045863</v>
          </cell>
        </row>
        <row r="24">
          <cell r="A24" t="str">
            <v>TPPRSUVODS-E</v>
          </cell>
          <cell r="C24">
            <v>0.22405960188642601</v>
          </cell>
          <cell r="D24">
            <v>0.23305744392160199</v>
          </cell>
          <cell r="E24">
            <v>0.23340599419800401</v>
          </cell>
          <cell r="F24">
            <v>0.23509880748513301</v>
          </cell>
          <cell r="G24">
            <v>0.237131336819111</v>
          </cell>
          <cell r="H24">
            <v>0.23904134817290701</v>
          </cell>
        </row>
        <row r="25">
          <cell r="A25" t="str">
            <v>TPPRSUVOGSH-E</v>
          </cell>
          <cell r="C25">
            <v>0.41826030251072899</v>
          </cell>
          <cell r="D25">
            <v>0.42759293682001998</v>
          </cell>
          <cell r="E25">
            <v>0.42775501230198898</v>
          </cell>
          <cell r="F25">
            <v>0.42938928409693999</v>
          </cell>
          <cell r="G25">
            <v>0.43322071824803499</v>
          </cell>
          <cell r="H25">
            <v>0.43867505244828803</v>
          </cell>
        </row>
        <row r="26">
          <cell r="A26" t="str">
            <v>TPPRSUVOGS-E</v>
          </cell>
          <cell r="C26">
            <v>0.20690739913063799</v>
          </cell>
          <cell r="D26">
            <v>0.21576687545224399</v>
          </cell>
          <cell r="E26">
            <v>0.21618578391000501</v>
          </cell>
          <cell r="F26">
            <v>0.218019202930891</v>
          </cell>
          <cell r="G26">
            <v>0.220066514706491</v>
          </cell>
          <cell r="H26">
            <v>0.22191326959965599</v>
          </cell>
        </row>
        <row r="27">
          <cell r="A27" t="str">
            <v>TPPRSUVELC-E</v>
          </cell>
          <cell r="C27">
            <v>1.4770000000000001</v>
          </cell>
          <cell r="D27">
            <v>1.4770000000000001</v>
          </cell>
          <cell r="E27">
            <v>1.4770000000000001</v>
          </cell>
          <cell r="F27">
            <v>1.4770000000000001</v>
          </cell>
          <cell r="G27">
            <v>1.4770000000000001</v>
          </cell>
          <cell r="H27">
            <v>1.4770000000000001</v>
          </cell>
        </row>
        <row r="28">
          <cell r="A28" t="str">
            <v>TPPRMOTOGS-E</v>
          </cell>
          <cell r="C28">
            <v>0.56040000000000001</v>
          </cell>
          <cell r="D28">
            <v>0.58484684820594601</v>
          </cell>
          <cell r="E28">
            <v>0.58792203407525001</v>
          </cell>
          <cell r="F28">
            <v>0.59899195036072195</v>
          </cell>
          <cell r="G28">
            <v>0.60882557636547696</v>
          </cell>
          <cell r="H28">
            <v>0.61566719645728296</v>
          </cell>
        </row>
        <row r="29">
          <cell r="A29" t="str">
            <v>TPPUMERELC-E</v>
          </cell>
          <cell r="D29">
            <v>3.858057479967961</v>
          </cell>
          <cell r="E29">
            <v>1</v>
          </cell>
          <cell r="F29">
            <v>1</v>
          </cell>
          <cell r="G29">
            <v>1</v>
          </cell>
          <cell r="H29">
            <v>1</v>
          </cell>
        </row>
        <row r="30">
          <cell r="A30" t="str">
            <v>TPPRSUVGAS-E</v>
          </cell>
          <cell r="C30">
            <v>0.2275981390437018</v>
          </cell>
          <cell r="D30">
            <v>0.2275981390437018</v>
          </cell>
          <cell r="E30">
            <v>0.2275981390437018</v>
          </cell>
          <cell r="F30">
            <v>0.2275981390437018</v>
          </cell>
          <cell r="G30">
            <v>0.2275981390437018</v>
          </cell>
          <cell r="H30">
            <v>0.2275981390437018</v>
          </cell>
        </row>
        <row r="31">
          <cell r="A31" t="str">
            <v>TPPRCARGAS-E</v>
          </cell>
          <cell r="C31">
            <v>1.7604140792286291</v>
          </cell>
          <cell r="D31">
            <v>1.7604140792286291</v>
          </cell>
          <cell r="E31">
            <v>1.7604140792286291</v>
          </cell>
          <cell r="F31">
            <v>1.7604140792286291</v>
          </cell>
          <cell r="G31">
            <v>1.7604140792286291</v>
          </cell>
          <cell r="H31">
            <v>1.7604140792286291</v>
          </cell>
        </row>
        <row r="32">
          <cell r="A32" t="str">
            <v>TPPUMBTGAS-E</v>
          </cell>
          <cell r="C32">
            <v>0.2119495613148375</v>
          </cell>
          <cell r="D32">
            <v>0.2119495613148375</v>
          </cell>
          <cell r="E32">
            <v>0.2119495613148375</v>
          </cell>
          <cell r="F32">
            <v>0.2119495613148375</v>
          </cell>
          <cell r="G32">
            <v>0.2119495613148375</v>
          </cell>
          <cell r="H32">
            <v>0.2119495613148375</v>
          </cell>
        </row>
        <row r="33">
          <cell r="A33" t="str">
            <v>TPPUBUSGAS-E</v>
          </cell>
          <cell r="C33">
            <v>6.1451225052252298E-2</v>
          </cell>
          <cell r="D33">
            <v>6.1451225052252298E-2</v>
          </cell>
          <cell r="E33">
            <v>6.1451225052252298E-2</v>
          </cell>
          <cell r="F33">
            <v>6.1451225052252298E-2</v>
          </cell>
          <cell r="G33">
            <v>6.1451225052252298E-2</v>
          </cell>
          <cell r="H33">
            <v>6.1451225052252298E-2</v>
          </cell>
        </row>
        <row r="34">
          <cell r="A34" t="str">
            <v>TFLCVGAS-E</v>
          </cell>
          <cell r="C34">
            <v>0.21887575620523803</v>
          </cell>
          <cell r="D34">
            <v>0.21887575620523803</v>
          </cell>
          <cell r="E34">
            <v>0.21887575620523803</v>
          </cell>
          <cell r="F34">
            <v>0.21887575620523803</v>
          </cell>
          <cell r="G34">
            <v>0.21887575620523803</v>
          </cell>
          <cell r="H34">
            <v>0.21887575620523803</v>
          </cell>
        </row>
        <row r="35">
          <cell r="A35" t="str">
            <v>TFHCV1GAS-E</v>
          </cell>
          <cell r="C35">
            <v>0.15980018435060239</v>
          </cell>
          <cell r="D35">
            <v>0.15980018435060239</v>
          </cell>
          <cell r="E35">
            <v>0.15980018435060239</v>
          </cell>
          <cell r="F35">
            <v>0.15980018435060239</v>
          </cell>
          <cell r="G35">
            <v>0.15980018435060239</v>
          </cell>
          <cell r="H35">
            <v>0.15980018435060239</v>
          </cell>
        </row>
        <row r="36">
          <cell r="A36" t="str">
            <v>TFRCOODS-E</v>
          </cell>
          <cell r="C36">
            <v>2.8040417913534488</v>
          </cell>
          <cell r="D36">
            <v>2.8040417913534488</v>
          </cell>
          <cell r="E36">
            <v>2.8040417913534488</v>
          </cell>
          <cell r="F36">
            <v>2.8040417913534488</v>
          </cell>
          <cell r="G36">
            <v>2.8040417913534488</v>
          </cell>
          <cell r="H36">
            <v>2.8040417913534488</v>
          </cell>
        </row>
        <row r="37">
          <cell r="A37" t="str">
            <v>TFRCOELC-E</v>
          </cell>
          <cell r="C37">
            <v>4.0285422116338081</v>
          </cell>
          <cell r="D37">
            <v>4.0285422116338081</v>
          </cell>
          <cell r="E37">
            <v>4.0285422116338081</v>
          </cell>
          <cell r="F37">
            <v>4.0285422116338081</v>
          </cell>
          <cell r="G37">
            <v>4.0285422116338081</v>
          </cell>
          <cell r="H37">
            <v>4.0285422116338081</v>
          </cell>
        </row>
        <row r="38">
          <cell r="A38" t="str">
            <v>TFROTODS-E</v>
          </cell>
          <cell r="C38">
            <v>4.2248786996646812</v>
          </cell>
          <cell r="D38">
            <v>4.2248786996646812</v>
          </cell>
          <cell r="E38">
            <v>4.2248786996646812</v>
          </cell>
          <cell r="F38">
            <v>4.2248786996646812</v>
          </cell>
          <cell r="G38">
            <v>4.2248786996646812</v>
          </cell>
          <cell r="H38">
            <v>4.2248786996646812</v>
          </cell>
        </row>
        <row r="39">
          <cell r="A39" t="str">
            <v>TFROTELC-E</v>
          </cell>
          <cell r="C39">
            <v>12.071081999041946</v>
          </cell>
          <cell r="D39">
            <v>12.071081999041946</v>
          </cell>
          <cell r="E39">
            <v>12.071081999041946</v>
          </cell>
          <cell r="F39">
            <v>12.071081999041946</v>
          </cell>
          <cell r="G39">
            <v>12.071081999041946</v>
          </cell>
          <cell r="H39">
            <v>12.071081999041946</v>
          </cell>
        </row>
        <row r="40">
          <cell r="A40" t="str">
            <v>TFREXODSR-E</v>
          </cell>
          <cell r="C40">
            <v>6.545125793438701</v>
          </cell>
          <cell r="D40">
            <v>6.545125793438701</v>
          </cell>
          <cell r="E40">
            <v>6.545125793438701</v>
          </cell>
          <cell r="F40">
            <v>6.545125793438701</v>
          </cell>
          <cell r="G40">
            <v>6.545125793438701</v>
          </cell>
          <cell r="H40">
            <v>6.545125793438701</v>
          </cell>
        </row>
        <row r="41">
          <cell r="A41" t="str">
            <v>TFREXELCR-E</v>
          </cell>
          <cell r="C41">
            <v>18.700359409824859</v>
          </cell>
          <cell r="D41">
            <v>18.700359409824859</v>
          </cell>
          <cell r="E41">
            <v>18.700359409824859</v>
          </cell>
          <cell r="F41">
            <v>18.700359409824859</v>
          </cell>
          <cell r="G41">
            <v>18.700359409824859</v>
          </cell>
          <cell r="H41">
            <v>18.700359409824859</v>
          </cell>
        </row>
        <row r="42">
          <cell r="A42" t="str">
            <v>TFPIPELC-E</v>
          </cell>
          <cell r="C42">
            <v>1</v>
          </cell>
          <cell r="D42">
            <v>1</v>
          </cell>
          <cell r="E42">
            <v>1</v>
          </cell>
          <cell r="F42">
            <v>1</v>
          </cell>
          <cell r="G42">
            <v>1</v>
          </cell>
          <cell r="H42">
            <v>1</v>
          </cell>
        </row>
        <row r="43">
          <cell r="A43" t="str">
            <v>TAIJETOKE-E</v>
          </cell>
          <cell r="C43">
            <v>1</v>
          </cell>
          <cell r="D43">
            <v>1</v>
          </cell>
          <cell r="E43">
            <v>1</v>
          </cell>
          <cell r="F43">
            <v>1</v>
          </cell>
          <cell r="G43">
            <v>1</v>
          </cell>
          <cell r="H43">
            <v>1</v>
          </cell>
        </row>
        <row r="44">
          <cell r="A44" t="str">
            <v>TADJETOKE-E</v>
          </cell>
          <cell r="C44">
            <v>1</v>
          </cell>
          <cell r="D44">
            <v>1</v>
          </cell>
          <cell r="E44">
            <v>1</v>
          </cell>
          <cell r="F44">
            <v>1</v>
          </cell>
          <cell r="G44">
            <v>1</v>
          </cell>
          <cell r="H44">
            <v>1</v>
          </cell>
        </row>
        <row r="45">
          <cell r="A45" t="str">
            <v>TAOAGOAG-E</v>
          </cell>
          <cell r="C45">
            <v>1</v>
          </cell>
          <cell r="D45">
            <v>1</v>
          </cell>
          <cell r="E45">
            <v>1</v>
          </cell>
          <cell r="F45">
            <v>1</v>
          </cell>
          <cell r="G45">
            <v>1</v>
          </cell>
          <cell r="H45">
            <v>1</v>
          </cell>
        </row>
        <row r="46">
          <cell r="A46" t="str">
            <v>TSHFOOHF-E</v>
          </cell>
          <cell r="C46">
            <v>1</v>
          </cell>
          <cell r="D46">
            <v>1</v>
          </cell>
          <cell r="E46">
            <v>1</v>
          </cell>
          <cell r="F46">
            <v>1</v>
          </cell>
          <cell r="G46">
            <v>1</v>
          </cell>
          <cell r="H46">
            <v>1</v>
          </cell>
        </row>
        <row r="47">
          <cell r="A47"/>
          <cell r="C47"/>
          <cell r="D47"/>
          <cell r="E47"/>
          <cell r="F47"/>
          <cell r="G47"/>
          <cell r="H47"/>
        </row>
      </sheetData>
      <sheetData sheetId="5">
        <row r="3">
          <cell r="J3">
            <v>2012</v>
          </cell>
          <cell r="K3">
            <v>2017</v>
          </cell>
          <cell r="L3">
            <v>2020</v>
          </cell>
          <cell r="M3">
            <v>2030</v>
          </cell>
          <cell r="N3">
            <v>2040</v>
          </cell>
          <cell r="O3">
            <v>2050</v>
          </cell>
        </row>
        <row r="5">
          <cell r="A5" t="str">
            <v>TPPUBUSODS-E</v>
          </cell>
          <cell r="J5">
            <v>0.88827638645636497</v>
          </cell>
          <cell r="K5">
            <v>0.42532283795650333</v>
          </cell>
          <cell r="L5">
            <v>0.33706878442068333</v>
          </cell>
          <cell r="M5">
            <v>0.15171434294469499</v>
          </cell>
          <cell r="N5">
            <v>6.6477490540613332E-2</v>
          </cell>
          <cell r="O5">
            <v>2.8637041139474666E-2</v>
          </cell>
          <cell r="P5">
            <v>0.06</v>
          </cell>
        </row>
        <row r="6">
          <cell r="A6" t="str">
            <v>TPPRCARODS-E</v>
          </cell>
          <cell r="J6">
            <v>0.80979331641216445</v>
          </cell>
          <cell r="K6">
            <v>0.74353526714060447</v>
          </cell>
          <cell r="L6">
            <v>0.66511435113411999</v>
          </cell>
          <cell r="M6">
            <v>0.46809798221108001</v>
          </cell>
          <cell r="N6">
            <v>0.33651453387780311</v>
          </cell>
          <cell r="O6">
            <v>0.23993287366588575</v>
          </cell>
          <cell r="P6">
            <v>2.2499999999999999E-2</v>
          </cell>
        </row>
        <row r="7">
          <cell r="A7" t="str">
            <v>TPPRCAROGS-E</v>
          </cell>
          <cell r="J7">
            <v>0.67291870380176433</v>
          </cell>
          <cell r="K7">
            <v>0.66163272647026705</v>
          </cell>
          <cell r="L7">
            <v>0.60743419260068587</v>
          </cell>
          <cell r="M7">
            <v>0.45202810845206859</v>
          </cell>
          <cell r="N7">
            <v>0.32818308468972252</v>
          </cell>
          <cell r="O7">
            <v>0.23311309769944608</v>
          </cell>
          <cell r="P7">
            <v>1.9099999999999999E-2</v>
          </cell>
        </row>
        <row r="8">
          <cell r="A8" t="str">
            <v>TPPRCARODSH-E</v>
          </cell>
          <cell r="J8">
            <v>0.88363196312876213</v>
          </cell>
          <cell r="K8">
            <v>0.88363196312876213</v>
          </cell>
          <cell r="L8">
            <v>0.88363196312876213</v>
          </cell>
          <cell r="M8">
            <v>0.88363196312876213</v>
          </cell>
          <cell r="N8">
            <v>0.88363196312876213</v>
          </cell>
          <cell r="O8">
            <v>0.88363196312876213</v>
          </cell>
          <cell r="P8">
            <v>2.2499999999999999E-2</v>
          </cell>
        </row>
        <row r="9">
          <cell r="A9" t="str">
            <v>TPPRCAROGSH-E</v>
          </cell>
          <cell r="J9">
            <v>0.91726909547036506</v>
          </cell>
          <cell r="K9">
            <v>0.82349664056721994</v>
          </cell>
          <cell r="L9">
            <v>0.73189081439097003</v>
          </cell>
          <cell r="M9">
            <v>0.4986866685195705</v>
          </cell>
          <cell r="N9">
            <v>0.34446144946444851</v>
          </cell>
          <cell r="O9">
            <v>0.23965174138595799</v>
          </cell>
          <cell r="P9">
            <v>0.02</v>
          </cell>
        </row>
        <row r="10">
          <cell r="A10" t="str">
            <v>TPPRCARELC-E</v>
          </cell>
          <cell r="J10">
            <v>0.94926256479027993</v>
          </cell>
          <cell r="K10">
            <v>0.94119968232220452</v>
          </cell>
          <cell r="L10">
            <v>0.83485430700332441</v>
          </cell>
          <cell r="M10">
            <v>0.56053778220838668</v>
          </cell>
          <cell r="N10">
            <v>0.37737346804834621</v>
          </cell>
          <cell r="O10">
            <v>0.25478656503145514</v>
          </cell>
          <cell r="P10">
            <v>2.2499999999999999E-2</v>
          </cell>
        </row>
        <row r="11">
          <cell r="A11" t="str">
            <v>TFHCV1ODS-E</v>
          </cell>
          <cell r="J11">
            <v>0.56009323611191997</v>
          </cell>
          <cell r="K11">
            <v>0.52132555079955811</v>
          </cell>
          <cell r="L11">
            <v>0.40159996318135815</v>
          </cell>
          <cell r="M11">
            <v>0.19583030977494909</v>
          </cell>
          <cell r="N11">
            <v>9.3886552828972181E-2</v>
          </cell>
          <cell r="O11">
            <v>4.3288169440531814E-2</v>
          </cell>
          <cell r="P11">
            <v>5.5E-2</v>
          </cell>
        </row>
        <row r="12">
          <cell r="A12" t="str">
            <v>TFHCV1OGS-E</v>
          </cell>
          <cell r="J12">
            <v>0.35625583594078958</v>
          </cell>
          <cell r="K12">
            <v>0.28714519727711668</v>
          </cell>
          <cell r="L12">
            <v>0.26658873343393336</v>
          </cell>
          <cell r="M12">
            <v>0.21139702280495623</v>
          </cell>
          <cell r="N12">
            <v>0.13721446538439605</v>
          </cell>
          <cell r="O12">
            <v>7.793049325921042E-2</v>
          </cell>
          <cell r="P12">
            <v>4.8000000000000001E-2</v>
          </cell>
        </row>
        <row r="13">
          <cell r="A13" t="str">
            <v>TFHCV2ODS-E</v>
          </cell>
          <cell r="J13">
            <v>0.62700583558645617</v>
          </cell>
          <cell r="K13">
            <v>0.61587499088696462</v>
          </cell>
          <cell r="L13">
            <v>0.51036950900891664</v>
          </cell>
          <cell r="M13">
            <v>0.30439437240066253</v>
          </cell>
          <cell r="N13">
            <v>0.17798386054857626</v>
          </cell>
          <cell r="O13">
            <v>0.10044967598579917</v>
          </cell>
          <cell r="P13">
            <v>4.8000000000000001E-2</v>
          </cell>
        </row>
        <row r="14">
          <cell r="A14" t="str">
            <v>TFHCV3ODS-E</v>
          </cell>
          <cell r="J14">
            <v>0.64132385121707769</v>
          </cell>
          <cell r="K14">
            <v>0.61905509360465294</v>
          </cell>
          <cell r="L14">
            <v>0.51314017761153419</v>
          </cell>
          <cell r="M14">
            <v>0.30359332888790824</v>
          </cell>
          <cell r="N14">
            <v>0.17608516721814588</v>
          </cell>
          <cell r="O14">
            <v>9.9310384156559073E-2</v>
          </cell>
          <cell r="P14">
            <v>8.4999999999999992E-2</v>
          </cell>
        </row>
        <row r="15">
          <cell r="A15" t="str">
            <v>TFHCV4ODS-E</v>
          </cell>
          <cell r="J15">
            <v>0.63068374523080595</v>
          </cell>
          <cell r="K15">
            <v>0.58392433243894237</v>
          </cell>
          <cell r="L15">
            <v>0.48445079931167884</v>
          </cell>
          <cell r="M15">
            <v>0.28918714533314122</v>
          </cell>
          <cell r="N15">
            <v>0.17123597116851411</v>
          </cell>
          <cell r="O15">
            <v>9.8290097907955287E-2</v>
          </cell>
          <cell r="P15">
            <v>8.4999999999999992E-2</v>
          </cell>
        </row>
        <row r="16">
          <cell r="A16" t="str">
            <v>TFHCV5ODS-E</v>
          </cell>
          <cell r="J16">
            <v>0.51597059452028904</v>
          </cell>
          <cell r="K16">
            <v>0.49666887732492726</v>
          </cell>
          <cell r="L16">
            <v>0.37311307638456365</v>
          </cell>
          <cell r="M16">
            <v>0.16868898482817002</v>
          </cell>
          <cell r="N16">
            <v>7.4466556660093372E-2</v>
          </cell>
          <cell r="O16">
            <v>3.1359007692890725E-2</v>
          </cell>
          <cell r="P16">
            <v>0.11</v>
          </cell>
        </row>
        <row r="17">
          <cell r="A17" t="str">
            <v>TFHCV6ODS-E</v>
          </cell>
          <cell r="J17">
            <v>0.58647573032257538</v>
          </cell>
          <cell r="K17">
            <v>0.57071749864109456</v>
          </cell>
          <cell r="L17">
            <v>0.42687257745772184</v>
          </cell>
          <cell r="M17">
            <v>0.18441407223283274</v>
          </cell>
          <cell r="N17">
            <v>7.847209305148109E-2</v>
          </cell>
          <cell r="O17">
            <v>3.245534059134618E-2</v>
          </cell>
          <cell r="P17">
            <v>0.11</v>
          </cell>
        </row>
        <row r="18">
          <cell r="A18" t="str">
            <v>TFHCV7ODS-E</v>
          </cell>
          <cell r="J18">
            <v>0.57763557018440059</v>
          </cell>
          <cell r="K18">
            <v>0.5377339456060668</v>
          </cell>
          <cell r="L18">
            <v>0.40097131317651941</v>
          </cell>
          <cell r="M18">
            <v>0.17515402018271126</v>
          </cell>
          <cell r="N18">
            <v>7.6221070320468751E-2</v>
          </cell>
          <cell r="O18">
            <v>3.2008878592661688E-2</v>
          </cell>
          <cell r="P18">
            <v>0.16</v>
          </cell>
        </row>
        <row r="19">
          <cell r="A19" t="str">
            <v>TFHCV8ODS-E</v>
          </cell>
          <cell r="J19">
            <v>0.73099489924527494</v>
          </cell>
          <cell r="K19">
            <v>0.67700715609301876</v>
          </cell>
          <cell r="L19">
            <v>0.50325549202134368</v>
          </cell>
          <cell r="M19">
            <v>0.20297641470000749</v>
          </cell>
          <cell r="N19">
            <v>8.2989891398502505E-2</v>
          </cell>
          <cell r="O19">
            <v>3.3595291432656688E-2</v>
          </cell>
          <cell r="P19">
            <v>0.16</v>
          </cell>
        </row>
        <row r="20">
          <cell r="A20" t="str">
            <v>TFHCV9ODS-E</v>
          </cell>
          <cell r="J20">
            <v>0.5777921393774833</v>
          </cell>
          <cell r="K20">
            <v>0.3854073688786</v>
          </cell>
          <cell r="L20">
            <v>0.29044833906206613</v>
          </cell>
          <cell r="M20">
            <v>0.11637498864141833</v>
          </cell>
          <cell r="N20">
            <v>4.8355376514288277E-2</v>
          </cell>
          <cell r="O20">
            <v>2.1275930948661221E-2</v>
          </cell>
          <cell r="P20">
            <v>0.18</v>
          </cell>
        </row>
        <row r="21">
          <cell r="A21" t="str">
            <v>TFLCVODS-E</v>
          </cell>
          <cell r="J21">
            <v>0.61883734021029246</v>
          </cell>
          <cell r="K21">
            <v>0.61072362441792005</v>
          </cell>
          <cell r="L21">
            <v>0.49702259134711502</v>
          </cell>
          <cell r="M21">
            <v>0.245271759217078</v>
          </cell>
          <cell r="N21">
            <v>0.11943096485546</v>
          </cell>
          <cell r="O21">
            <v>5.7755469331756251E-2</v>
          </cell>
          <cell r="P21">
            <v>0.04</v>
          </cell>
        </row>
        <row r="22">
          <cell r="A22" t="str">
            <v>TFLCVOGS-E</v>
          </cell>
          <cell r="J22">
            <v>0.485257178653</v>
          </cell>
          <cell r="K22">
            <v>0.42864819562748002</v>
          </cell>
          <cell r="L22">
            <v>0.35290243326157716</v>
          </cell>
          <cell r="M22">
            <v>0.18153971605538344</v>
          </cell>
          <cell r="N22">
            <v>9.2245263435742852E-2</v>
          </cell>
          <cell r="O22">
            <v>4.6556841701712572E-2</v>
          </cell>
          <cell r="P22">
            <v>3.4999999999999996E-2</v>
          </cell>
        </row>
        <row r="23">
          <cell r="A23" t="str">
            <v>TPPUMBTODS-E</v>
          </cell>
          <cell r="J23">
            <v>0.8833665751852543</v>
          </cell>
          <cell r="K23">
            <v>0.87237008971306285</v>
          </cell>
          <cell r="L23">
            <v>0.77665376321311141</v>
          </cell>
          <cell r="M23">
            <v>0.52618992875458293</v>
          </cell>
          <cell r="N23">
            <v>0.35582807474639144</v>
          </cell>
          <cell r="O23">
            <v>0.24031541952783342</v>
          </cell>
          <cell r="P23">
            <v>3.4999999999999996E-2</v>
          </cell>
        </row>
        <row r="24">
          <cell r="A24" t="str">
            <v>TPPUMBTOGS-E</v>
          </cell>
          <cell r="J24">
            <v>0.59900025605954865</v>
          </cell>
          <cell r="K24">
            <v>0.57175281338925998</v>
          </cell>
          <cell r="L24">
            <v>0.51619355860632565</v>
          </cell>
          <cell r="M24">
            <v>0.36251688170644575</v>
          </cell>
          <cell r="N24">
            <v>0.25189181905238711</v>
          </cell>
          <cell r="O24">
            <v>0.17389158868771801</v>
          </cell>
          <cell r="P24">
            <v>3.4999999999999996E-2</v>
          </cell>
        </row>
        <row r="25">
          <cell r="A25" t="str">
            <v>TPPRSUVODS-E</v>
          </cell>
          <cell r="J25">
            <v>0.8502115413458875</v>
          </cell>
          <cell r="K25">
            <v>0.81296586924800007</v>
          </cell>
          <cell r="L25">
            <v>0.72582156475611248</v>
          </cell>
          <cell r="M25">
            <v>0.50210233773774582</v>
          </cell>
          <cell r="N25">
            <v>0.34928235472323665</v>
          </cell>
          <cell r="O25">
            <v>0.24228368202297001</v>
          </cell>
          <cell r="P25">
            <v>2.4E-2</v>
          </cell>
        </row>
        <row r="26">
          <cell r="A26" t="str">
            <v>TPPRSUVOGSH-E</v>
          </cell>
          <cell r="J26">
            <v>0.92710150927888757</v>
          </cell>
          <cell r="K26">
            <v>0.82589871967482076</v>
          </cell>
          <cell r="L26">
            <v>0.73361846696394994</v>
          </cell>
          <cell r="M26">
            <v>0.49931853558417916</v>
          </cell>
          <cell r="N26">
            <v>0.34695802486143246</v>
          </cell>
          <cell r="O26">
            <v>0.24494321746974082</v>
          </cell>
          <cell r="P26">
            <v>2.4E-2</v>
          </cell>
        </row>
        <row r="27">
          <cell r="A27" t="str">
            <v>TPPRSUVOGS-E</v>
          </cell>
          <cell r="J27">
            <v>0.83000396639528751</v>
          </cell>
          <cell r="K27">
            <v>0.80199601758945427</v>
          </cell>
          <cell r="L27">
            <v>0.71756577178729175</v>
          </cell>
          <cell r="M27">
            <v>0.49922132867142915</v>
          </cell>
          <cell r="N27">
            <v>0.34847106259439709</v>
          </cell>
          <cell r="O27">
            <v>0.24213269062880041</v>
          </cell>
          <cell r="P27">
            <v>2.4E-2</v>
          </cell>
        </row>
        <row r="28">
          <cell r="A28" t="str">
            <v>TPPRSUVELC-E</v>
          </cell>
          <cell r="J28">
            <v>0.88993365449088746</v>
          </cell>
          <cell r="K28">
            <v>0.88237470217706671</v>
          </cell>
          <cell r="L28">
            <v>0.78267591281561666</v>
          </cell>
          <cell r="M28">
            <v>0.52550417082036249</v>
          </cell>
          <cell r="N28">
            <v>0.35378762629532456</v>
          </cell>
          <cell r="O28">
            <v>0.23886240471698916</v>
          </cell>
          <cell r="P28">
            <v>2.4E-2</v>
          </cell>
        </row>
        <row r="29">
          <cell r="A29" t="str">
            <v>TPPRMOTOGS-E</v>
          </cell>
          <cell r="J29">
            <v>0.7634448111758867</v>
          </cell>
          <cell r="K29">
            <v>0.7411302039843134</v>
          </cell>
          <cell r="L29">
            <v>0.67310395943547341</v>
          </cell>
          <cell r="M29">
            <v>0.48967847643882134</v>
          </cell>
          <cell r="N29">
            <v>0.35215966369753199</v>
          </cell>
          <cell r="O29">
            <v>0.247618657994434</v>
          </cell>
          <cell r="P29">
            <v>1.4999999999999999E-2</v>
          </cell>
        </row>
        <row r="30">
          <cell r="A30" t="str">
            <v>TPPUMERELC-E</v>
          </cell>
          <cell r="J30">
            <v>1</v>
          </cell>
          <cell r="K30">
            <v>1</v>
          </cell>
          <cell r="L30">
            <v>1</v>
          </cell>
          <cell r="M30">
            <v>1</v>
          </cell>
          <cell r="N30">
            <v>1</v>
          </cell>
          <cell r="O30">
            <v>1</v>
          </cell>
          <cell r="P30">
            <v>1</v>
          </cell>
        </row>
        <row r="31">
          <cell r="A31" t="str">
            <v>TPPRSUVGAS-E</v>
          </cell>
          <cell r="J31">
            <v>1</v>
          </cell>
          <cell r="K31">
            <v>0</v>
          </cell>
          <cell r="L31">
            <v>0.86453294302156691</v>
          </cell>
          <cell r="M31">
            <v>0.60146860603516217</v>
          </cell>
          <cell r="N31">
            <v>0.41984264738855298</v>
          </cell>
          <cell r="O31">
            <v>0.29172473919658987</v>
          </cell>
          <cell r="P31">
            <v>1.9920095193486899E-2</v>
          </cell>
        </row>
        <row r="32">
          <cell r="A32" t="str">
            <v>TPPRCARGAS-E</v>
          </cell>
          <cell r="J32">
            <v>1</v>
          </cell>
          <cell r="K32">
            <v>0</v>
          </cell>
          <cell r="L32">
            <v>0.87947669903928882</v>
          </cell>
          <cell r="M32">
            <v>0.5904981435059814</v>
          </cell>
          <cell r="N32">
            <v>0.39754382195796284</v>
          </cell>
          <cell r="O32">
            <v>0.26840473277037419</v>
          </cell>
          <cell r="P32">
            <v>2.1358407707781298E-2</v>
          </cell>
        </row>
        <row r="33">
          <cell r="A33" t="str">
            <v>TPPUMBTGAS-E</v>
          </cell>
          <cell r="J33">
            <v>1</v>
          </cell>
          <cell r="K33">
            <v>0</v>
          </cell>
          <cell r="L33">
            <v>0.86175849406483251</v>
          </cell>
          <cell r="M33">
            <v>0.60520321659162479</v>
          </cell>
          <cell r="N33">
            <v>0.42052038626732363</v>
          </cell>
          <cell r="O33">
            <v>0.29030302896970861</v>
          </cell>
          <cell r="P33">
            <v>2.0965008962084201E-2</v>
          </cell>
        </row>
        <row r="34">
          <cell r="A34" t="str">
            <v>TPPUBUSGAS-E</v>
          </cell>
          <cell r="J34">
            <v>1</v>
          </cell>
          <cell r="K34">
            <v>0</v>
          </cell>
          <cell r="L34">
            <v>0.37946385782623887</v>
          </cell>
          <cell r="M34">
            <v>0.1707963256233061</v>
          </cell>
          <cell r="N34">
            <v>7.4838745636157833E-2</v>
          </cell>
          <cell r="O34">
            <v>3.2238885977502463E-2</v>
          </cell>
          <cell r="P34">
            <v>5.3296583187381896E-2</v>
          </cell>
        </row>
        <row r="35">
          <cell r="A35" t="str">
            <v>TFLCVGAS-E</v>
          </cell>
          <cell r="J35">
            <v>1</v>
          </cell>
          <cell r="K35">
            <v>0</v>
          </cell>
          <cell r="L35">
            <v>0.72724824852912129</v>
          </cell>
          <cell r="M35">
            <v>0.3741103151926779</v>
          </cell>
          <cell r="N35">
            <v>0.19009561835190497</v>
          </cell>
          <cell r="O35">
            <v>9.5942613009759634E-2</v>
          </cell>
          <cell r="P35">
            <v>1.6984001252854999E-2</v>
          </cell>
        </row>
        <row r="36">
          <cell r="A36" t="str">
            <v>TFHCV1GAS-E</v>
          </cell>
          <cell r="J36">
            <v>1</v>
          </cell>
          <cell r="K36">
            <v>0</v>
          </cell>
          <cell r="L36">
            <v>0.74830699328737704</v>
          </cell>
          <cell r="M36">
            <v>0.5933854311374448</v>
          </cell>
          <cell r="N36">
            <v>0.3851571021202902</v>
          </cell>
          <cell r="O36">
            <v>0.21874867832947617</v>
          </cell>
          <cell r="P36">
            <v>1.71002801251579E-2</v>
          </cell>
        </row>
        <row r="37">
          <cell r="A37" t="str">
            <v>TFRCOODS-E</v>
          </cell>
          <cell r="J37">
            <v>1</v>
          </cell>
          <cell r="K37">
            <v>1</v>
          </cell>
          <cell r="L37">
            <v>1</v>
          </cell>
          <cell r="M37">
            <v>1</v>
          </cell>
          <cell r="N37">
            <v>1</v>
          </cell>
          <cell r="O37">
            <v>1</v>
          </cell>
          <cell r="P37">
            <v>1</v>
          </cell>
        </row>
        <row r="38">
          <cell r="A38" t="str">
            <v>TFRCOELC-E</v>
          </cell>
          <cell r="J38">
            <v>1</v>
          </cell>
          <cell r="K38">
            <v>1</v>
          </cell>
          <cell r="L38">
            <v>1</v>
          </cell>
          <cell r="M38">
            <v>1</v>
          </cell>
          <cell r="N38">
            <v>1</v>
          </cell>
          <cell r="O38">
            <v>1</v>
          </cell>
          <cell r="P38">
            <v>1</v>
          </cell>
        </row>
        <row r="39">
          <cell r="A39" t="str">
            <v>TFROTODS-E</v>
          </cell>
          <cell r="J39">
            <v>1</v>
          </cell>
          <cell r="K39">
            <v>1</v>
          </cell>
          <cell r="L39">
            <v>1</v>
          </cell>
          <cell r="M39">
            <v>1</v>
          </cell>
          <cell r="N39">
            <v>1</v>
          </cell>
          <cell r="O39">
            <v>1</v>
          </cell>
          <cell r="P39">
            <v>1</v>
          </cell>
        </row>
        <row r="40">
          <cell r="A40" t="str">
            <v>TFROTELC-E</v>
          </cell>
          <cell r="J40">
            <v>1</v>
          </cell>
          <cell r="K40">
            <v>1</v>
          </cell>
          <cell r="L40">
            <v>1</v>
          </cell>
          <cell r="M40">
            <v>1</v>
          </cell>
          <cell r="N40">
            <v>1</v>
          </cell>
          <cell r="O40">
            <v>1</v>
          </cell>
          <cell r="P40">
            <v>1</v>
          </cell>
        </row>
        <row r="41">
          <cell r="A41" t="str">
            <v>TFREXODSR-E</v>
          </cell>
          <cell r="J41">
            <v>1</v>
          </cell>
          <cell r="K41">
            <v>1</v>
          </cell>
          <cell r="L41">
            <v>1</v>
          </cell>
          <cell r="M41">
            <v>1</v>
          </cell>
          <cell r="N41">
            <v>1</v>
          </cell>
          <cell r="O41">
            <v>1</v>
          </cell>
          <cell r="P41">
            <v>1</v>
          </cell>
        </row>
        <row r="42">
          <cell r="A42" t="str">
            <v>TFREXELCR-E</v>
          </cell>
          <cell r="J42">
            <v>1</v>
          </cell>
          <cell r="K42">
            <v>1</v>
          </cell>
          <cell r="L42">
            <v>1</v>
          </cell>
          <cell r="M42">
            <v>1</v>
          </cell>
          <cell r="N42">
            <v>1</v>
          </cell>
          <cell r="O42">
            <v>1</v>
          </cell>
          <cell r="P42">
            <v>1</v>
          </cell>
        </row>
        <row r="43">
          <cell r="A43" t="str">
            <v>TFPIPELC-E</v>
          </cell>
          <cell r="J43">
            <v>1</v>
          </cell>
          <cell r="K43">
            <v>1</v>
          </cell>
          <cell r="L43">
            <v>1</v>
          </cell>
          <cell r="M43">
            <v>1</v>
          </cell>
          <cell r="N43">
            <v>1</v>
          </cell>
          <cell r="O43">
            <v>1</v>
          </cell>
          <cell r="P43">
            <v>1</v>
          </cell>
        </row>
        <row r="44">
          <cell r="A44" t="str">
            <v>TAIJETOKE-E</v>
          </cell>
          <cell r="J44">
            <v>1</v>
          </cell>
          <cell r="K44">
            <v>1</v>
          </cell>
          <cell r="L44">
            <v>1</v>
          </cell>
          <cell r="M44">
            <v>1</v>
          </cell>
          <cell r="N44">
            <v>1</v>
          </cell>
          <cell r="O44">
            <v>1</v>
          </cell>
          <cell r="P44">
            <v>1</v>
          </cell>
        </row>
        <row r="45">
          <cell r="A45" t="str">
            <v>TADJETOKE-E</v>
          </cell>
          <cell r="J45">
            <v>1</v>
          </cell>
          <cell r="K45">
            <v>1</v>
          </cell>
          <cell r="L45">
            <v>1</v>
          </cell>
          <cell r="M45">
            <v>1</v>
          </cell>
          <cell r="N45">
            <v>1</v>
          </cell>
          <cell r="O45">
            <v>1</v>
          </cell>
          <cell r="P45">
            <v>1</v>
          </cell>
        </row>
        <row r="46">
          <cell r="A46" t="str">
            <v>TAOAGOAG-E</v>
          </cell>
          <cell r="J46">
            <v>1</v>
          </cell>
          <cell r="K46">
            <v>1</v>
          </cell>
          <cell r="L46">
            <v>1</v>
          </cell>
          <cell r="M46">
            <v>1</v>
          </cell>
          <cell r="N46">
            <v>1</v>
          </cell>
          <cell r="O46">
            <v>1</v>
          </cell>
          <cell r="P46">
            <v>1</v>
          </cell>
        </row>
        <row r="47">
          <cell r="A47" t="str">
            <v>TSHFOOHF-E</v>
          </cell>
          <cell r="J47">
            <v>1</v>
          </cell>
          <cell r="K47">
            <v>1</v>
          </cell>
          <cell r="L47">
            <v>1</v>
          </cell>
          <cell r="M47">
            <v>1</v>
          </cell>
          <cell r="N47">
            <v>1</v>
          </cell>
          <cell r="O47">
            <v>1</v>
          </cell>
          <cell r="P47">
            <v>1</v>
          </cell>
        </row>
        <row r="48">
          <cell r="A48"/>
          <cell r="J48"/>
          <cell r="K48"/>
          <cell r="L48"/>
          <cell r="M48"/>
          <cell r="N48"/>
          <cell r="O48"/>
          <cell r="P48"/>
        </row>
      </sheetData>
      <sheetData sheetId="6">
        <row r="3">
          <cell r="M3">
            <v>2006</v>
          </cell>
          <cell r="N3">
            <v>2010</v>
          </cell>
          <cell r="O3">
            <v>2012</v>
          </cell>
          <cell r="P3">
            <v>2017</v>
          </cell>
          <cell r="Q3">
            <v>2020</v>
          </cell>
          <cell r="R3">
            <v>2030</v>
          </cell>
          <cell r="S3">
            <v>2040</v>
          </cell>
          <cell r="T3">
            <v>2050</v>
          </cell>
        </row>
        <row r="5">
          <cell r="A5" t="str">
            <v>TPPUBUSODS-E</v>
          </cell>
          <cell r="M5">
            <v>21.5647607151075</v>
          </cell>
          <cell r="N5">
            <v>26.527095234144401</v>
          </cell>
          <cell r="O5">
            <v>28.126256176370301</v>
          </cell>
          <cell r="P5">
            <v>25.1952522652347</v>
          </cell>
          <cell r="Q5">
            <v>23.083651962362801</v>
          </cell>
          <cell r="R5">
            <v>15.5161252325553</v>
          </cell>
          <cell r="S5">
            <v>0</v>
          </cell>
          <cell r="T5">
            <v>0</v>
          </cell>
        </row>
        <row r="6">
          <cell r="A6" t="str">
            <v>TPPRCARODS-E</v>
          </cell>
          <cell r="M6">
            <v>147.69326759927199</v>
          </cell>
          <cell r="N6">
            <v>228.12543892094001</v>
          </cell>
          <cell r="O6">
            <v>283.266255294215</v>
          </cell>
          <cell r="P6">
            <v>387.58646835565298</v>
          </cell>
          <cell r="Q6">
            <v>369.96010154816298</v>
          </cell>
          <cell r="R6">
            <v>243.13201263550999</v>
          </cell>
          <cell r="S6">
            <v>0</v>
          </cell>
          <cell r="T6">
            <v>0</v>
          </cell>
        </row>
        <row r="7">
          <cell r="A7" t="str">
            <v>TPPRCAROGS-E</v>
          </cell>
          <cell r="M7">
            <v>0.37938792131855897</v>
          </cell>
          <cell r="N7">
            <v>5147.4548255316504</v>
          </cell>
          <cell r="O7">
            <v>5479.0960107301498</v>
          </cell>
          <cell r="P7">
            <v>5902.05729724512</v>
          </cell>
          <cell r="Q7">
            <v>5259.5090745597199</v>
          </cell>
          <cell r="R7">
            <v>2963.6268741726399</v>
          </cell>
          <cell r="S7">
            <v>0</v>
          </cell>
          <cell r="T7">
            <v>0</v>
          </cell>
        </row>
        <row r="8">
          <cell r="A8" t="str">
            <v>TPPRCARODSH-E</v>
          </cell>
          <cell r="M8">
            <v>0</v>
          </cell>
          <cell r="N8">
            <v>0</v>
          </cell>
          <cell r="O8">
            <v>0</v>
          </cell>
          <cell r="P8">
            <v>0</v>
          </cell>
          <cell r="Q8">
            <v>0</v>
          </cell>
          <cell r="R8">
            <v>0</v>
          </cell>
          <cell r="S8">
            <v>0</v>
          </cell>
          <cell r="T8">
            <v>0</v>
          </cell>
        </row>
        <row r="9">
          <cell r="A9" t="str">
            <v>TPPRCAROGSH-E</v>
          </cell>
          <cell r="M9">
            <v>0.30999004554632797</v>
          </cell>
          <cell r="N9">
            <v>1.11288673921603</v>
          </cell>
          <cell r="O9">
            <v>2.3087301118619199</v>
          </cell>
          <cell r="P9">
            <v>4.1935845862025003</v>
          </cell>
          <cell r="Q9">
            <v>4.11763972020184</v>
          </cell>
          <cell r="R9">
            <v>3.1386913845266902</v>
          </cell>
          <cell r="S9">
            <v>0</v>
          </cell>
          <cell r="T9">
            <v>0</v>
          </cell>
        </row>
        <row r="10">
          <cell r="A10" t="str">
            <v>TPPRCARELC-E</v>
          </cell>
          <cell r="M10">
            <v>0</v>
          </cell>
          <cell r="N10">
            <v>0</v>
          </cell>
          <cell r="O10">
            <v>0</v>
          </cell>
          <cell r="P10">
            <v>0.33192828574538003</v>
          </cell>
          <cell r="Q10">
            <v>0.33103303930312999</v>
          </cell>
          <cell r="R10">
            <v>0.29041173582530899</v>
          </cell>
          <cell r="S10">
            <v>0</v>
          </cell>
          <cell r="T10">
            <v>0</v>
          </cell>
        </row>
        <row r="11">
          <cell r="A11" t="str">
            <v>TFHCV1ODS-E</v>
          </cell>
          <cell r="M11">
            <v>89.798500891253894</v>
          </cell>
          <cell r="N11">
            <v>111.125617282167</v>
          </cell>
          <cell r="O11">
            <v>116.591505230221</v>
          </cell>
          <cell r="P11">
            <v>126.227705550552</v>
          </cell>
          <cell r="Q11">
            <v>128.85669585561601</v>
          </cell>
          <cell r="R11">
            <v>65.904742901988897</v>
          </cell>
          <cell r="S11">
            <v>0</v>
          </cell>
          <cell r="T11">
            <v>0</v>
          </cell>
        </row>
        <row r="12">
          <cell r="A12" t="str">
            <v>TFHCV1OGS-E</v>
          </cell>
          <cell r="M12">
            <v>6.3192945107162597</v>
          </cell>
          <cell r="N12">
            <v>4.5665100945894901</v>
          </cell>
          <cell r="O12">
            <v>4.0661003460126599</v>
          </cell>
          <cell r="P12">
            <v>2.3335554859995198</v>
          </cell>
          <cell r="Q12">
            <v>1.87929418014928</v>
          </cell>
          <cell r="R12">
            <v>0.35865569412206</v>
          </cell>
          <cell r="S12">
            <v>0</v>
          </cell>
          <cell r="T12">
            <v>0</v>
          </cell>
        </row>
        <row r="13">
          <cell r="A13" t="str">
            <v>TFHCV2ODS-E</v>
          </cell>
          <cell r="M13">
            <v>23.060160967095001</v>
          </cell>
          <cell r="N13">
            <v>27.614813403739699</v>
          </cell>
          <cell r="O13">
            <v>30.2417068509633</v>
          </cell>
          <cell r="P13">
            <v>33.929342714939402</v>
          </cell>
          <cell r="Q13">
            <v>34.442063385055299</v>
          </cell>
          <cell r="R13">
            <v>18.009652806729299</v>
          </cell>
          <cell r="S13">
            <v>0</v>
          </cell>
          <cell r="T13">
            <v>0</v>
          </cell>
        </row>
        <row r="14">
          <cell r="A14" t="str">
            <v>TFHCV3ODS-E</v>
          </cell>
          <cell r="M14">
            <v>39.206942001051502</v>
          </cell>
          <cell r="N14">
            <v>49.889561280829902</v>
          </cell>
          <cell r="O14">
            <v>55.810791547743598</v>
          </cell>
          <cell r="P14">
            <v>62.7019053147121</v>
          </cell>
          <cell r="Q14">
            <v>63.616850519339202</v>
          </cell>
          <cell r="R14">
            <v>33.590395028435502</v>
          </cell>
          <cell r="S14">
            <v>0</v>
          </cell>
          <cell r="T14">
            <v>0</v>
          </cell>
        </row>
        <row r="15">
          <cell r="A15" t="str">
            <v>TFHCV4ODS-E</v>
          </cell>
          <cell r="M15">
            <v>9.0084805137687098</v>
          </cell>
          <cell r="N15">
            <v>10.9402464363147</v>
          </cell>
          <cell r="O15">
            <v>11.967646306107399</v>
          </cell>
          <cell r="P15">
            <v>12.056497449546701</v>
          </cell>
          <cell r="Q15">
            <v>12.2894367454119</v>
          </cell>
          <cell r="R15">
            <v>6.0737110439854698</v>
          </cell>
          <cell r="S15">
            <v>0</v>
          </cell>
          <cell r="T15">
            <v>0</v>
          </cell>
        </row>
        <row r="16">
          <cell r="A16" t="str">
            <v>TFHCV5ODS-E</v>
          </cell>
          <cell r="M16">
            <v>3.8036597127624399</v>
          </cell>
          <cell r="N16">
            <v>4.56806511304314</v>
          </cell>
          <cell r="O16">
            <v>4.9567281421779201</v>
          </cell>
          <cell r="P16">
            <v>5.4543032895166199</v>
          </cell>
          <cell r="Q16">
            <v>5.5364181807125403</v>
          </cell>
          <cell r="R16">
            <v>2.8461230389806702</v>
          </cell>
          <cell r="S16">
            <v>0</v>
          </cell>
          <cell r="T16">
            <v>0</v>
          </cell>
        </row>
        <row r="17">
          <cell r="A17" t="str">
            <v>TFHCV6ODS-E</v>
          </cell>
          <cell r="M17">
            <v>47.831031923368201</v>
          </cell>
          <cell r="N17">
            <v>66.863056666324994</v>
          </cell>
          <cell r="O17">
            <v>79.894521429911194</v>
          </cell>
          <cell r="P17">
            <v>106.12140587784999</v>
          </cell>
          <cell r="Q17">
            <v>107.749502594289</v>
          </cell>
          <cell r="R17">
            <v>61.863142535247199</v>
          </cell>
          <cell r="S17">
            <v>0</v>
          </cell>
          <cell r="T17">
            <v>0</v>
          </cell>
        </row>
        <row r="18">
          <cell r="A18" t="str">
            <v>TFHCV7ODS-E</v>
          </cell>
          <cell r="M18">
            <v>13.6448452830588</v>
          </cell>
          <cell r="N18">
            <v>18.295207237743401</v>
          </cell>
          <cell r="O18">
            <v>21.382011031422401</v>
          </cell>
          <cell r="P18">
            <v>25.874280497520701</v>
          </cell>
          <cell r="Q18">
            <v>26.4741570116765</v>
          </cell>
          <cell r="R18">
            <v>14.5024186740093</v>
          </cell>
          <cell r="S18">
            <v>0</v>
          </cell>
          <cell r="T18">
            <v>0</v>
          </cell>
        </row>
        <row r="19">
          <cell r="A19" t="str">
            <v>TFHCV8ODS-E</v>
          </cell>
          <cell r="M19">
            <v>0.14983068014539899</v>
          </cell>
          <cell r="N19">
            <v>0.418026531752829</v>
          </cell>
          <cell r="O19">
            <v>0.60449827068682804</v>
          </cell>
          <cell r="P19">
            <v>1.1282532037320601</v>
          </cell>
          <cell r="Q19">
            <v>1.1464635873024001</v>
          </cell>
          <cell r="R19">
            <v>0.75373569008702301</v>
          </cell>
          <cell r="S19">
            <v>0</v>
          </cell>
          <cell r="T19">
            <v>0</v>
          </cell>
        </row>
        <row r="20">
          <cell r="A20" t="str">
            <v>TFHCV9ODS-E</v>
          </cell>
          <cell r="M20">
            <v>0.31599901474388598</v>
          </cell>
          <cell r="N20">
            <v>0.494346589440812</v>
          </cell>
          <cell r="O20">
            <v>0.50786196813704299</v>
          </cell>
          <cell r="P20">
            <v>0.42396796687300597</v>
          </cell>
          <cell r="Q20">
            <v>0.44340231551193199</v>
          </cell>
          <cell r="R20">
            <v>0.19789597907123299</v>
          </cell>
          <cell r="S20">
            <v>0</v>
          </cell>
          <cell r="T20">
            <v>0</v>
          </cell>
        </row>
        <row r="21">
          <cell r="A21" t="str">
            <v>TFLCVODS-E</v>
          </cell>
          <cell r="M21">
            <v>580.46073123639201</v>
          </cell>
          <cell r="N21">
            <v>748.39295261018594</v>
          </cell>
          <cell r="O21">
            <v>845.35637012110999</v>
          </cell>
          <cell r="P21">
            <v>1151.5302002553699</v>
          </cell>
          <cell r="Q21">
            <v>1024.6176041897099</v>
          </cell>
          <cell r="R21">
            <v>609.23289367381597</v>
          </cell>
          <cell r="S21">
            <v>0</v>
          </cell>
          <cell r="T21">
            <v>0</v>
          </cell>
        </row>
        <row r="22">
          <cell r="A22" t="str">
            <v>TFLCVOGS-E</v>
          </cell>
          <cell r="M22">
            <v>1353.4227402310701</v>
          </cell>
          <cell r="N22">
            <v>1394.10583631081</v>
          </cell>
          <cell r="O22">
            <v>1329.80249560937</v>
          </cell>
          <cell r="P22">
            <v>1296.7112413349801</v>
          </cell>
          <cell r="Q22">
            <v>1149.83638939547</v>
          </cell>
          <cell r="R22">
            <v>721.33104862899097</v>
          </cell>
          <cell r="S22">
            <v>0</v>
          </cell>
          <cell r="T22">
            <v>0</v>
          </cell>
        </row>
        <row r="23">
          <cell r="A23" t="str">
            <v>TPPUMBTODS-E</v>
          </cell>
          <cell r="M23">
            <v>4.4221049327286899</v>
          </cell>
          <cell r="N23">
            <v>13.999249671464099</v>
          </cell>
          <cell r="O23">
            <v>22.300251189988199</v>
          </cell>
          <cell r="P23">
            <v>69.8415661662536</v>
          </cell>
          <cell r="Q23">
            <v>66.6909703537209</v>
          </cell>
          <cell r="R23">
            <v>48.344847105240099</v>
          </cell>
          <cell r="S23">
            <v>0</v>
          </cell>
          <cell r="T23">
            <v>0</v>
          </cell>
        </row>
        <row r="24">
          <cell r="A24" t="str">
            <v>TPPUMBTOGS-E</v>
          </cell>
          <cell r="M24">
            <v>278.31356741260902</v>
          </cell>
          <cell r="N24">
            <v>278.951860645625</v>
          </cell>
          <cell r="O24">
            <v>261.56646550238003</v>
          </cell>
          <cell r="P24">
            <v>253.885003628612</v>
          </cell>
          <cell r="Q24">
            <v>223.81698991359701</v>
          </cell>
          <cell r="R24">
            <v>136.09445444360699</v>
          </cell>
          <cell r="S24">
            <v>0</v>
          </cell>
          <cell r="T24">
            <v>0</v>
          </cell>
        </row>
        <row r="25">
          <cell r="A25" t="str">
            <v>TPPRSUVODS-E</v>
          </cell>
          <cell r="M25">
            <v>76.403942902944607</v>
          </cell>
          <cell r="N25">
            <v>167.10759375124499</v>
          </cell>
          <cell r="O25">
            <v>231.73880616391401</v>
          </cell>
          <cell r="P25">
            <v>439.31608188194201</v>
          </cell>
          <cell r="Q25">
            <v>423.99215654706899</v>
          </cell>
          <cell r="R25">
            <v>305.37671951021599</v>
          </cell>
          <cell r="S25">
            <v>0</v>
          </cell>
          <cell r="T25">
            <v>0</v>
          </cell>
        </row>
        <row r="26">
          <cell r="A26" t="str">
            <v>TPPRSUVOGSH-E</v>
          </cell>
          <cell r="M26">
            <v>0</v>
          </cell>
          <cell r="N26">
            <v>0.33093869359735401</v>
          </cell>
          <cell r="O26">
            <v>0.52182555211336101</v>
          </cell>
          <cell r="P26">
            <v>0.80312517525851201</v>
          </cell>
          <cell r="Q26">
            <v>0.78934356053377797</v>
          </cell>
          <cell r="R26">
            <v>0.60265953422099805</v>
          </cell>
          <cell r="S26">
            <v>0</v>
          </cell>
          <cell r="T26">
            <v>0</v>
          </cell>
        </row>
        <row r="27">
          <cell r="A27" t="str">
            <v>TPPRSUVOGS-E</v>
          </cell>
          <cell r="M27">
            <v>107.841116769957</v>
          </cell>
          <cell r="N27">
            <v>203.048420366665</v>
          </cell>
          <cell r="O27">
            <v>269.85381765315498</v>
          </cell>
          <cell r="P27">
            <v>476.243900144387</v>
          </cell>
          <cell r="Q27">
            <v>456.37773432999398</v>
          </cell>
          <cell r="R27">
            <v>321.47565435311702</v>
          </cell>
          <cell r="S27">
            <v>0</v>
          </cell>
          <cell r="T27">
            <v>0</v>
          </cell>
        </row>
        <row r="28">
          <cell r="A28" t="str">
            <v>TPPRSUVELC-E</v>
          </cell>
          <cell r="M28">
            <v>0</v>
          </cell>
          <cell r="N28">
            <v>0</v>
          </cell>
          <cell r="O28">
            <v>0</v>
          </cell>
          <cell r="P28">
            <v>0</v>
          </cell>
          <cell r="Q28">
            <v>0</v>
          </cell>
          <cell r="R28">
            <v>0</v>
          </cell>
          <cell r="S28">
            <v>0</v>
          </cell>
          <cell r="T28">
            <v>0</v>
          </cell>
        </row>
        <row r="29">
          <cell r="A29" t="str">
            <v>TPPRMOTOGS-E</v>
          </cell>
          <cell r="M29">
            <v>281.57429249367499</v>
          </cell>
          <cell r="N29">
            <v>372.534035064303</v>
          </cell>
          <cell r="O29">
            <v>418.16208070848103</v>
          </cell>
          <cell r="P29">
            <v>532.77109028187397</v>
          </cell>
          <cell r="Q29">
            <v>480.39595774755702</v>
          </cell>
          <cell r="R29">
            <v>247.18185019438701</v>
          </cell>
          <cell r="S29">
            <v>0</v>
          </cell>
          <cell r="T29">
            <v>0</v>
          </cell>
        </row>
        <row r="30">
          <cell r="A30" t="str">
            <v>TPPUMERELC-E</v>
          </cell>
          <cell r="M30">
            <v>15.8</v>
          </cell>
          <cell r="N30">
            <v>15.8</v>
          </cell>
          <cell r="O30">
            <v>15.8</v>
          </cell>
          <cell r="P30">
            <v>15.8</v>
          </cell>
          <cell r="Q30">
            <v>15.8</v>
          </cell>
          <cell r="R30">
            <v>12.64</v>
          </cell>
          <cell r="S30">
            <v>0</v>
          </cell>
          <cell r="T30">
            <v>0</v>
          </cell>
        </row>
        <row r="31">
          <cell r="A31" t="str">
            <v>TPPRSUVGAS-E</v>
          </cell>
          <cell r="M31">
            <v>2.15682233539914</v>
          </cell>
          <cell r="N31">
            <v>10.15242101833325</v>
          </cell>
          <cell r="O31">
            <v>13.492690882657749</v>
          </cell>
          <cell r="P31">
            <v>23.812195007219351</v>
          </cell>
          <cell r="Q31">
            <v>22.818886716499701</v>
          </cell>
          <cell r="R31">
            <v>16.073782717655853</v>
          </cell>
          <cell r="S31">
            <v>0</v>
          </cell>
          <cell r="T31">
            <v>0</v>
          </cell>
        </row>
        <row r="32">
          <cell r="A32" t="str">
            <v>TPPRCARGAS-E</v>
          </cell>
          <cell r="M32">
            <v>0</v>
          </cell>
          <cell r="N32">
            <v>0</v>
          </cell>
          <cell r="O32">
            <v>0</v>
          </cell>
          <cell r="P32">
            <v>3.3192828574538001E-2</v>
          </cell>
          <cell r="Q32">
            <v>3.3103303930313001E-2</v>
          </cell>
          <cell r="R32">
            <v>2.9041173582530902E-2</v>
          </cell>
          <cell r="S32">
            <v>0</v>
          </cell>
          <cell r="T32">
            <v>0</v>
          </cell>
        </row>
        <row r="33">
          <cell r="A33" t="str">
            <v>TPPUMBTGAS-E</v>
          </cell>
          <cell r="M33">
            <v>2.7831356741260902</v>
          </cell>
          <cell r="N33">
            <v>2.7895186064562503</v>
          </cell>
          <cell r="O33">
            <v>2.6156646550238003</v>
          </cell>
          <cell r="P33">
            <v>2.5388500362861199</v>
          </cell>
          <cell r="Q33">
            <v>2.2381698991359702</v>
          </cell>
          <cell r="R33">
            <v>1.3609445444360699</v>
          </cell>
          <cell r="S33">
            <v>0</v>
          </cell>
          <cell r="T33">
            <v>0</v>
          </cell>
        </row>
        <row r="34">
          <cell r="A34" t="str">
            <v>TPPUBUSGAS-E</v>
          </cell>
          <cell r="M34">
            <v>0.215647607151075</v>
          </cell>
          <cell r="N34">
            <v>0.26527095234144399</v>
          </cell>
          <cell r="O34">
            <v>0.28126256176370301</v>
          </cell>
          <cell r="P34">
            <v>0.25195252265234702</v>
          </cell>
          <cell r="Q34">
            <v>0.230836519623628</v>
          </cell>
          <cell r="R34">
            <v>0.155161252325553</v>
          </cell>
          <cell r="S34">
            <v>0</v>
          </cell>
          <cell r="T34">
            <v>0</v>
          </cell>
        </row>
        <row r="35">
          <cell r="A35" t="str">
            <v>TFLCVGAS-E</v>
          </cell>
          <cell r="M35">
            <v>2.7068454804621402</v>
          </cell>
          <cell r="N35">
            <v>13.9410583631081</v>
          </cell>
          <cell r="O35">
            <v>13.2980249560937</v>
          </cell>
          <cell r="P35">
            <v>12.967112413349801</v>
          </cell>
          <cell r="Q35">
            <v>11.4983638939547</v>
          </cell>
          <cell r="R35">
            <v>7.2133104862899096</v>
          </cell>
          <cell r="S35">
            <v>0</v>
          </cell>
          <cell r="T35">
            <v>0</v>
          </cell>
        </row>
        <row r="36">
          <cell r="A36" t="str">
            <v>TFHCV1GAS-E</v>
          </cell>
          <cell r="M36">
            <v>0.31596472553581301</v>
          </cell>
          <cell r="N36">
            <v>0.22832550472947452</v>
          </cell>
          <cell r="O36">
            <v>0.203305017300633</v>
          </cell>
          <cell r="P36">
            <v>0.116677774299976</v>
          </cell>
          <cell r="Q36">
            <v>9.3964709007464009E-2</v>
          </cell>
          <cell r="R36">
            <v>1.7932784706102999E-2</v>
          </cell>
          <cell r="S36">
            <v>0</v>
          </cell>
          <cell r="T36">
            <v>0</v>
          </cell>
        </row>
        <row r="37">
          <cell r="A37" t="str">
            <v>TFRCOODS-E</v>
          </cell>
          <cell r="M37">
            <v>7.1799653230224925</v>
          </cell>
          <cell r="N37">
            <v>7.1799653230224925</v>
          </cell>
          <cell r="O37">
            <v>7.1799653230224925</v>
          </cell>
          <cell r="P37">
            <v>7.1799653230224925</v>
          </cell>
          <cell r="Q37">
            <v>7.1799653230224925</v>
          </cell>
          <cell r="R37">
            <v>7.1799653230224925</v>
          </cell>
          <cell r="S37">
            <v>0</v>
          </cell>
          <cell r="T37">
            <v>0</v>
          </cell>
        </row>
        <row r="38">
          <cell r="A38" t="str">
            <v>TFRCOELC-E</v>
          </cell>
          <cell r="M38">
            <v>14.820034676977507</v>
          </cell>
          <cell r="N38">
            <v>14.820034676977507</v>
          </cell>
          <cell r="O38">
            <v>14.820034676977507</v>
          </cell>
          <cell r="P38">
            <v>14.820034676977507</v>
          </cell>
          <cell r="Q38">
            <v>14.820034676977507</v>
          </cell>
          <cell r="R38">
            <v>14.820034676977507</v>
          </cell>
          <cell r="S38">
            <v>14.820034676977507</v>
          </cell>
          <cell r="T38">
            <v>14.820034676977507</v>
          </cell>
        </row>
        <row r="39">
          <cell r="A39" t="str">
            <v>TFROTODS-E</v>
          </cell>
          <cell r="M39">
            <v>5.3170222384328483</v>
          </cell>
          <cell r="N39">
            <v>5.3170222384328483</v>
          </cell>
          <cell r="O39">
            <v>5.3170222384328483</v>
          </cell>
          <cell r="P39">
            <v>5.3170222384328483</v>
          </cell>
          <cell r="Q39">
            <v>5.3170222384328483</v>
          </cell>
          <cell r="R39">
            <v>5.3170222384328483</v>
          </cell>
          <cell r="S39">
            <v>0</v>
          </cell>
          <cell r="T39">
            <v>0</v>
          </cell>
        </row>
        <row r="40">
          <cell r="A40" t="str">
            <v>TFROTELC-E</v>
          </cell>
          <cell r="M40">
            <v>21.825483275883826</v>
          </cell>
          <cell r="N40">
            <v>21.825483275883826</v>
          </cell>
          <cell r="O40">
            <v>21.825483275883826</v>
          </cell>
          <cell r="P40">
            <v>21.825483275883826</v>
          </cell>
          <cell r="Q40">
            <v>21.825483275883826</v>
          </cell>
          <cell r="R40">
            <v>21.825483275883826</v>
          </cell>
          <cell r="S40">
            <v>21.825483275883826</v>
          </cell>
          <cell r="T40">
            <v>21.825483275883826</v>
          </cell>
        </row>
        <row r="41">
          <cell r="A41" t="str">
            <v>TFREXODSR-E</v>
          </cell>
          <cell r="M41">
            <v>17.370351535916075</v>
          </cell>
          <cell r="N41">
            <v>17.370351535916075</v>
          </cell>
          <cell r="O41">
            <v>17.370351535916075</v>
          </cell>
          <cell r="P41">
            <v>17.370351535916075</v>
          </cell>
          <cell r="Q41">
            <v>17.370351535916075</v>
          </cell>
          <cell r="R41">
            <v>17.370351535916075</v>
          </cell>
          <cell r="S41">
            <v>0</v>
          </cell>
          <cell r="T41">
            <v>0</v>
          </cell>
        </row>
        <row r="42">
          <cell r="A42" t="str">
            <v>TFREXELCR-E</v>
          </cell>
          <cell r="M42">
            <v>71.302375642329608</v>
          </cell>
          <cell r="N42">
            <v>71.302375642329608</v>
          </cell>
          <cell r="O42">
            <v>71.302375642329608</v>
          </cell>
          <cell r="P42">
            <v>71.302375642329608</v>
          </cell>
          <cell r="Q42">
            <v>71.302375642329608</v>
          </cell>
          <cell r="R42">
            <v>71.302375642329608</v>
          </cell>
          <cell r="S42">
            <v>71.302375642329608</v>
          </cell>
          <cell r="T42">
            <v>71.302375642329608</v>
          </cell>
        </row>
        <row r="43">
          <cell r="A43" t="str">
            <v>TFPIPELC-E</v>
          </cell>
          <cell r="M43">
            <v>1.641128256</v>
          </cell>
          <cell r="N43">
            <v>1.641128256</v>
          </cell>
          <cell r="O43">
            <v>1.641128256</v>
          </cell>
          <cell r="P43">
            <v>1.641128256</v>
          </cell>
          <cell r="Q43">
            <v>1.641128256</v>
          </cell>
          <cell r="R43">
            <v>1.641128256</v>
          </cell>
          <cell r="S43">
            <v>1.641128256</v>
          </cell>
          <cell r="T43">
            <v>1.641128256</v>
          </cell>
        </row>
        <row r="44">
          <cell r="A44" t="str">
            <v>TAIJETOKE-E</v>
          </cell>
          <cell r="M44">
            <v>68.938999999999993</v>
          </cell>
          <cell r="N44">
            <v>68.938999999999993</v>
          </cell>
          <cell r="O44">
            <v>68.938999999999993</v>
          </cell>
          <cell r="P44">
            <v>68.938999999999993</v>
          </cell>
          <cell r="Q44">
            <v>68.938999999999993</v>
          </cell>
          <cell r="R44">
            <v>68.938999999999993</v>
          </cell>
          <cell r="S44">
            <v>0</v>
          </cell>
          <cell r="T44">
            <v>0</v>
          </cell>
        </row>
        <row r="45">
          <cell r="A45" t="str">
            <v>TADJETOKE-E</v>
          </cell>
          <cell r="M45">
            <v>20.483000000000001</v>
          </cell>
          <cell r="N45">
            <v>20.483000000000001</v>
          </cell>
          <cell r="O45">
            <v>20.483000000000001</v>
          </cell>
          <cell r="P45">
            <v>20.483000000000001</v>
          </cell>
          <cell r="Q45">
            <v>20.483000000000001</v>
          </cell>
          <cell r="R45">
            <v>20.483000000000001</v>
          </cell>
          <cell r="S45">
            <v>0</v>
          </cell>
          <cell r="T45">
            <v>0</v>
          </cell>
        </row>
        <row r="46">
          <cell r="A46" t="str">
            <v>TAOAGOAG-E</v>
          </cell>
          <cell r="M46">
            <v>0.82200000000000006</v>
          </cell>
          <cell r="N46">
            <v>0.82200000000000006</v>
          </cell>
          <cell r="O46">
            <v>0.82200000000000006</v>
          </cell>
          <cell r="P46">
            <v>0.82200000000000006</v>
          </cell>
          <cell r="Q46">
            <v>0.82200000000000006</v>
          </cell>
          <cell r="R46">
            <v>0.82200000000000006</v>
          </cell>
          <cell r="S46">
            <v>0</v>
          </cell>
          <cell r="T46">
            <v>0</v>
          </cell>
        </row>
        <row r="47">
          <cell r="A47" t="str">
            <v>TSHFOOHF-E</v>
          </cell>
          <cell r="M47">
            <v>2.77</v>
          </cell>
          <cell r="N47">
            <v>2.77</v>
          </cell>
          <cell r="O47">
            <v>2.77</v>
          </cell>
          <cell r="P47">
            <v>2.77</v>
          </cell>
          <cell r="Q47">
            <v>2.77</v>
          </cell>
          <cell r="R47">
            <v>2.77</v>
          </cell>
          <cell r="S47">
            <v>0</v>
          </cell>
          <cell r="T47">
            <v>0</v>
          </cell>
        </row>
        <row r="48">
          <cell r="A48"/>
          <cell r="M48"/>
          <cell r="N48"/>
          <cell r="O48"/>
          <cell r="P48"/>
          <cell r="Q48"/>
          <cell r="R48"/>
          <cell r="S48"/>
          <cell r="T48"/>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TMS_old"/>
      <sheetName val="EB_2006"/>
      <sheetName val="EB_2012"/>
      <sheetName val="DME_EB_TS"/>
      <sheetName val="SAPIADiesel"/>
      <sheetName val="SAPIAGasoline"/>
      <sheetName val="NAAMSANational"/>
      <sheetName val="NAAMSAProvincial81"/>
      <sheetName val="NAAMSAProvincial95"/>
      <sheetName val="NAAMSAdefs"/>
      <sheetName val="SOL"/>
      <sheetName val="ScrappingModels"/>
      <sheetName val="ENATIS2020"/>
      <sheetName val="ENATIS"/>
      <sheetName val="NAAMSA_SAPIA_WG"/>
      <sheetName val="HistoricalSales"/>
      <sheetName val="Comp Assumptions"/>
      <sheetName val="FuelCell"/>
      <sheetName val="EV misc"/>
      <sheetName val="EV Charging Capex"/>
      <sheetName val="EV battery "/>
      <sheetName val="AEA2012 summary"/>
      <sheetName val="Vehicle data "/>
      <sheetName val="Vehicle data-NDC2020"/>
      <sheetName val="mileagedegrad"/>
      <sheetName val="Calib_1011"/>
      <sheetName val="Calib_1011_2"/>
      <sheetName val="REGIONS"/>
      <sheetName val="TRP"/>
      <sheetName val="ITEMS_Tech"/>
      <sheetName val="TS DTech"/>
      <sheetName val="TID DTech"/>
      <sheetName val="TRP_Retrofit"/>
      <sheetName val="ITEMS_DrTech"/>
      <sheetName val="ITEMS_UCrTech"/>
      <sheetName val="TS DrTech"/>
      <sheetName val="TS UCrTech"/>
      <sheetName val="Analytica"/>
      <sheetName val="TID DrTech"/>
      <sheetName val="TID UCrTech"/>
      <sheetName val="Scenarios"/>
      <sheetName val="NT_TRP"/>
      <sheetName val="ITEMS_nTech"/>
      <sheetName val="ITEMS_UCnTech"/>
      <sheetName val="TS DnTech"/>
      <sheetName val="TS UCnTech"/>
      <sheetName val="TID DnTech"/>
      <sheetName val="TID UCnTech"/>
      <sheetName val="TID SHAPE"/>
      <sheetName val="ITEMS_Comm"/>
      <sheetName val="TS BYDem"/>
      <sheetName val="TS COMFR"/>
      <sheetName val="TS FTech"/>
      <sheetName val="TID FTech"/>
      <sheetName val="TS Emiss"/>
      <sheetName val="TID Emiss"/>
      <sheetName val="NameConv"/>
      <sheetName val="AFA"/>
      <sheetName val="Deflator"/>
      <sheetName val="LogofChanges"/>
      <sheetName val="Units.CV"/>
    </sheetNames>
    <sheetDataSet>
      <sheetData sheetId="0"/>
      <sheetData sheetId="1">
        <row r="68">
          <cell r="AG68">
            <v>744.7462524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16">
          <cell r="B16" t="b">
            <v>1</v>
          </cell>
        </row>
        <row r="18">
          <cell r="B18">
            <v>1</v>
          </cell>
        </row>
        <row r="21">
          <cell r="B21">
            <v>1</v>
          </cell>
        </row>
        <row r="24">
          <cell r="B24">
            <v>0</v>
          </cell>
        </row>
        <row r="28">
          <cell r="B28" t="b">
            <v>0</v>
          </cell>
        </row>
      </sheetData>
      <sheetData sheetId="41">
        <row r="2">
          <cell r="A2">
            <v>2012</v>
          </cell>
        </row>
      </sheetData>
      <sheetData sheetId="42"/>
      <sheetData sheetId="43"/>
      <sheetData sheetId="44"/>
      <sheetData sheetId="45"/>
      <sheetData sheetId="46"/>
      <sheetData sheetId="47"/>
      <sheetData sheetId="48"/>
      <sheetData sheetId="49"/>
      <sheetData sheetId="50">
        <row r="33">
          <cell r="J33">
            <v>0.820564128</v>
          </cell>
        </row>
      </sheetData>
      <sheetData sheetId="51"/>
      <sheetData sheetId="52"/>
      <sheetData sheetId="53"/>
      <sheetData sheetId="54"/>
      <sheetData sheetId="55"/>
      <sheetData sheetId="56">
        <row r="1">
          <cell r="F1">
            <v>1E-8</v>
          </cell>
        </row>
      </sheetData>
      <sheetData sheetId="57"/>
      <sheetData sheetId="58"/>
      <sheetData sheetId="59"/>
      <sheetData sheetId="60">
        <row r="9">
          <cell r="B9">
            <v>36.607594936708864</v>
          </cell>
          <cell r="C9">
            <v>38.1</v>
          </cell>
        </row>
        <row r="13">
          <cell r="C13">
            <v>34.200000000000003</v>
          </cell>
        </row>
        <row r="46">
          <cell r="F46">
            <v>36.607594936708864</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37CD53-5746-473F-9CF6-69F50B787504}" name="References_1" displayName="References_1" ref="A2:G4" totalsRowShown="0" headerRowDxfId="5" headerRowBorderDxfId="4" tableBorderDxfId="3">
  <autoFilter ref="A2:G4" xr:uid="{8337CD53-5746-473F-9CF6-69F50B787504}"/>
  <tableColumns count="7">
    <tableColumn id="3" xr3:uid="{408CE0DC-914E-4C8E-A5C3-A97B5C9C837E}" name="Description "/>
    <tableColumn id="8" xr3:uid="{61F6A0C5-F799-4CFE-A094-49C8DA03591D}" name="Value (Range)" dataDxfId="0">
      <calculatedColumnFormula>"Rather link to cells in location. 2017: "&amp;'[24]Solar Data'!F1&amp;" R/kW"</calculatedColumnFormula>
    </tableColumn>
    <tableColumn id="4" xr3:uid="{9211ABF0-B523-4BA9-9941-358A1002DA1B}" name="Unit"/>
    <tableColumn id="6" xr3:uid="{31DF7BBD-57C0-442F-AA2C-87CAE12391FB}" name="Other dimension"/>
    <tableColumn id="9" xr3:uid="{8B1CBC8A-7C5B-4E3F-89A0-9B452C2261AF}" name="Reference (Harvard format)"/>
    <tableColumn id="7" xr3:uid="{56FC29C8-E699-4206-8F6D-69EC0A91E921}" name="Notes/Assumptions">
      <calculatedColumnFormula>"eg. Calculations based on "&amp;'[24]Solar Data'!F1&amp;" solar cost data […]."</calculatedColumnFormula>
    </tableColumn>
    <tableColumn id="1" xr3:uid="{49EFB2DA-E5E1-4562-A86A-E01B72C5A61B}" name="Workbook Locatio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077C3-C6C4-49B1-89F0-F9E952CB29B8}" name="Table16" displayName="Table16" ref="A8:C18" totalsRowShown="0" headerRowDxfId="2">
  <autoFilter ref="A8:C18" xr:uid="{076077C3-C6C4-49B1-89F0-F9E952CB29B8}"/>
  <tableColumns count="3">
    <tableColumn id="1" xr3:uid="{6FB3B79D-C3F8-4A19-9DBC-568B2E5C2A61}" name="Description" dataDxfId="1" dataCellStyle="Normal 3"/>
    <tableColumn id="2" xr3:uid="{60A3F6E0-A951-4A7D-B402-F7A4ADC471E2}" name="Key assumptions:" dataCellStyle="Normal 3"/>
    <tableColumn id="3" xr3:uid="{F46C15AF-9777-47D0-9AC8-2382E13385A7}" name="Source (Full Harvard Reference if applicable)"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24" Type="http://schemas.openxmlformats.org/officeDocument/2006/relationships/table" Target="../tables/table1.xml"/><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F11"/>
  <sheetViews>
    <sheetView workbookViewId="0">
      <selection activeCell="D14" sqref="D13:D14"/>
    </sheetView>
  </sheetViews>
  <sheetFormatPr defaultRowHeight="13.2"/>
  <cols>
    <col min="1" max="1" width="24.5546875" style="69" customWidth="1"/>
    <col min="2" max="2" width="57.88671875" style="253" customWidth="1"/>
    <col min="3" max="3" width="18.109375" style="69" customWidth="1"/>
    <col min="4" max="4" width="17.109375" style="69" customWidth="1"/>
    <col min="5" max="5" width="21.77734375" style="69" customWidth="1"/>
    <col min="6" max="6" width="16.77734375" style="69" customWidth="1"/>
    <col min="7" max="16384" width="8.88671875" style="69"/>
  </cols>
  <sheetData>
    <row r="1" spans="1:6">
      <c r="A1" s="247" t="s">
        <v>680</v>
      </c>
      <c r="D1" s="247"/>
      <c r="F1" s="247" t="s">
        <v>3</v>
      </c>
    </row>
    <row r="2" spans="1:6" ht="14.4">
      <c r="A2" s="232" t="s">
        <v>679</v>
      </c>
      <c r="B2" s="254"/>
      <c r="C2" s="246"/>
      <c r="F2" s="69" t="s">
        <v>777</v>
      </c>
    </row>
    <row r="3" spans="1:6">
      <c r="A3" s="247" t="s">
        <v>776</v>
      </c>
      <c r="B3" s="254"/>
      <c r="C3" s="246"/>
    </row>
    <row r="4" spans="1:6">
      <c r="B4" s="254"/>
      <c r="C4" s="246"/>
    </row>
    <row r="5" spans="1:6">
      <c r="A5" s="249" t="s">
        <v>681</v>
      </c>
      <c r="B5" s="255" t="s">
        <v>682</v>
      </c>
      <c r="C5" s="250" t="s">
        <v>683</v>
      </c>
      <c r="D5" s="250" t="s">
        <v>161</v>
      </c>
      <c r="E5" s="250" t="s">
        <v>684</v>
      </c>
    </row>
    <row r="6" spans="1:6">
      <c r="A6" s="69" t="s">
        <v>697</v>
      </c>
      <c r="B6" s="253" t="s">
        <v>701</v>
      </c>
      <c r="C6" s="69" t="s">
        <v>687</v>
      </c>
      <c r="D6" s="69" t="s">
        <v>686</v>
      </c>
      <c r="E6" s="69" t="s">
        <v>687</v>
      </c>
    </row>
    <row r="7" spans="1:6">
      <c r="A7" s="69" t="s">
        <v>698</v>
      </c>
      <c r="B7" s="253" t="s">
        <v>702</v>
      </c>
    </row>
    <row r="8" spans="1:6" ht="39.6">
      <c r="A8" s="69" t="s">
        <v>699</v>
      </c>
      <c r="B8" s="253" t="s">
        <v>703</v>
      </c>
    </row>
    <row r="9" spans="1:6" ht="14.4">
      <c r="A9" s="69" t="s">
        <v>700</v>
      </c>
      <c r="B9" t="s">
        <v>705</v>
      </c>
    </row>
    <row r="10" spans="1:6">
      <c r="A10" s="69" t="s">
        <v>778</v>
      </c>
      <c r="B10" s="253" t="s">
        <v>779</v>
      </c>
    </row>
    <row r="11" spans="1:6" ht="26.4">
      <c r="A11" s="69" t="s">
        <v>685</v>
      </c>
      <c r="B11" s="253" t="s">
        <v>787</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zoomScale="62" workbookViewId="0">
      <selection activeCell="N49" sqref="N49"/>
    </sheetView>
  </sheetViews>
  <sheetFormatPr defaultColWidth="9.77734375" defaultRowHeight="14.4"/>
  <cols>
    <col min="1" max="1" width="24.88671875" style="55" customWidth="1"/>
    <col min="2" max="2" width="16.44140625" style="55" bestFit="1" customWidth="1"/>
    <col min="3" max="3" width="69.33203125" style="55" customWidth="1"/>
    <col min="4" max="4" width="73.21875" style="55" customWidth="1"/>
    <col min="5" max="5" width="14.33203125" style="55" customWidth="1"/>
    <col min="6" max="6" width="28" style="55" customWidth="1"/>
    <col min="7" max="7" width="13.6640625" style="55" customWidth="1"/>
    <col min="8" max="8" width="17.5546875" style="55" customWidth="1"/>
    <col min="9" max="16384" width="9.77734375" style="55"/>
  </cols>
  <sheetData>
    <row r="1" spans="1:8" ht="18">
      <c r="A1" s="54" t="s">
        <v>689</v>
      </c>
      <c r="H1" s="283" t="s">
        <v>3</v>
      </c>
    </row>
    <row r="2" spans="1:8">
      <c r="A2" s="232" t="s">
        <v>690</v>
      </c>
      <c r="H2" s="55" t="s">
        <v>783</v>
      </c>
    </row>
    <row r="3" spans="1:8">
      <c r="A3" s="248" t="s">
        <v>706</v>
      </c>
      <c r="B3" s="251"/>
      <c r="D3" s="232"/>
      <c r="H3" s="251" t="s">
        <v>784</v>
      </c>
    </row>
    <row r="4" spans="1:8">
      <c r="D4" s="232"/>
      <c r="H4" s="55" t="s">
        <v>773</v>
      </c>
    </row>
    <row r="5" spans="1:8">
      <c r="A5" s="251"/>
      <c r="B5" s="60"/>
      <c r="D5" s="232"/>
      <c r="H5" s="232" t="s">
        <v>695</v>
      </c>
    </row>
    <row r="6" spans="1:8">
      <c r="A6" s="55" t="s">
        <v>688</v>
      </c>
      <c r="B6" s="60">
        <f ca="1">NOW()</f>
        <v>45617.477916550924</v>
      </c>
      <c r="C6" s="232"/>
      <c r="D6" s="232"/>
      <c r="H6" s="55" t="s">
        <v>785</v>
      </c>
    </row>
    <row r="7" spans="1:8">
      <c r="A7" s="252" t="s">
        <v>161</v>
      </c>
      <c r="B7" s="252" t="s">
        <v>691</v>
      </c>
      <c r="C7" s="252" t="s">
        <v>160</v>
      </c>
      <c r="D7" s="252" t="s">
        <v>692</v>
      </c>
      <c r="E7" s="252" t="s">
        <v>120</v>
      </c>
      <c r="F7" s="252" t="s">
        <v>713</v>
      </c>
      <c r="H7" s="55" t="s">
        <v>782</v>
      </c>
    </row>
    <row r="8" spans="1:8">
      <c r="A8" s="56"/>
      <c r="B8" s="56"/>
      <c r="D8" s="248"/>
      <c r="E8" s="56" t="s">
        <v>693</v>
      </c>
      <c r="F8" s="56" t="s">
        <v>694</v>
      </c>
      <c r="H8" s="55" t="s">
        <v>786</v>
      </c>
    </row>
    <row r="9" spans="1:8">
      <c r="A9" s="58">
        <v>40025</v>
      </c>
      <c r="B9" s="59" t="s">
        <v>163</v>
      </c>
      <c r="C9" s="57" t="s">
        <v>162</v>
      </c>
      <c r="D9" s="57" t="s">
        <v>162</v>
      </c>
      <c r="E9" s="59"/>
      <c r="F9" s="59"/>
    </row>
    <row r="10" spans="1:8">
      <c r="A10" s="58">
        <v>40025</v>
      </c>
      <c r="B10" s="59" t="s">
        <v>163</v>
      </c>
      <c r="C10" s="57" t="s">
        <v>164</v>
      </c>
      <c r="D10" s="57" t="s">
        <v>164</v>
      </c>
      <c r="E10" s="59"/>
      <c r="F10" s="59"/>
    </row>
    <row r="11" spans="1:8">
      <c r="A11" s="58">
        <v>40037</v>
      </c>
      <c r="B11" s="59" t="s">
        <v>163</v>
      </c>
      <c r="C11" s="61" t="s">
        <v>165</v>
      </c>
      <c r="D11" s="61" t="s">
        <v>165</v>
      </c>
      <c r="E11" s="59"/>
      <c r="F11" s="59"/>
    </row>
    <row r="12" spans="1:8">
      <c r="A12" s="62">
        <v>40140.622489236113</v>
      </c>
      <c r="B12" s="59" t="s">
        <v>163</v>
      </c>
      <c r="C12" s="57" t="s">
        <v>166</v>
      </c>
      <c r="D12" s="57" t="s">
        <v>166</v>
      </c>
      <c r="E12" s="59"/>
      <c r="F12" s="59"/>
    </row>
    <row r="13" spans="1:8">
      <c r="A13" s="63"/>
      <c r="B13" s="59"/>
      <c r="C13" s="57"/>
      <c r="D13" s="57"/>
      <c r="E13" s="59"/>
      <c r="F13" s="59"/>
    </row>
    <row r="14" spans="1:8">
      <c r="A14" s="63"/>
      <c r="B14" s="59"/>
      <c r="C14" s="57"/>
      <c r="D14" s="57"/>
      <c r="E14" s="59"/>
      <c r="F14" s="59"/>
    </row>
    <row r="15" spans="1:8">
      <c r="A15" s="64">
        <v>40209</v>
      </c>
      <c r="B15" s="59" t="s">
        <v>168</v>
      </c>
      <c r="C15" s="57" t="s">
        <v>167</v>
      </c>
      <c r="D15" s="57" t="s">
        <v>167</v>
      </c>
      <c r="E15" s="59"/>
      <c r="F15" s="59"/>
    </row>
    <row r="16" spans="1:8">
      <c r="A16" s="64">
        <v>40368.67643796296</v>
      </c>
      <c r="B16" s="59" t="s">
        <v>163</v>
      </c>
      <c r="C16" s="57" t="s">
        <v>169</v>
      </c>
      <c r="D16" s="57" t="s">
        <v>169</v>
      </c>
      <c r="E16" s="59"/>
      <c r="F16" s="59"/>
    </row>
    <row r="17" spans="1:6">
      <c r="A17" s="63"/>
      <c r="B17" s="59"/>
      <c r="C17" s="57"/>
      <c r="D17" s="57"/>
      <c r="E17" s="59"/>
      <c r="F17" s="59"/>
    </row>
    <row r="18" spans="1:6">
      <c r="A18" s="64">
        <v>40633</v>
      </c>
      <c r="B18" s="59" t="s">
        <v>168</v>
      </c>
      <c r="C18" s="57" t="s">
        <v>170</v>
      </c>
      <c r="D18" s="57" t="s">
        <v>170</v>
      </c>
      <c r="E18" s="59"/>
      <c r="F18" s="59"/>
    </row>
    <row r="19" spans="1:6">
      <c r="A19" s="63"/>
      <c r="B19" s="59"/>
      <c r="C19" s="57"/>
      <c r="D19" s="57"/>
      <c r="E19" s="59"/>
      <c r="F19" s="59"/>
    </row>
    <row r="20" spans="1:6">
      <c r="A20" s="315">
        <v>41328.511239814812</v>
      </c>
      <c r="B20" s="59" t="s">
        <v>172</v>
      </c>
      <c r="C20" s="57" t="s">
        <v>171</v>
      </c>
      <c r="D20" s="57" t="s">
        <v>171</v>
      </c>
      <c r="E20" s="59"/>
      <c r="F20" s="59"/>
    </row>
    <row r="21" spans="1:6" ht="43.2">
      <c r="A21" s="316"/>
      <c r="B21" s="59" t="s">
        <v>172</v>
      </c>
      <c r="C21" s="57" t="s">
        <v>173</v>
      </c>
      <c r="D21" s="57" t="s">
        <v>173</v>
      </c>
      <c r="E21" s="59"/>
      <c r="F21" s="59"/>
    </row>
    <row r="22" spans="1:6">
      <c r="A22" s="63"/>
      <c r="B22" s="59"/>
      <c r="C22" s="57"/>
      <c r="D22" s="57"/>
      <c r="E22" s="59"/>
      <c r="F22" s="59"/>
    </row>
    <row r="23" spans="1:6" ht="28.8">
      <c r="A23" s="58">
        <v>41333.701432175927</v>
      </c>
      <c r="B23" s="59" t="s">
        <v>172</v>
      </c>
      <c r="C23" s="57" t="s">
        <v>174</v>
      </c>
      <c r="D23" s="57" t="s">
        <v>174</v>
      </c>
      <c r="E23" s="59"/>
      <c r="F23" s="59"/>
    </row>
    <row r="24" spans="1:6">
      <c r="A24" s="66">
        <v>41450.444665162038</v>
      </c>
      <c r="B24" s="67" t="s">
        <v>172</v>
      </c>
      <c r="C24" s="65" t="s">
        <v>175</v>
      </c>
      <c r="D24" s="65" t="s">
        <v>175</v>
      </c>
      <c r="E24" s="67"/>
      <c r="F24" s="67"/>
    </row>
    <row r="25" spans="1:6">
      <c r="A25" s="317">
        <v>41513</v>
      </c>
      <c r="B25" s="59" t="s">
        <v>172</v>
      </c>
      <c r="C25" s="57" t="s">
        <v>176</v>
      </c>
      <c r="D25" s="57" t="s">
        <v>176</v>
      </c>
      <c r="E25" s="59"/>
      <c r="F25" s="59"/>
    </row>
    <row r="26" spans="1:6" ht="28.8">
      <c r="A26" s="318"/>
      <c r="B26" s="59"/>
      <c r="C26" s="57" t="s">
        <v>177</v>
      </c>
      <c r="D26" s="57" t="s">
        <v>177</v>
      </c>
      <c r="E26" s="59"/>
      <c r="F26" s="59"/>
    </row>
    <row r="27" spans="1:6">
      <c r="A27" s="319"/>
      <c r="B27" s="59"/>
      <c r="C27" s="57" t="s">
        <v>178</v>
      </c>
      <c r="D27" s="57" t="s">
        <v>178</v>
      </c>
      <c r="E27" s="59"/>
      <c r="F27" s="59"/>
    </row>
    <row r="28" spans="1:6">
      <c r="A28" s="320" t="s">
        <v>180</v>
      </c>
      <c r="B28" s="59" t="s">
        <v>172</v>
      </c>
      <c r="C28" s="57" t="s">
        <v>179</v>
      </c>
      <c r="D28" s="57" t="s">
        <v>179</v>
      </c>
      <c r="E28" s="59"/>
      <c r="F28" s="59"/>
    </row>
    <row r="29" spans="1:6">
      <c r="A29" s="321"/>
      <c r="B29" s="59"/>
      <c r="C29" s="57" t="s">
        <v>181</v>
      </c>
      <c r="D29" s="57" t="s">
        <v>181</v>
      </c>
      <c r="E29" s="59"/>
      <c r="F29" s="59"/>
    </row>
    <row r="30" spans="1:6">
      <c r="A30" s="322"/>
      <c r="B30" s="59"/>
      <c r="C30" s="57" t="s">
        <v>182</v>
      </c>
      <c r="D30" s="57" t="s">
        <v>182</v>
      </c>
      <c r="E30" s="59"/>
      <c r="F30" s="59"/>
    </row>
    <row r="31" spans="1:6">
      <c r="A31" s="320" t="s">
        <v>184</v>
      </c>
      <c r="B31" s="59" t="s">
        <v>172</v>
      </c>
      <c r="C31" s="57" t="s">
        <v>183</v>
      </c>
      <c r="D31" s="57" t="s">
        <v>183</v>
      </c>
      <c r="E31" s="59"/>
      <c r="F31" s="59"/>
    </row>
    <row r="32" spans="1:6">
      <c r="A32" s="322"/>
      <c r="B32" s="59"/>
      <c r="C32" s="57" t="s">
        <v>185</v>
      </c>
      <c r="D32" s="57" t="s">
        <v>185</v>
      </c>
      <c r="E32" s="59"/>
      <c r="F32" s="59"/>
    </row>
    <row r="33" spans="1:6" ht="28.8">
      <c r="A33" s="63" t="s">
        <v>187</v>
      </c>
      <c r="B33" s="59" t="s">
        <v>172</v>
      </c>
      <c r="C33" s="57" t="s">
        <v>186</v>
      </c>
      <c r="D33" s="57" t="s">
        <v>186</v>
      </c>
      <c r="E33" s="59"/>
      <c r="F33" s="59"/>
    </row>
    <row r="34" spans="1:6">
      <c r="A34" s="63"/>
      <c r="B34" s="59"/>
      <c r="C34" s="68" t="s">
        <v>188</v>
      </c>
      <c r="D34" s="68" t="s">
        <v>188</v>
      </c>
      <c r="E34" s="59"/>
      <c r="F34" s="59"/>
    </row>
    <row r="35" spans="1:6">
      <c r="A35" s="320" t="s">
        <v>190</v>
      </c>
      <c r="B35" s="59" t="s">
        <v>172</v>
      </c>
      <c r="C35" s="57" t="s">
        <v>189</v>
      </c>
      <c r="D35" s="57" t="s">
        <v>189</v>
      </c>
      <c r="E35" s="59"/>
      <c r="F35" s="59"/>
    </row>
    <row r="36" spans="1:6" ht="28.8">
      <c r="A36" s="322"/>
      <c r="B36" s="59"/>
      <c r="C36" s="57" t="s">
        <v>191</v>
      </c>
      <c r="D36" s="57" t="s">
        <v>191</v>
      </c>
      <c r="E36" s="59"/>
      <c r="F36" s="59"/>
    </row>
    <row r="37" spans="1:6" ht="28.8">
      <c r="A37" s="323" t="s">
        <v>193</v>
      </c>
      <c r="B37" s="59" t="s">
        <v>172</v>
      </c>
      <c r="C37" s="57" t="s">
        <v>192</v>
      </c>
      <c r="D37" s="57" t="s">
        <v>192</v>
      </c>
      <c r="E37" s="59"/>
      <c r="F37" s="59"/>
    </row>
    <row r="38" spans="1:6">
      <c r="A38" s="323"/>
      <c r="B38" s="59"/>
      <c r="C38" s="59" t="s">
        <v>194</v>
      </c>
      <c r="D38" s="59" t="s">
        <v>194</v>
      </c>
      <c r="E38" s="59"/>
      <c r="F38" s="59"/>
    </row>
    <row r="39" spans="1:6">
      <c r="A39" s="323"/>
      <c r="B39" s="59"/>
      <c r="C39" s="59" t="s">
        <v>195</v>
      </c>
      <c r="D39" s="59" t="s">
        <v>195</v>
      </c>
      <c r="E39" s="59"/>
      <c r="F39" s="59"/>
    </row>
    <row r="40" spans="1:6">
      <c r="A40" s="313" t="s">
        <v>197</v>
      </c>
      <c r="B40" s="284" t="s">
        <v>172</v>
      </c>
      <c r="C40" s="284" t="s">
        <v>196</v>
      </c>
      <c r="D40" s="284" t="s">
        <v>196</v>
      </c>
      <c r="E40" s="284"/>
      <c r="F40" s="285"/>
    </row>
    <row r="41" spans="1:6">
      <c r="A41" s="314"/>
      <c r="B41" s="286"/>
      <c r="C41" s="286" t="s">
        <v>198</v>
      </c>
      <c r="D41" s="286" t="s">
        <v>198</v>
      </c>
      <c r="E41" s="286"/>
      <c r="F41" s="287"/>
    </row>
    <row r="42" spans="1:6">
      <c r="A42" s="288" t="s">
        <v>200</v>
      </c>
      <c r="B42" s="289" t="s">
        <v>201</v>
      </c>
      <c r="C42" s="289" t="s">
        <v>199</v>
      </c>
      <c r="D42" s="289" t="s">
        <v>199</v>
      </c>
      <c r="E42" s="289"/>
      <c r="F42" s="290"/>
    </row>
    <row r="43" spans="1:6">
      <c r="A43" s="288" t="s">
        <v>203</v>
      </c>
      <c r="B43" s="289" t="s">
        <v>201</v>
      </c>
      <c r="C43" s="289" t="s">
        <v>202</v>
      </c>
      <c r="D43" s="289" t="s">
        <v>202</v>
      </c>
      <c r="E43" s="289"/>
      <c r="F43" s="290"/>
    </row>
    <row r="44" spans="1:6">
      <c r="A44" s="291" t="s">
        <v>205</v>
      </c>
      <c r="B44" s="292" t="s">
        <v>172</v>
      </c>
      <c r="C44" s="292" t="s">
        <v>204</v>
      </c>
      <c r="D44" s="292" t="s">
        <v>204</v>
      </c>
      <c r="E44" s="292"/>
      <c r="F44" s="293"/>
    </row>
    <row r="45" spans="1:6">
      <c r="A45" s="294">
        <v>41713</v>
      </c>
      <c r="B45" s="284" t="s">
        <v>201</v>
      </c>
      <c r="C45" s="284" t="s">
        <v>206</v>
      </c>
      <c r="D45" s="284" t="s">
        <v>206</v>
      </c>
      <c r="E45" s="284"/>
      <c r="F45" s="285"/>
    </row>
    <row r="46" spans="1:6">
      <c r="A46" s="295"/>
      <c r="B46" s="286"/>
      <c r="C46" s="286"/>
      <c r="D46" s="286"/>
      <c r="E46" s="286"/>
      <c r="F46" s="287"/>
    </row>
    <row r="47" spans="1:6">
      <c r="A47" s="296">
        <v>42833</v>
      </c>
      <c r="B47" s="59" t="s">
        <v>172</v>
      </c>
      <c r="C47" s="59" t="s">
        <v>207</v>
      </c>
      <c r="D47" s="59" t="s">
        <v>207</v>
      </c>
      <c r="E47" s="59"/>
      <c r="F47" s="59"/>
    </row>
    <row r="48" spans="1:6">
      <c r="A48" s="296">
        <v>42836</v>
      </c>
      <c r="B48" s="59" t="s">
        <v>172</v>
      </c>
      <c r="C48" s="59" t="s">
        <v>208</v>
      </c>
      <c r="D48" s="59" t="s">
        <v>208</v>
      </c>
      <c r="E48" s="59"/>
      <c r="F48" s="59"/>
    </row>
    <row r="49" spans="1:6">
      <c r="A49" s="296">
        <v>42906</v>
      </c>
      <c r="B49" s="59" t="s">
        <v>172</v>
      </c>
      <c r="C49" s="59" t="s">
        <v>209</v>
      </c>
      <c r="D49" s="59" t="s">
        <v>209</v>
      </c>
      <c r="E49" s="59"/>
      <c r="F49" s="59"/>
    </row>
    <row r="50" spans="1:6">
      <c r="A50" s="296">
        <v>42914</v>
      </c>
      <c r="B50" s="59" t="s">
        <v>172</v>
      </c>
      <c r="C50" s="59" t="s">
        <v>210</v>
      </c>
      <c r="D50" s="59" t="s">
        <v>210</v>
      </c>
      <c r="E50" s="59"/>
      <c r="F50" s="59"/>
    </row>
    <row r="51" spans="1:6">
      <c r="A51" s="296">
        <v>42930</v>
      </c>
      <c r="B51" s="59" t="s">
        <v>201</v>
      </c>
      <c r="C51" s="59" t="s">
        <v>211</v>
      </c>
      <c r="D51" s="59" t="s">
        <v>211</v>
      </c>
      <c r="E51" s="59"/>
      <c r="F51" s="59"/>
    </row>
    <row r="52" spans="1:6">
      <c r="A52" s="296">
        <v>43693</v>
      </c>
      <c r="B52" s="59" t="s">
        <v>201</v>
      </c>
      <c r="C52" s="59" t="s">
        <v>212</v>
      </c>
      <c r="D52" s="59" t="s">
        <v>212</v>
      </c>
      <c r="E52" s="59"/>
      <c r="F52" s="59"/>
    </row>
    <row r="53" spans="1:6">
      <c r="A53" s="59"/>
      <c r="B53" s="59"/>
      <c r="C53" s="59" t="s">
        <v>213</v>
      </c>
      <c r="D53" s="59" t="s">
        <v>213</v>
      </c>
      <c r="E53" s="59"/>
      <c r="F53" s="59"/>
    </row>
    <row r="54" spans="1:6">
      <c r="A54" s="59"/>
      <c r="B54" s="59"/>
      <c r="C54" s="59" t="s">
        <v>214</v>
      </c>
      <c r="D54" s="59" t="s">
        <v>214</v>
      </c>
      <c r="E54" s="59"/>
      <c r="F54" s="59"/>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42"/>
  <sheetViews>
    <sheetView tabSelected="1" zoomScale="80" workbookViewId="0">
      <selection activeCell="H3" sqref="H3"/>
    </sheetView>
  </sheetViews>
  <sheetFormatPr defaultRowHeight="14.4"/>
  <cols>
    <col min="1" max="2" width="23.109375" customWidth="1"/>
    <col min="3" max="3" width="20.77734375" customWidth="1"/>
    <col min="4" max="4" width="16.88671875" customWidth="1"/>
    <col min="5" max="5" width="26.6640625" customWidth="1"/>
    <col min="6" max="6" width="27.77734375" customWidth="1"/>
    <col min="7" max="7" width="20.109375" customWidth="1"/>
    <col min="8" max="8" width="25.6640625" customWidth="1"/>
    <col min="9" max="9" width="58.33203125" customWidth="1"/>
    <col min="11" max="11" width="75.109375" customWidth="1"/>
  </cols>
  <sheetData>
    <row r="1" spans="1:11" ht="43.2">
      <c r="A1" s="232" t="s">
        <v>675</v>
      </c>
      <c r="K1" s="262" t="s">
        <v>780</v>
      </c>
    </row>
    <row r="2" spans="1:11" ht="15" thickBot="1">
      <c r="A2" s="304" t="s">
        <v>677</v>
      </c>
      <c r="B2" s="306" t="s">
        <v>4</v>
      </c>
      <c r="C2" s="305" t="s">
        <v>1</v>
      </c>
      <c r="D2" s="305" t="s">
        <v>2</v>
      </c>
      <c r="E2" s="307" t="s">
        <v>696</v>
      </c>
      <c r="F2" s="305" t="s">
        <v>121</v>
      </c>
      <c r="G2" s="305" t="s">
        <v>676</v>
      </c>
    </row>
    <row r="3" spans="1:11" ht="102" customHeight="1">
      <c r="A3" s="235" t="s">
        <v>7</v>
      </c>
      <c r="B3" s="235" t="str">
        <f>"Rather link to cells in location. 2017: "&amp;'[24]Solar Data'!F1&amp;" R/kW"</f>
        <v>Rather link to cells in location. 2017: 2022 ZAR R/kW</v>
      </c>
      <c r="C3" s="235" t="s">
        <v>8</v>
      </c>
      <c r="D3" s="235" t="s">
        <v>9</v>
      </c>
      <c r="E3" s="237" t="s">
        <v>129</v>
      </c>
      <c r="F3" s="236" t="s">
        <v>704</v>
      </c>
      <c r="G3" s="235" t="s">
        <v>127</v>
      </c>
    </row>
    <row r="4" spans="1:11" ht="99.6" customHeight="1">
      <c r="A4" s="308" t="s">
        <v>125</v>
      </c>
      <c r="B4" s="311" t="str">
        <f>"Rather link to cells in location. 2017: "&amp;'[24]Solar Data'!F2&amp;" R/kW"</f>
        <v>Rather link to cells in location. 2017:  R/kW</v>
      </c>
      <c r="C4" s="308" t="s">
        <v>126</v>
      </c>
      <c r="D4" s="310" t="s">
        <v>128</v>
      </c>
      <c r="E4" s="312" t="s">
        <v>129</v>
      </c>
      <c r="F4" s="308" t="str">
        <f>"eg. Calculations based on "&amp;'[24]Solar Data'!F2&amp;" solar cost data […]."</f>
        <v>eg. Calculations based on  solar cost data […].</v>
      </c>
      <c r="G4" s="309" t="s">
        <v>127</v>
      </c>
      <c r="H4" s="53"/>
    </row>
    <row r="5" spans="1:11" ht="19.2" customHeight="1">
      <c r="C5" s="225"/>
      <c r="D5" s="225"/>
      <c r="E5" s="226"/>
      <c r="F5" s="227"/>
      <c r="G5" s="225"/>
      <c r="H5" s="228"/>
      <c r="I5" s="229"/>
      <c r="K5" s="53"/>
    </row>
    <row r="6" spans="1:11" ht="28.8" customHeight="1" thickBot="1">
      <c r="A6" s="232" t="s">
        <v>678</v>
      </c>
      <c r="C6" s="225"/>
      <c r="D6" s="225"/>
      <c r="E6" s="226"/>
      <c r="F6" s="227"/>
      <c r="G6" s="225"/>
      <c r="H6" s="228"/>
      <c r="I6" s="229"/>
      <c r="K6" s="53"/>
    </row>
    <row r="7" spans="1:11" ht="15" thickBot="1">
      <c r="A7" s="230" t="s">
        <v>119</v>
      </c>
      <c r="B7" s="231" t="s">
        <v>0</v>
      </c>
      <c r="C7" s="230" t="s">
        <v>677</v>
      </c>
      <c r="D7" s="231" t="s">
        <v>1</v>
      </c>
      <c r="E7" s="231" t="s">
        <v>676</v>
      </c>
      <c r="F7" s="231" t="s">
        <v>2</v>
      </c>
      <c r="G7" s="231" t="s">
        <v>121</v>
      </c>
      <c r="H7" s="51" t="s">
        <v>4</v>
      </c>
      <c r="I7" s="52" t="s">
        <v>696</v>
      </c>
    </row>
    <row r="8" spans="1:11" ht="102" customHeight="1">
      <c r="A8" s="233" t="s">
        <v>122</v>
      </c>
      <c r="B8" s="234" t="s">
        <v>122</v>
      </c>
      <c r="C8" s="235" t="s">
        <v>7</v>
      </c>
      <c r="D8" s="235" t="s">
        <v>8</v>
      </c>
      <c r="E8" s="235" t="s">
        <v>127</v>
      </c>
      <c r="F8" s="235" t="s">
        <v>9</v>
      </c>
      <c r="G8" s="236" t="s">
        <v>158</v>
      </c>
      <c r="H8" s="235"/>
      <c r="I8" s="237" t="s">
        <v>129</v>
      </c>
    </row>
    <row r="9" spans="1:11" ht="99.6" customHeight="1">
      <c r="A9" s="324" t="s">
        <v>123</v>
      </c>
      <c r="B9" s="324" t="s">
        <v>124</v>
      </c>
      <c r="C9" s="243" t="s">
        <v>125</v>
      </c>
      <c r="D9" s="238" t="s">
        <v>126</v>
      </c>
      <c r="E9" s="239" t="s">
        <v>127</v>
      </c>
      <c r="F9" s="240" t="s">
        <v>128</v>
      </c>
      <c r="G9" s="238" t="e">
        <f>"eg. Calculations based on "&amp;'[24]Solar Data'!F5&amp;" solar cost data […]."</f>
        <v>#REF!</v>
      </c>
      <c r="H9" s="241" t="e">
        <f>"This doesn't seem like the best approach! Rather link to cells in location. 2017: "&amp;'[24]Solar Data'!F5&amp;" R/kW, 2020: "&amp;'[24]Solar Data'!F5&amp;" R/kW, 2025:"&amp;'[24]Solar Data'!F5&amp;" R/kW, 2030:"&amp;'[24]Solar Data'!F5&amp;" R/kW, 2040:"&amp;'[24]Solar Data'!F5&amp;" R/kW, 2050:"&amp;'[24]Solar Data'!F5&amp;" R/kW"</f>
        <v>#REF!</v>
      </c>
      <c r="I9" s="242" t="s">
        <v>129</v>
      </c>
      <c r="K9" s="53"/>
    </row>
    <row r="10" spans="1:11" ht="20.399999999999999">
      <c r="A10" s="324"/>
      <c r="B10" s="324"/>
      <c r="C10" s="243" t="s">
        <v>130</v>
      </c>
      <c r="D10" s="238" t="s">
        <v>131</v>
      </c>
      <c r="E10" s="239" t="s">
        <v>127</v>
      </c>
      <c r="F10" s="240" t="s">
        <v>132</v>
      </c>
      <c r="G10" s="238"/>
      <c r="H10" s="241"/>
      <c r="I10" s="242" t="s">
        <v>129</v>
      </c>
      <c r="K10" s="53"/>
    </row>
    <row r="11" spans="1:11" ht="20.399999999999999">
      <c r="A11" s="324"/>
      <c r="B11" s="324"/>
      <c r="C11" s="243" t="s">
        <v>133</v>
      </c>
      <c r="D11" s="238" t="s">
        <v>134</v>
      </c>
      <c r="E11" s="239" t="s">
        <v>127</v>
      </c>
      <c r="F11" s="240" t="s">
        <v>132</v>
      </c>
      <c r="G11" s="238"/>
      <c r="H11" s="241"/>
      <c r="I11" s="242" t="s">
        <v>129</v>
      </c>
      <c r="K11" s="53"/>
    </row>
    <row r="12" spans="1:11" ht="20.399999999999999">
      <c r="A12" s="324"/>
      <c r="B12" s="324"/>
      <c r="C12" s="243" t="s">
        <v>135</v>
      </c>
      <c r="D12" s="238" t="s">
        <v>136</v>
      </c>
      <c r="E12" s="239" t="s">
        <v>127</v>
      </c>
      <c r="F12" s="240" t="s">
        <v>128</v>
      </c>
      <c r="G12" s="238"/>
      <c r="H12" s="241"/>
      <c r="I12" s="242" t="s">
        <v>129</v>
      </c>
    </row>
    <row r="13" spans="1:11" ht="20.399999999999999">
      <c r="A13" s="324"/>
      <c r="B13" s="324"/>
      <c r="C13" s="243" t="s">
        <v>137</v>
      </c>
      <c r="D13" s="238" t="s">
        <v>138</v>
      </c>
      <c r="E13" s="239" t="s">
        <v>139</v>
      </c>
      <c r="F13" s="240"/>
      <c r="G13" s="238"/>
      <c r="H13" s="241"/>
      <c r="I13" s="242"/>
    </row>
    <row r="14" spans="1:11" ht="20.399999999999999">
      <c r="A14" s="324"/>
      <c r="B14" s="324"/>
      <c r="C14" s="243" t="s">
        <v>140</v>
      </c>
      <c r="D14" s="238" t="s">
        <v>138</v>
      </c>
      <c r="E14" s="239" t="s">
        <v>141</v>
      </c>
      <c r="F14" s="240"/>
      <c r="G14" s="238"/>
      <c r="H14" s="241"/>
      <c r="I14" s="242"/>
    </row>
    <row r="15" spans="1:11" ht="20.399999999999999">
      <c r="A15" s="324"/>
      <c r="B15" s="324"/>
      <c r="C15" s="243" t="s">
        <v>142</v>
      </c>
      <c r="D15" s="238"/>
      <c r="E15" s="239"/>
      <c r="F15" s="240"/>
      <c r="G15" s="238"/>
      <c r="H15" s="241"/>
      <c r="I15" s="242"/>
    </row>
    <row r="16" spans="1:11" ht="20.399999999999999">
      <c r="A16" s="324"/>
      <c r="B16" s="324"/>
      <c r="C16" s="243" t="s">
        <v>143</v>
      </c>
      <c r="D16" s="238"/>
      <c r="E16" s="239" t="s">
        <v>127</v>
      </c>
      <c r="F16" s="240" t="s">
        <v>128</v>
      </c>
      <c r="G16" s="238"/>
      <c r="H16" s="241"/>
      <c r="I16" s="242" t="s">
        <v>129</v>
      </c>
    </row>
    <row r="17" spans="1:9" ht="20.399999999999999">
      <c r="A17" s="324"/>
      <c r="B17" s="324"/>
      <c r="C17" s="243" t="s">
        <v>144</v>
      </c>
      <c r="D17" s="238"/>
      <c r="E17" s="239" t="s">
        <v>127</v>
      </c>
      <c r="F17" s="240" t="s">
        <v>128</v>
      </c>
      <c r="G17" s="238"/>
      <c r="H17" s="241"/>
      <c r="I17" s="242" t="s">
        <v>129</v>
      </c>
    </row>
    <row r="18" spans="1:9">
      <c r="A18" s="324"/>
      <c r="B18" s="324"/>
      <c r="C18" s="243" t="s">
        <v>145</v>
      </c>
      <c r="D18" s="238"/>
      <c r="E18" s="239"/>
      <c r="F18" s="240"/>
      <c r="G18" s="238"/>
      <c r="H18" s="241"/>
      <c r="I18" s="242"/>
    </row>
    <row r="19" spans="1:9" ht="123" customHeight="1">
      <c r="A19" s="324"/>
      <c r="B19" s="324"/>
      <c r="C19" s="243" t="s">
        <v>146</v>
      </c>
      <c r="D19" s="238"/>
      <c r="E19" s="239" t="s">
        <v>127</v>
      </c>
      <c r="F19" s="240" t="s">
        <v>128</v>
      </c>
      <c r="G19" s="238" t="s">
        <v>147</v>
      </c>
      <c r="H19" s="241"/>
      <c r="I19" s="242" t="s">
        <v>129</v>
      </c>
    </row>
    <row r="20" spans="1:9" ht="34.799999999999997" customHeight="1">
      <c r="A20" s="324"/>
      <c r="B20" s="324"/>
      <c r="C20" s="243" t="s">
        <v>148</v>
      </c>
      <c r="D20" s="238"/>
      <c r="E20" s="239"/>
      <c r="F20" s="240" t="s">
        <v>149</v>
      </c>
      <c r="G20" s="238"/>
      <c r="H20" s="241"/>
      <c r="I20" s="242"/>
    </row>
    <row r="21" spans="1:9" ht="20.399999999999999">
      <c r="A21" s="324"/>
      <c r="B21" s="324"/>
      <c r="C21" s="243" t="s">
        <v>150</v>
      </c>
      <c r="D21" s="238"/>
      <c r="E21" s="239" t="s">
        <v>127</v>
      </c>
      <c r="F21" s="240" t="s">
        <v>128</v>
      </c>
      <c r="G21" s="238"/>
      <c r="H21" s="241"/>
      <c r="I21" s="242" t="s">
        <v>129</v>
      </c>
    </row>
    <row r="22" spans="1:9" ht="91.8">
      <c r="A22" s="324"/>
      <c r="B22" s="324"/>
      <c r="C22" s="243" t="s">
        <v>151</v>
      </c>
      <c r="D22" s="238" t="s">
        <v>152</v>
      </c>
      <c r="E22" s="239" t="s">
        <v>127</v>
      </c>
      <c r="F22" s="240" t="s">
        <v>153</v>
      </c>
      <c r="G22" s="238" t="s">
        <v>154</v>
      </c>
      <c r="H22" s="241"/>
      <c r="I22" s="242" t="s">
        <v>129</v>
      </c>
    </row>
    <row r="23" spans="1:9" ht="20.399999999999999">
      <c r="A23" s="324"/>
      <c r="B23" s="324"/>
      <c r="C23" s="243" t="s">
        <v>155</v>
      </c>
      <c r="D23" s="238"/>
      <c r="E23" s="239" t="s">
        <v>127</v>
      </c>
      <c r="F23" s="240" t="s">
        <v>128</v>
      </c>
      <c r="G23" s="238"/>
      <c r="H23" s="241"/>
      <c r="I23" s="242" t="s">
        <v>129</v>
      </c>
    </row>
    <row r="24" spans="1:9" ht="20.399999999999999">
      <c r="A24" s="324"/>
      <c r="B24" s="324" t="s">
        <v>156</v>
      </c>
      <c r="C24" s="243" t="s">
        <v>125</v>
      </c>
      <c r="D24" s="238" t="s">
        <v>126</v>
      </c>
      <c r="E24" s="239" t="s">
        <v>127</v>
      </c>
      <c r="F24" s="240" t="s">
        <v>128</v>
      </c>
      <c r="G24" s="238" t="e">
        <f>"eg. Calculations based on "&amp;'[24]Solar Data'!F20&amp;" solar cost data […]."</f>
        <v>#REF!</v>
      </c>
      <c r="H24" s="241"/>
      <c r="I24" s="242" t="s">
        <v>129</v>
      </c>
    </row>
    <row r="25" spans="1:9" ht="20.399999999999999">
      <c r="A25" s="324"/>
      <c r="B25" s="324"/>
      <c r="C25" s="243" t="s">
        <v>130</v>
      </c>
      <c r="D25" s="238" t="s">
        <v>131</v>
      </c>
      <c r="E25" s="239" t="s">
        <v>127</v>
      </c>
      <c r="F25" s="240" t="s">
        <v>132</v>
      </c>
      <c r="G25" s="238"/>
      <c r="H25" s="241"/>
      <c r="I25" s="242" t="s">
        <v>129</v>
      </c>
    </row>
    <row r="26" spans="1:9" ht="20.399999999999999">
      <c r="A26" s="324"/>
      <c r="B26" s="324"/>
      <c r="C26" s="243" t="s">
        <v>133</v>
      </c>
      <c r="D26" s="238" t="s">
        <v>134</v>
      </c>
      <c r="E26" s="239" t="s">
        <v>127</v>
      </c>
      <c r="F26" s="240" t="s">
        <v>132</v>
      </c>
      <c r="G26" s="238"/>
      <c r="H26" s="241"/>
      <c r="I26" s="242" t="s">
        <v>129</v>
      </c>
    </row>
    <row r="27" spans="1:9" ht="20.399999999999999" customHeight="1">
      <c r="A27" s="324"/>
      <c r="B27" s="324"/>
      <c r="C27" s="243" t="s">
        <v>135</v>
      </c>
      <c r="D27" s="238" t="s">
        <v>136</v>
      </c>
      <c r="E27" s="239" t="s">
        <v>127</v>
      </c>
      <c r="F27" s="240" t="s">
        <v>128</v>
      </c>
      <c r="G27" s="238"/>
      <c r="H27" s="241"/>
      <c r="I27" s="242" t="s">
        <v>129</v>
      </c>
    </row>
    <row r="28" spans="1:9" ht="20.399999999999999">
      <c r="A28" s="324"/>
      <c r="B28" s="324"/>
      <c r="C28" s="243" t="s">
        <v>137</v>
      </c>
      <c r="D28" s="238" t="s">
        <v>138</v>
      </c>
      <c r="E28" s="239" t="s">
        <v>139</v>
      </c>
      <c r="F28" s="240"/>
      <c r="G28" s="238"/>
      <c r="H28" s="241"/>
      <c r="I28" s="242"/>
    </row>
    <row r="29" spans="1:9" ht="20.399999999999999">
      <c r="A29" s="324"/>
      <c r="B29" s="324"/>
      <c r="C29" s="243" t="s">
        <v>140</v>
      </c>
      <c r="D29" s="238" t="s">
        <v>138</v>
      </c>
      <c r="E29" s="239" t="s">
        <v>141</v>
      </c>
      <c r="F29" s="240"/>
      <c r="G29" s="238"/>
      <c r="H29" s="241"/>
      <c r="I29" s="242"/>
    </row>
    <row r="30" spans="1:9" ht="20.399999999999999">
      <c r="A30" s="324"/>
      <c r="B30" s="324"/>
      <c r="C30" s="243" t="s">
        <v>142</v>
      </c>
      <c r="D30" s="238"/>
      <c r="E30" s="239"/>
      <c r="F30" s="240"/>
      <c r="G30" s="238"/>
      <c r="H30" s="241"/>
      <c r="I30" s="242"/>
    </row>
    <row r="31" spans="1:9" ht="20.399999999999999">
      <c r="A31" s="324"/>
      <c r="B31" s="324"/>
      <c r="C31" s="243" t="s">
        <v>143</v>
      </c>
      <c r="D31" s="238"/>
      <c r="E31" s="239" t="s">
        <v>127</v>
      </c>
      <c r="F31" s="240" t="s">
        <v>128</v>
      </c>
      <c r="G31" s="238"/>
      <c r="H31" s="241"/>
      <c r="I31" s="242" t="s">
        <v>129</v>
      </c>
    </row>
    <row r="32" spans="1:9" ht="20.399999999999999">
      <c r="A32" s="324"/>
      <c r="B32" s="324"/>
      <c r="C32" s="243" t="s">
        <v>144</v>
      </c>
      <c r="D32" s="238"/>
      <c r="E32" s="239" t="s">
        <v>127</v>
      </c>
      <c r="F32" s="240" t="s">
        <v>128</v>
      </c>
      <c r="G32" s="238"/>
      <c r="H32" s="241"/>
      <c r="I32" s="242" t="s">
        <v>129</v>
      </c>
    </row>
    <row r="33" spans="1:9">
      <c r="A33" s="324"/>
      <c r="B33" s="324"/>
      <c r="C33" s="243" t="s">
        <v>145</v>
      </c>
      <c r="D33" s="238"/>
      <c r="E33" s="239"/>
      <c r="F33" s="240"/>
      <c r="G33" s="238"/>
      <c r="H33" s="241"/>
      <c r="I33" s="242"/>
    </row>
    <row r="34" spans="1:9" ht="20.399999999999999">
      <c r="A34" s="324"/>
      <c r="B34" s="324"/>
      <c r="C34" s="243" t="s">
        <v>146</v>
      </c>
      <c r="D34" s="238"/>
      <c r="E34" s="239" t="s">
        <v>127</v>
      </c>
      <c r="F34" s="240" t="s">
        <v>128</v>
      </c>
      <c r="G34" s="238"/>
      <c r="H34" s="241"/>
      <c r="I34" s="242" t="s">
        <v>129</v>
      </c>
    </row>
    <row r="35" spans="1:9">
      <c r="A35" s="324"/>
      <c r="B35" s="324"/>
      <c r="C35" s="243" t="s">
        <v>148</v>
      </c>
      <c r="D35" s="238"/>
      <c r="E35" s="239"/>
      <c r="F35" s="240" t="s">
        <v>149</v>
      </c>
      <c r="G35" s="238"/>
      <c r="H35" s="241"/>
      <c r="I35" s="242"/>
    </row>
    <row r="36" spans="1:9" ht="20.399999999999999">
      <c r="A36" s="324"/>
      <c r="B36" s="324"/>
      <c r="C36" s="243" t="s">
        <v>150</v>
      </c>
      <c r="D36" s="238"/>
      <c r="E36" s="239" t="s">
        <v>127</v>
      </c>
      <c r="F36" s="240" t="s">
        <v>128</v>
      </c>
      <c r="G36" s="238"/>
      <c r="H36" s="241"/>
      <c r="I36" s="242" t="s">
        <v>129</v>
      </c>
    </row>
    <row r="37" spans="1:9" ht="91.8">
      <c r="A37" s="324"/>
      <c r="B37" s="324"/>
      <c r="C37" s="243" t="s">
        <v>151</v>
      </c>
      <c r="D37" s="238" t="s">
        <v>152</v>
      </c>
      <c r="E37" s="239" t="s">
        <v>127</v>
      </c>
      <c r="F37" s="240" t="s">
        <v>153</v>
      </c>
      <c r="G37" s="238" t="s">
        <v>154</v>
      </c>
      <c r="H37" s="241"/>
      <c r="I37" s="242" t="s">
        <v>129</v>
      </c>
    </row>
    <row r="38" spans="1:9" ht="20.399999999999999">
      <c r="A38" s="324"/>
      <c r="B38" s="324"/>
      <c r="C38" s="243" t="s">
        <v>155</v>
      </c>
      <c r="D38" s="238"/>
      <c r="E38" s="239" t="s">
        <v>127</v>
      </c>
      <c r="F38" s="240" t="s">
        <v>128</v>
      </c>
      <c r="G38" s="238"/>
      <c r="H38" s="241"/>
      <c r="I38" s="242" t="s">
        <v>129</v>
      </c>
    </row>
    <row r="39" spans="1:9" ht="61.2">
      <c r="A39" s="324"/>
      <c r="B39" s="240" t="s">
        <v>157</v>
      </c>
      <c r="C39" s="327"/>
      <c r="D39" s="328"/>
      <c r="E39" s="328"/>
      <c r="F39" s="324"/>
      <c r="G39" s="325"/>
      <c r="H39" s="326"/>
      <c r="I39" s="244"/>
    </row>
    <row r="40" spans="1:9">
      <c r="C40" s="328"/>
      <c r="D40" s="328"/>
      <c r="E40" s="328"/>
      <c r="F40" s="324"/>
      <c r="G40" s="325"/>
      <c r="H40" s="326"/>
      <c r="I40" s="244"/>
    </row>
    <row r="41" spans="1:9">
      <c r="C41" s="328"/>
      <c r="D41" s="328"/>
      <c r="E41" s="328"/>
      <c r="F41" s="324"/>
      <c r="G41" s="325"/>
      <c r="H41" s="244"/>
      <c r="I41" s="244"/>
    </row>
    <row r="42" spans="1:9">
      <c r="C42" s="245"/>
      <c r="D42" s="245"/>
      <c r="E42" s="245"/>
      <c r="F42" s="245"/>
      <c r="G42" s="245"/>
      <c r="H42" s="236"/>
      <c r="I42" s="237"/>
    </row>
  </sheetData>
  <mergeCells count="9">
    <mergeCell ref="F39:F41"/>
    <mergeCell ref="G39:G41"/>
    <mergeCell ref="H39:H40"/>
    <mergeCell ref="A9:A39"/>
    <mergeCell ref="B9:B23"/>
    <mergeCell ref="B24:B38"/>
    <mergeCell ref="C39:C41"/>
    <mergeCell ref="D39:D41"/>
    <mergeCell ref="E39:E41"/>
  </mergeCells>
  <hyperlinks>
    <hyperlink ref="E9" r:id="rId1" xr:uid="{1124FF60-C229-45D6-8BF5-1E8ED7BEEAC3}"/>
    <hyperlink ref="E10" r:id="rId2" xr:uid="{9A451CA0-8524-46F5-BDD8-86D26C3E71B6}"/>
    <hyperlink ref="E11" r:id="rId3" xr:uid="{2B094DE3-0916-4FE1-8D23-2ACE68940244}"/>
    <hyperlink ref="E23" r:id="rId4" xr:uid="{3B7FB2AB-6A5C-44C4-A66D-404DAA05E244}"/>
    <hyperlink ref="E12" r:id="rId5" xr:uid="{1A2990C7-D4B7-495F-9F06-6C2B0878D2B8}"/>
    <hyperlink ref="E13:E14" r:id="rId6" display="SATIMGE_Veda\VT_REGION1_ELC.xlsx\ProcDataRECostProfile\G9-L19" xr:uid="{B6AC2676-98DA-4ED0-99B8-4C3A371C515B}"/>
    <hyperlink ref="E16" r:id="rId7" xr:uid="{4330E3F4-B598-4926-9AAE-4C904427F308}"/>
    <hyperlink ref="E17" r:id="rId8" xr:uid="{A81B47EB-8676-4AC4-B137-5689D3CD9D7A}"/>
    <hyperlink ref="E19" r:id="rId9" xr:uid="{2E625DA5-5E6A-4994-91FB-675731970BB1}"/>
    <hyperlink ref="E21" r:id="rId10" xr:uid="{EAE364FB-BEDA-4D63-860C-8330ADC917D2}"/>
    <hyperlink ref="E22" r:id="rId11" xr:uid="{2D01AAA1-012F-429F-ABE5-BE19D92B10D3}"/>
    <hyperlink ref="E24" r:id="rId12" xr:uid="{A181D51C-1218-48D7-817B-AF88094B47FE}"/>
    <hyperlink ref="E25" r:id="rId13" xr:uid="{67468886-B0B1-4355-8B1E-75F86018B5CA}"/>
    <hyperlink ref="E26" r:id="rId14" xr:uid="{50F40005-78ED-4316-9C62-0BAADF896A77}"/>
    <hyperlink ref="E38" r:id="rId15" xr:uid="{08107D54-0878-49BC-A362-43E0C0F2CD24}"/>
    <hyperlink ref="E27" r:id="rId16" xr:uid="{B39F81B1-064C-43EC-A568-2C81CEFFFC70}"/>
    <hyperlink ref="E28:E29" r:id="rId17" display="SATIMGE_Veda\VT_REGION1_ELC.xlsx\ProcDataRECostProfile\G9-L19" xr:uid="{F35817CA-9190-4989-A619-F5EB03C0648A}"/>
    <hyperlink ref="E31" r:id="rId18" xr:uid="{1325155C-8C70-413D-B664-D29CF7F34C66}"/>
    <hyperlink ref="E32" r:id="rId19" xr:uid="{25238F76-495E-4AB0-B2E3-9B8EA8EFD934}"/>
    <hyperlink ref="E34" r:id="rId20" xr:uid="{84021E8A-4CA2-477A-8F3B-D5A02A857F92}"/>
    <hyperlink ref="E36" r:id="rId21" xr:uid="{E41F08CB-8BBC-4736-ACE3-8D089479D515}"/>
    <hyperlink ref="E37" r:id="rId22" xr:uid="{13A110ED-BA98-4308-B4A3-46716DF28D39}"/>
    <hyperlink ref="G4" r:id="rId23" xr:uid="{CCCDA41D-7F89-4E89-8471-B78A13DE062B}"/>
  </hyperlinks>
  <pageMargins left="0.7" right="0.7" top="0.75" bottom="0.75" header="0.3" footer="0.3"/>
  <tableParts count="1">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Z80"/>
  <sheetViews>
    <sheetView topLeftCell="A5" zoomScale="41" workbookViewId="0">
      <selection activeCell="AB34" sqref="AB34"/>
    </sheetView>
  </sheetViews>
  <sheetFormatPr defaultColWidth="11.44140625" defaultRowHeight="13.2"/>
  <cols>
    <col min="1" max="4" width="11.44140625" style="73"/>
    <col min="5" max="5" width="7.33203125" style="73" customWidth="1"/>
    <col min="6" max="6" width="11.44140625" style="73"/>
    <col min="7" max="7" width="5.44140625" style="73" customWidth="1"/>
    <col min="8" max="8" width="9.44140625" style="73" customWidth="1"/>
    <col min="9" max="9" width="7.33203125" style="73" customWidth="1"/>
    <col min="10" max="10" width="6" style="73" customWidth="1"/>
    <col min="11" max="11" width="5.88671875" style="73" customWidth="1"/>
    <col min="12" max="12" width="10.6640625" style="73" customWidth="1"/>
    <col min="13" max="13" width="9.33203125" style="73" customWidth="1"/>
    <col min="14" max="14" width="3.88671875" style="73" customWidth="1"/>
    <col min="15" max="15" width="18.33203125" style="73" customWidth="1"/>
    <col min="16" max="16" width="3.6640625" style="73" customWidth="1"/>
    <col min="17" max="17" width="11.33203125" style="73" customWidth="1"/>
    <col min="18" max="18" width="11.44140625" style="73"/>
    <col min="19" max="19" width="10.6640625" style="73" customWidth="1"/>
    <col min="20" max="20" width="10.109375" style="73" customWidth="1"/>
    <col min="21" max="21" width="9.6640625" style="73" customWidth="1"/>
    <col min="22" max="22" width="14.88671875" style="73" customWidth="1"/>
    <col min="23" max="23" width="7.33203125" style="73" customWidth="1"/>
    <col min="24" max="16384" width="11.44140625" style="73"/>
  </cols>
  <sheetData>
    <row r="1" spans="1:26" ht="26.4">
      <c r="A1" s="297" t="s">
        <v>775</v>
      </c>
      <c r="B1" s="298" t="s">
        <v>353</v>
      </c>
      <c r="Z1" s="74" t="s">
        <v>3</v>
      </c>
    </row>
    <row r="3" spans="1:26" ht="12.75" customHeight="1">
      <c r="A3" s="329" t="s">
        <v>354</v>
      </c>
      <c r="B3" s="329"/>
      <c r="C3" s="329"/>
      <c r="D3" s="329"/>
      <c r="E3" s="329"/>
      <c r="F3" s="329"/>
      <c r="G3" s="329"/>
      <c r="H3" s="329"/>
      <c r="Z3" s="73" t="s">
        <v>772</v>
      </c>
    </row>
    <row r="4" spans="1:26" ht="15.6">
      <c r="F4" s="72"/>
      <c r="Z4" s="73" t="s">
        <v>781</v>
      </c>
    </row>
    <row r="5" spans="1:26" ht="15.6">
      <c r="F5" s="72"/>
    </row>
    <row r="6" spans="1:26" ht="15.6">
      <c r="A6" s="330" t="s">
        <v>355</v>
      </c>
      <c r="B6" s="330"/>
      <c r="C6" s="330"/>
      <c r="D6" s="330"/>
      <c r="F6" s="330" t="s">
        <v>355</v>
      </c>
      <c r="G6" s="330"/>
      <c r="H6" s="330"/>
      <c r="I6" s="330"/>
      <c r="J6" s="330"/>
      <c r="K6" s="330"/>
      <c r="L6" s="330"/>
      <c r="M6" s="330"/>
      <c r="Q6" s="95" t="s">
        <v>356</v>
      </c>
      <c r="R6" s="95"/>
      <c r="S6" s="95"/>
      <c r="T6" s="95"/>
      <c r="U6" s="95"/>
      <c r="V6" s="95"/>
      <c r="W6" s="95"/>
      <c r="X6" s="95"/>
    </row>
    <row r="7" spans="1:26" s="100" customFormat="1" ht="37.799999999999997">
      <c r="A7" s="96" t="s">
        <v>357</v>
      </c>
      <c r="B7" s="97" t="s">
        <v>358</v>
      </c>
      <c r="C7" s="98" t="s">
        <v>359</v>
      </c>
      <c r="D7" s="99" t="s">
        <v>360</v>
      </c>
      <c r="F7" s="101" t="s">
        <v>26</v>
      </c>
      <c r="G7" s="102" t="s">
        <v>361</v>
      </c>
      <c r="H7" s="103" t="s">
        <v>362</v>
      </c>
      <c r="I7" s="104" t="s">
        <v>363</v>
      </c>
      <c r="J7" s="105" t="s">
        <v>364</v>
      </c>
      <c r="K7" s="106" t="s">
        <v>365</v>
      </c>
      <c r="L7" s="107" t="s">
        <v>366</v>
      </c>
      <c r="M7" s="108" t="s">
        <v>367</v>
      </c>
      <c r="O7" s="109" t="s">
        <v>368</v>
      </c>
      <c r="Q7" s="109" t="s">
        <v>369</v>
      </c>
      <c r="R7" s="110" t="s">
        <v>247</v>
      </c>
      <c r="S7" s="109" t="s">
        <v>370</v>
      </c>
      <c r="T7" s="110" t="s">
        <v>371</v>
      </c>
      <c r="U7" s="110" t="s">
        <v>372</v>
      </c>
      <c r="V7" s="110" t="s">
        <v>373</v>
      </c>
      <c r="W7" s="110" t="s">
        <v>290</v>
      </c>
    </row>
    <row r="10" spans="1:26">
      <c r="O10" s="73" t="s">
        <v>374</v>
      </c>
    </row>
    <row r="12" spans="1:26">
      <c r="O12" s="73" t="s">
        <v>375</v>
      </c>
    </row>
    <row r="14" spans="1:26">
      <c r="O14" s="73" t="s">
        <v>376</v>
      </c>
    </row>
    <row r="16" spans="1:26">
      <c r="O16" s="73" t="s">
        <v>377</v>
      </c>
    </row>
    <row r="18" spans="15:15">
      <c r="O18" s="73" t="s">
        <v>378</v>
      </c>
    </row>
    <row r="20" spans="15:15">
      <c r="O20" s="73" t="s">
        <v>379</v>
      </c>
    </row>
    <row r="24" spans="15:15">
      <c r="O24" s="73" t="s">
        <v>380</v>
      </c>
    </row>
    <row r="26" spans="15:15">
      <c r="O26" s="73" t="s">
        <v>381</v>
      </c>
    </row>
    <row r="28" spans="15:15">
      <c r="O28" s="73" t="s">
        <v>382</v>
      </c>
    </row>
    <row r="30" spans="15:15">
      <c r="O30" s="73" t="s">
        <v>383</v>
      </c>
    </row>
    <row r="34" spans="15:15">
      <c r="O34" s="73" t="s">
        <v>384</v>
      </c>
    </row>
    <row r="36" spans="15:15">
      <c r="O36" s="73" t="s">
        <v>385</v>
      </c>
    </row>
    <row r="38" spans="15:15">
      <c r="O38" s="73" t="s">
        <v>386</v>
      </c>
    </row>
    <row r="40" spans="15:15">
      <c r="O40" s="73" t="s">
        <v>387</v>
      </c>
    </row>
    <row r="42" spans="15:15">
      <c r="O42" s="73" t="s">
        <v>388</v>
      </c>
    </row>
    <row r="44" spans="15:15">
      <c r="O44" s="73" t="s">
        <v>389</v>
      </c>
    </row>
    <row r="46" spans="15:15">
      <c r="O46" s="73" t="s">
        <v>390</v>
      </c>
    </row>
    <row r="48" spans="15:15">
      <c r="O48" s="73" t="s">
        <v>391</v>
      </c>
    </row>
    <row r="52" spans="15:15">
      <c r="O52" s="73" t="s">
        <v>392</v>
      </c>
    </row>
    <row r="54" spans="15:15">
      <c r="O54" s="73" t="s">
        <v>393</v>
      </c>
    </row>
    <row r="56" spans="15:15">
      <c r="O56" s="73" t="s">
        <v>394</v>
      </c>
    </row>
    <row r="58" spans="15:15">
      <c r="O58" s="73" t="s">
        <v>395</v>
      </c>
    </row>
    <row r="60" spans="15:15">
      <c r="O60" s="73" t="s">
        <v>396</v>
      </c>
    </row>
    <row r="64" spans="15:15">
      <c r="O64" s="73" t="s">
        <v>397</v>
      </c>
    </row>
    <row r="66" spans="15:15">
      <c r="O66" s="73" t="s">
        <v>398</v>
      </c>
    </row>
    <row r="68" spans="15:15">
      <c r="O68" s="73" t="s">
        <v>399</v>
      </c>
    </row>
    <row r="72" spans="15:15">
      <c r="O72" s="73" t="s">
        <v>400</v>
      </c>
    </row>
    <row r="76" spans="15:15">
      <c r="O76" s="73" t="s">
        <v>401</v>
      </c>
    </row>
    <row r="80" spans="15:15">
      <c r="O80" s="111"/>
    </row>
  </sheetData>
  <sheetProtection selectLockedCells="1" selectUnlockedCells="1"/>
  <mergeCells count="3">
    <mergeCell ref="A3:H3"/>
    <mergeCell ref="A6:D6"/>
    <mergeCell ref="F6:M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S74"/>
  <sheetViews>
    <sheetView zoomScale="55" workbookViewId="0">
      <selection activeCell="E6" sqref="E6"/>
    </sheetView>
  </sheetViews>
  <sheetFormatPr defaultColWidth="11.44140625" defaultRowHeight="13.2"/>
  <cols>
    <col min="1" max="1" width="53.88671875" style="73" customWidth="1"/>
    <col min="2" max="2" width="83.33203125" style="73" customWidth="1"/>
    <col min="3" max="3" width="28.33203125" style="73" customWidth="1"/>
    <col min="4" max="5" width="22.44140625" style="73" customWidth="1"/>
    <col min="6" max="16384" width="11.44140625" style="73"/>
  </cols>
  <sheetData>
    <row r="1" spans="1:19" s="75" customFormat="1" ht="15.6">
      <c r="A1" s="256" t="s">
        <v>707</v>
      </c>
      <c r="B1" s="257"/>
      <c r="S1" s="72" t="s">
        <v>3</v>
      </c>
    </row>
    <row r="2" spans="1:19" s="75" customFormat="1" ht="15.6">
      <c r="A2" s="256" t="s">
        <v>708</v>
      </c>
      <c r="B2" s="257"/>
      <c r="S2" s="75" t="s">
        <v>793</v>
      </c>
    </row>
    <row r="3" spans="1:19" s="75" customFormat="1" ht="15.6">
      <c r="A3" s="256" t="s">
        <v>709</v>
      </c>
      <c r="B3" s="257" t="s">
        <v>788</v>
      </c>
      <c r="S3" s="75" t="s">
        <v>789</v>
      </c>
    </row>
    <row r="4" spans="1:19" s="75" customFormat="1" ht="15.6">
      <c r="A4" s="256" t="s">
        <v>710</v>
      </c>
      <c r="B4" s="257"/>
    </row>
    <row r="5" spans="1:19" s="75" customFormat="1" ht="15">
      <c r="A5" s="251"/>
      <c r="S5" s="75" t="s">
        <v>792</v>
      </c>
    </row>
    <row r="6" spans="1:19" s="75" customFormat="1" ht="15.6">
      <c r="A6" s="281" t="s">
        <v>774</v>
      </c>
      <c r="B6" s="282"/>
      <c r="S6" s="75" t="s">
        <v>790</v>
      </c>
    </row>
    <row r="7" spans="1:19">
      <c r="S7" s="73" t="s">
        <v>791</v>
      </c>
    </row>
    <row r="8" spans="1:19" s="71" customFormat="1" ht="26.4">
      <c r="A8" s="301" t="s">
        <v>682</v>
      </c>
      <c r="B8" s="301" t="s">
        <v>216</v>
      </c>
      <c r="C8" s="302" t="s">
        <v>794</v>
      </c>
    </row>
    <row r="9" spans="1:19" ht="105.6">
      <c r="A9" s="303" t="s">
        <v>215</v>
      </c>
      <c r="B9" s="92" t="s">
        <v>795</v>
      </c>
      <c r="C9" s="92" t="s">
        <v>796</v>
      </c>
      <c r="J9" s="74" t="s">
        <v>217</v>
      </c>
    </row>
    <row r="10" spans="1:19" ht="15">
      <c r="A10" s="75"/>
      <c r="B10" s="299"/>
      <c r="J10" s="75" t="s">
        <v>218</v>
      </c>
    </row>
    <row r="11" spans="1:19" ht="15">
      <c r="A11" s="75"/>
      <c r="B11" s="299"/>
      <c r="J11" s="75" t="s">
        <v>219</v>
      </c>
    </row>
    <row r="12" spans="1:19" ht="15">
      <c r="A12" s="75"/>
      <c r="B12" s="300"/>
      <c r="J12" s="75" t="s">
        <v>220</v>
      </c>
    </row>
    <row r="13" spans="1:19" ht="15">
      <c r="A13" s="75"/>
      <c r="B13" s="300"/>
      <c r="J13" s="75" t="s">
        <v>221</v>
      </c>
    </row>
    <row r="14" spans="1:19" ht="15">
      <c r="A14" s="75"/>
      <c r="B14" s="299"/>
      <c r="J14" s="75" t="s">
        <v>222</v>
      </c>
    </row>
    <row r="15" spans="1:19" ht="15">
      <c r="A15" s="75"/>
      <c r="B15" s="299"/>
      <c r="J15" s="75" t="s">
        <v>223</v>
      </c>
    </row>
    <row r="16" spans="1:19" ht="15">
      <c r="A16" s="75"/>
      <c r="B16" s="299"/>
      <c r="J16" s="75" t="s">
        <v>224</v>
      </c>
    </row>
    <row r="17" spans="1:16" ht="15">
      <c r="A17" s="75"/>
      <c r="B17" s="300"/>
      <c r="J17" s="75" t="s">
        <v>225</v>
      </c>
    </row>
    <row r="18" spans="1:16" ht="15">
      <c r="A18" s="75"/>
      <c r="B18" s="92"/>
      <c r="J18" s="75" t="s">
        <v>226</v>
      </c>
    </row>
    <row r="19" spans="1:16" ht="15">
      <c r="A19" s="75"/>
      <c r="J19" s="75" t="s">
        <v>227</v>
      </c>
    </row>
    <row r="20" spans="1:16" ht="15">
      <c r="A20" s="75"/>
      <c r="J20" s="76" t="s">
        <v>228</v>
      </c>
    </row>
    <row r="21" spans="1:16" ht="15">
      <c r="A21" s="75"/>
      <c r="J21" s="75" t="s">
        <v>229</v>
      </c>
    </row>
    <row r="22" spans="1:16" ht="15">
      <c r="A22" s="75"/>
    </row>
    <row r="23" spans="1:16" ht="15">
      <c r="A23" s="75"/>
    </row>
    <row r="24" spans="1:16" s="71" customFormat="1" ht="15">
      <c r="A24" s="70" t="s">
        <v>230</v>
      </c>
    </row>
    <row r="25" spans="1:16" ht="15.6">
      <c r="A25" s="72" t="s">
        <v>231</v>
      </c>
    </row>
    <row r="26" spans="1:16" ht="15.6">
      <c r="A26" s="75" t="s">
        <v>232</v>
      </c>
      <c r="P26" s="77"/>
    </row>
    <row r="27" spans="1:16" ht="15">
      <c r="A27" s="75" t="s">
        <v>233</v>
      </c>
    </row>
    <row r="28" spans="1:16" ht="15">
      <c r="A28" s="75" t="s">
        <v>234</v>
      </c>
    </row>
    <row r="29" spans="1:16" ht="15">
      <c r="A29" s="75" t="s">
        <v>235</v>
      </c>
    </row>
    <row r="30" spans="1:16" ht="15">
      <c r="A30" s="75" t="s">
        <v>236</v>
      </c>
    </row>
    <row r="31" spans="1:16" ht="15">
      <c r="A31" s="75"/>
    </row>
    <row r="32" spans="1:16" ht="15">
      <c r="A32" s="75" t="s">
        <v>237</v>
      </c>
    </row>
    <row r="33" spans="1:5" ht="15">
      <c r="A33" s="75" t="s">
        <v>238</v>
      </c>
    </row>
    <row r="34" spans="1:5" ht="15">
      <c r="A34" s="75"/>
    </row>
    <row r="35" spans="1:5" ht="15">
      <c r="A35" s="75" t="s">
        <v>239</v>
      </c>
    </row>
    <row r="36" spans="1:5" ht="15">
      <c r="A36" s="75" t="s">
        <v>240</v>
      </c>
    </row>
    <row r="37" spans="1:5" ht="15">
      <c r="A37" s="75" t="s">
        <v>234</v>
      </c>
    </row>
    <row r="38" spans="1:5" ht="15">
      <c r="A38" s="75" t="s">
        <v>235</v>
      </c>
    </row>
    <row r="39" spans="1:5" ht="15">
      <c r="A39" s="75" t="s">
        <v>236</v>
      </c>
    </row>
    <row r="44" spans="1:5" s="71" customFormat="1" ht="15">
      <c r="A44" s="70" t="s">
        <v>241</v>
      </c>
    </row>
    <row r="45" spans="1:5">
      <c r="A45" s="73" t="s">
        <v>242</v>
      </c>
      <c r="B45" s="74" t="s">
        <v>243</v>
      </c>
      <c r="C45" s="73" t="s">
        <v>244</v>
      </c>
    </row>
    <row r="47" spans="1:5">
      <c r="A47" s="74" t="s">
        <v>245</v>
      </c>
    </row>
    <row r="48" spans="1:5">
      <c r="A48" s="78" t="s">
        <v>246</v>
      </c>
      <c r="B48" s="78" t="s">
        <v>247</v>
      </c>
      <c r="C48" s="78" t="s">
        <v>248</v>
      </c>
      <c r="D48" s="78" t="s">
        <v>249</v>
      </c>
      <c r="E48" s="78" t="s">
        <v>250</v>
      </c>
    </row>
    <row r="49" spans="1:5">
      <c r="A49" s="79" t="s">
        <v>251</v>
      </c>
      <c r="B49" s="79" t="s">
        <v>251</v>
      </c>
      <c r="C49" s="79" t="s">
        <v>251</v>
      </c>
      <c r="D49" s="79" t="s">
        <v>251</v>
      </c>
      <c r="E49" s="79" t="s">
        <v>251</v>
      </c>
    </row>
    <row r="50" spans="1:5">
      <c r="A50" s="80" t="s">
        <v>252</v>
      </c>
      <c r="B50" s="80" t="s">
        <v>253</v>
      </c>
      <c r="C50" s="80" t="s">
        <v>254</v>
      </c>
      <c r="D50" s="80" t="s">
        <v>255</v>
      </c>
      <c r="E50" s="81"/>
    </row>
    <row r="51" spans="1:5">
      <c r="A51" s="80" t="s">
        <v>256</v>
      </c>
      <c r="B51" s="80" t="s">
        <v>257</v>
      </c>
      <c r="C51" s="81"/>
      <c r="D51" s="81"/>
      <c r="E51" s="81"/>
    </row>
    <row r="52" spans="1:5">
      <c r="A52" s="82" t="s">
        <v>258</v>
      </c>
      <c r="B52" s="82" t="s">
        <v>259</v>
      </c>
      <c r="C52" s="82" t="s">
        <v>260</v>
      </c>
      <c r="D52" s="82" t="s">
        <v>261</v>
      </c>
      <c r="E52" s="82" t="s">
        <v>262</v>
      </c>
    </row>
    <row r="53" spans="1:5">
      <c r="A53" s="82" t="s">
        <v>263</v>
      </c>
      <c r="B53" s="82" t="s">
        <v>264</v>
      </c>
      <c r="C53" s="81"/>
      <c r="D53" s="81"/>
      <c r="E53" s="81"/>
    </row>
    <row r="56" spans="1:5">
      <c r="A56" s="74" t="s">
        <v>265</v>
      </c>
    </row>
    <row r="57" spans="1:5">
      <c r="A57" s="83" t="s">
        <v>246</v>
      </c>
      <c r="B57" s="83" t="s">
        <v>247</v>
      </c>
      <c r="C57" s="83" t="s">
        <v>248</v>
      </c>
      <c r="D57" s="83" t="s">
        <v>249</v>
      </c>
      <c r="E57" s="83" t="s">
        <v>250</v>
      </c>
    </row>
    <row r="58" spans="1:5" ht="37.799999999999997">
      <c r="A58" s="81"/>
      <c r="B58" s="84" t="s">
        <v>266</v>
      </c>
      <c r="C58" s="84" t="s">
        <v>267</v>
      </c>
      <c r="D58" s="84" t="s">
        <v>268</v>
      </c>
      <c r="E58" s="81"/>
    </row>
    <row r="59" spans="1:5">
      <c r="A59" s="74" t="s">
        <v>269</v>
      </c>
    </row>
    <row r="60" spans="1:5">
      <c r="A60" s="83" t="s">
        <v>246</v>
      </c>
      <c r="B60" s="83" t="s">
        <v>247</v>
      </c>
      <c r="C60" s="83" t="s">
        <v>248</v>
      </c>
      <c r="D60" s="83" t="s">
        <v>249</v>
      </c>
      <c r="E60" s="83" t="s">
        <v>250</v>
      </c>
    </row>
    <row r="61" spans="1:5" ht="37.799999999999997">
      <c r="A61" s="81"/>
      <c r="B61" s="84" t="s">
        <v>270</v>
      </c>
      <c r="C61" s="84" t="s">
        <v>271</v>
      </c>
      <c r="D61" s="84" t="s">
        <v>272</v>
      </c>
      <c r="E61" s="81"/>
    </row>
    <row r="64" spans="1:5">
      <c r="A64" s="85" t="s">
        <v>273</v>
      </c>
      <c r="B64" s="85" t="s">
        <v>274</v>
      </c>
      <c r="C64" s="85" t="s">
        <v>275</v>
      </c>
    </row>
    <row r="65" spans="1:3">
      <c r="A65" s="86" t="s">
        <v>276</v>
      </c>
      <c r="B65" s="86" t="s">
        <v>277</v>
      </c>
      <c r="C65" s="86"/>
    </row>
    <row r="66" spans="1:3">
      <c r="A66" s="86" t="s">
        <v>278</v>
      </c>
      <c r="B66" s="86" t="s">
        <v>279</v>
      </c>
      <c r="C66" s="86" t="s">
        <v>280</v>
      </c>
    </row>
    <row r="67" spans="1:3" ht="26.4">
      <c r="A67" s="86" t="s">
        <v>281</v>
      </c>
      <c r="B67" s="86" t="s">
        <v>281</v>
      </c>
      <c r="C67" s="87" t="s">
        <v>282</v>
      </c>
    </row>
    <row r="68" spans="1:3">
      <c r="A68" s="86" t="s">
        <v>283</v>
      </c>
      <c r="B68" s="86" t="s">
        <v>284</v>
      </c>
      <c r="C68" s="86"/>
    </row>
    <row r="69" spans="1:3">
      <c r="A69" s="86"/>
      <c r="B69" s="86" t="s">
        <v>285</v>
      </c>
      <c r="C69" s="86"/>
    </row>
    <row r="70" spans="1:3">
      <c r="A70" s="86"/>
      <c r="B70" s="86" t="s">
        <v>286</v>
      </c>
      <c r="C70" s="86"/>
    </row>
    <row r="71" spans="1:3">
      <c r="A71" s="86"/>
      <c r="B71" s="86" t="s">
        <v>287</v>
      </c>
      <c r="C71" s="86" t="s">
        <v>288</v>
      </c>
    </row>
    <row r="72" spans="1:3">
      <c r="A72" s="86" t="s">
        <v>289</v>
      </c>
      <c r="B72" s="86" t="s">
        <v>290</v>
      </c>
      <c r="C72" s="86" t="s">
        <v>290</v>
      </c>
    </row>
    <row r="73" spans="1:3">
      <c r="A73" s="86" t="s">
        <v>291</v>
      </c>
      <c r="B73" s="86"/>
      <c r="C73" s="86"/>
    </row>
    <row r="74" spans="1:3">
      <c r="A74" s="86" t="s">
        <v>292</v>
      </c>
      <c r="B74" s="86"/>
      <c r="C74" s="86"/>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headerFooter alignWithMargins="0">
    <oddHeader>&amp;C&amp;A</oddHeader>
    <oddFooter>&amp;CPage &amp;P</oddFooter>
  </headerFooter>
  <rowBreaks count="1" manualBreakCount="1">
    <brk id="43" max="16383" man="1"/>
  </rowBreaks>
  <colBreaks count="1" manualBreakCount="1">
    <brk id="7"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EAC4-9EB7-4B8D-B9A0-11A511A83EE4}">
  <sheetPr>
    <tabColor rgb="FF00B0F0"/>
  </sheetPr>
  <dimension ref="B1:W82"/>
  <sheetViews>
    <sheetView zoomScale="69" workbookViewId="0">
      <selection activeCell="H10" sqref="H10"/>
    </sheetView>
  </sheetViews>
  <sheetFormatPr defaultRowHeight="14.4"/>
  <cols>
    <col min="1" max="1" width="3.44140625" customWidth="1"/>
    <col min="2" max="2" width="16.88671875" style="263" customWidth="1"/>
    <col min="3" max="3" width="54.5546875" style="262" customWidth="1"/>
    <col min="4" max="5" width="10.5546875" style="262" customWidth="1"/>
    <col min="6" max="6" width="12.5546875" style="262" customWidth="1"/>
    <col min="7" max="10" width="10.5546875" style="262" customWidth="1"/>
    <col min="11" max="11" width="14.44140625" style="262" customWidth="1"/>
    <col min="12" max="15" width="10.44140625" style="262" customWidth="1"/>
    <col min="16" max="16" width="10.5546875" style="262" customWidth="1"/>
    <col min="17" max="21" width="9.88671875" style="262" customWidth="1"/>
    <col min="22" max="23" width="10.5546875" style="262" customWidth="1"/>
  </cols>
  <sheetData>
    <row r="1" spans="2:23" ht="20.399999999999999" thickBot="1">
      <c r="B1" s="261" t="s">
        <v>714</v>
      </c>
    </row>
    <row r="2" spans="2:23" ht="15" thickTop="1"/>
    <row r="3" spans="2:23" ht="18" thickBot="1">
      <c r="E3" s="264" t="s">
        <v>467</v>
      </c>
      <c r="F3" s="262" t="s">
        <v>715</v>
      </c>
      <c r="G3" s="262" t="s">
        <v>715</v>
      </c>
      <c r="H3" s="262" t="s">
        <v>715</v>
      </c>
      <c r="I3" s="262" t="s">
        <v>715</v>
      </c>
      <c r="J3" s="262" t="s">
        <v>715</v>
      </c>
      <c r="K3" s="262" t="s">
        <v>716</v>
      </c>
      <c r="L3" s="262" t="s">
        <v>716</v>
      </c>
      <c r="M3" s="262" t="s">
        <v>716</v>
      </c>
      <c r="N3" s="262" t="s">
        <v>716</v>
      </c>
      <c r="O3" s="262" t="s">
        <v>716</v>
      </c>
      <c r="P3" s="262" t="s">
        <v>717</v>
      </c>
      <c r="Q3" s="262" t="s">
        <v>718</v>
      </c>
      <c r="R3" s="262" t="s">
        <v>718</v>
      </c>
      <c r="S3" s="262" t="s">
        <v>718</v>
      </c>
      <c r="T3" s="262" t="s">
        <v>718</v>
      </c>
      <c r="U3" s="262" t="s">
        <v>718</v>
      </c>
    </row>
    <row r="4" spans="2:23" ht="30" thickTop="1" thickBot="1">
      <c r="B4" s="265" t="s">
        <v>507</v>
      </c>
      <c r="C4" s="265" t="s">
        <v>506</v>
      </c>
      <c r="D4" s="265" t="s">
        <v>508</v>
      </c>
      <c r="E4" s="265" t="s">
        <v>509</v>
      </c>
      <c r="F4" s="266" t="s">
        <v>719</v>
      </c>
      <c r="G4" s="266" t="s">
        <v>720</v>
      </c>
      <c r="H4" s="266" t="s">
        <v>721</v>
      </c>
      <c r="I4" s="266" t="s">
        <v>722</v>
      </c>
      <c r="J4" s="266" t="s">
        <v>723</v>
      </c>
      <c r="K4" s="267" t="s">
        <v>724</v>
      </c>
      <c r="L4" s="267" t="s">
        <v>725</v>
      </c>
      <c r="M4" s="267" t="s">
        <v>726</v>
      </c>
      <c r="N4" s="267" t="s">
        <v>727</v>
      </c>
      <c r="O4" s="267" t="s">
        <v>728</v>
      </c>
      <c r="P4" s="267" t="s">
        <v>717</v>
      </c>
      <c r="Q4" s="266" t="s">
        <v>729</v>
      </c>
      <c r="R4" s="266" t="s">
        <v>730</v>
      </c>
      <c r="S4" s="266" t="s">
        <v>731</v>
      </c>
      <c r="T4" s="266" t="s">
        <v>732</v>
      </c>
      <c r="U4" s="266" t="s">
        <v>733</v>
      </c>
      <c r="V4" s="265" t="s">
        <v>734</v>
      </c>
      <c r="W4" s="265" t="s">
        <v>735</v>
      </c>
    </row>
    <row r="5" spans="2:23">
      <c r="B5" s="268" t="s">
        <v>476</v>
      </c>
      <c r="C5" s="269"/>
      <c r="D5" s="269"/>
      <c r="E5" s="269"/>
      <c r="F5" s="269">
        <v>2017</v>
      </c>
      <c r="G5" s="269">
        <v>2020</v>
      </c>
      <c r="H5" s="269">
        <v>2030</v>
      </c>
      <c r="I5" s="269">
        <v>2040</v>
      </c>
      <c r="J5" s="269">
        <v>2050</v>
      </c>
      <c r="K5" s="269">
        <v>2017</v>
      </c>
      <c r="L5" s="269">
        <v>2020</v>
      </c>
      <c r="M5" s="269">
        <v>2030</v>
      </c>
      <c r="N5" s="269">
        <v>2040</v>
      </c>
      <c r="O5" s="269">
        <v>2050</v>
      </c>
      <c r="P5" s="269" t="s">
        <v>736</v>
      </c>
      <c r="Q5" s="269">
        <v>2017</v>
      </c>
      <c r="R5" s="269">
        <v>2020</v>
      </c>
      <c r="S5" s="269">
        <v>2030</v>
      </c>
      <c r="T5" s="269">
        <v>2040</v>
      </c>
      <c r="U5" s="269">
        <v>2050</v>
      </c>
      <c r="V5" s="269"/>
      <c r="W5" s="269"/>
    </row>
    <row r="6" spans="2:23">
      <c r="B6" s="270" t="str">
        <f>IF([25]ITEMS_Tech_E!D6="","",[25]ITEMS_Tech_E!D6)</f>
        <v>*</v>
      </c>
      <c r="C6" s="271" t="str">
        <f>IF([25]ITEMS_Tech_E!E6="","",[25]ITEMS_Tech_E!E6)</f>
        <v>Private SUVS</v>
      </c>
      <c r="D6" s="272"/>
      <c r="E6" s="272"/>
      <c r="F6" s="273" t="s">
        <v>737</v>
      </c>
      <c r="G6" s="273">
        <f>IFERROR(INDEX('[25]EFF-E_ANTC'!$C$4:$H$47,MATCH($B6,'[25]EFF-E_ANTC'!$A$4:$A$47,0),MATCH(G$5,'[25]EFF-E_ANTC'!$C$3:$H$3,0)),"")</f>
        <v>6.4532835825940396E-2</v>
      </c>
      <c r="H6" s="273">
        <f>IFERROR(INDEX('[25]EFF-E_ANTC'!$C$4:$H$47,MATCH($B6,'[25]EFF-E_ANTC'!$A$4:$A$47,0),MATCH(H$5,'[25]EFF-E_ANTC'!$C$3:$H$3,0)),"")</f>
        <v>6.5227894002483106E-2</v>
      </c>
      <c r="I6" s="273">
        <f>IFERROR(INDEX('[25]EFF-E_ANTC'!$C$4:$H$47,MATCH($B6,'[25]EFF-E_ANTC'!$A$4:$A$47,0),MATCH(I$5,'[25]EFF-E_ANTC'!$C$3:$H$3,0)),"")</f>
        <v>6.6011283101863896E-2</v>
      </c>
      <c r="J6" s="273">
        <f>IFERROR(INDEX('[25]EFF-E_ANTC'!$C$4:$H$47,MATCH($B6,'[25]EFF-E_ANTC'!$A$4:$A$47,0),MATCH(J$5,'[25]EFF-E_ANTC'!$C$3:$H$3,0)),"")</f>
        <v>6.6777008175099004E-2</v>
      </c>
      <c r="K6" s="274" t="s">
        <v>738</v>
      </c>
      <c r="L6" s="274">
        <f>IFERROR(INDEX('[25]AFA-E_ANTC'!$J$5:$O$48,MATCH($B6,'[25]AFA-E_ANTC'!$A$5:$A$48,0),MATCH(L$5,'[25]AFA-E_ANTC'!$J$3:$O$3,0)),"")</f>
        <v>0.33706878442068333</v>
      </c>
      <c r="M6" s="274">
        <f>IFERROR(INDEX('[25]AFA-E_ANTC'!$J$5:$O$48,MATCH($B6,'[25]AFA-E_ANTC'!$A$5:$A$48,0),MATCH(M$5,'[25]AFA-E_ANTC'!$J$3:$O$3,0)),"")</f>
        <v>0.15171434294469499</v>
      </c>
      <c r="N6" s="274">
        <f>IFERROR(INDEX('[25]AFA-E_ANTC'!$J$5:$O$48,MATCH($B6,'[25]AFA-E_ANTC'!$A$5:$A$48,0),MATCH(N$5,'[25]AFA-E_ANTC'!$J$3:$O$3,0)),"")</f>
        <v>6.6477490540613332E-2</v>
      </c>
      <c r="O6" s="274">
        <f>IFERROR(INDEX('[25]AFA-E_ANTC'!$J$5:$O$48,MATCH($B6,'[25]AFA-E_ANTC'!$A$5:$A$48,0),MATCH(O$5,'[25]AFA-E_ANTC'!$J$3:$O$3,0)),"")</f>
        <v>2.8637041139474666E-2</v>
      </c>
      <c r="P6" s="274" t="s">
        <v>739</v>
      </c>
      <c r="Q6" s="275" t="s">
        <v>740</v>
      </c>
      <c r="R6" s="276">
        <f>IFERROR(INDEX('[25]RESID-E_ANTC'!$M$5:$T$48,MATCH($B6,'[25]RESID-E_ANTC'!$A$5:$A$48,0),MATCH(R$5,'[25]RESID-E_ANTC'!$M$3:$T$3,0)),"")</f>
        <v>23.083651962362801</v>
      </c>
      <c r="S6" s="276">
        <f>IFERROR(INDEX('[25]RESID-E_ANTC'!$M$5:$T$48,MATCH($B6,'[25]RESID-E_ANTC'!$A$5:$A$48,0),MATCH(S$5,'[25]RESID-E_ANTC'!$M$3:$T$3,0)),"")</f>
        <v>15.5161252325553</v>
      </c>
      <c r="T6" s="276">
        <f>IFERROR(INDEX('[25]RESID-E_ANTC'!$M$5:$T$48,MATCH($B6,'[25]RESID-E_ANTC'!$A$5:$A$48,0),MATCH(T$5,'[25]RESID-E_ANTC'!$M$3:$T$3,0)),"")</f>
        <v>0</v>
      </c>
      <c r="U6" s="276">
        <f>IFERROR(INDEX('[25]RESID-E_ANTC'!$M$5:$T$48,MATCH($B6,'[25]RESID-E_ANTC'!$A$5:$A$48,0),MATCH(U$5,'[25]RESID-E_ANTC'!$M$3:$T$3,0)),"")</f>
        <v>0</v>
      </c>
      <c r="V6" s="277"/>
      <c r="W6" s="277"/>
    </row>
    <row r="7" spans="2:23">
      <c r="B7" s="270" t="str">
        <f>IF([25]ITEMS_Tech_E!D7="","",[25]ITEMS_Tech_E!D7)</f>
        <v>TPPRSUVODS-E</v>
      </c>
      <c r="C7" s="271" t="str">
        <f>IF([25]ITEMS_Tech_E!E7="","",[25]ITEMS_Tech_E!E7)</f>
        <v>Transport Passenger SUV Priv.Veh. Oil Diesel-Existing</v>
      </c>
      <c r="D7" s="277" t="s">
        <v>741</v>
      </c>
      <c r="E7" s="277" t="s">
        <v>742</v>
      </c>
      <c r="F7" s="278">
        <f>IFERROR(INDEX('[25]EFF-E_ANTC'!$C$4:$H$47,MATCH($B7,'[25]EFF-E_ANTC'!$A$4:$A$47,0),MATCH(F$5,'[25]EFF-E_ANTC'!$C$3:$H$3,0)),"")</f>
        <v>0.23305744392160199</v>
      </c>
      <c r="G7" s="278">
        <f>IFERROR(INDEX('[25]EFF-E_ANTC'!$C$4:$H$47,MATCH($B7,'[25]EFF-E_ANTC'!$A$4:$A$47,0),MATCH(G$5,'[25]EFF-E_ANTC'!$C$3:$H$3,0)),"")</f>
        <v>0.23340599419800401</v>
      </c>
      <c r="H7" s="278">
        <f>IFERROR(INDEX('[25]EFF-E_ANTC'!$C$4:$H$47,MATCH($B7,'[25]EFF-E_ANTC'!$A$4:$A$47,0),MATCH(H$5,'[25]EFF-E_ANTC'!$C$3:$H$3,0)),"")</f>
        <v>0.23509880748513301</v>
      </c>
      <c r="I7" s="278">
        <f>IFERROR(INDEX('[25]EFF-E_ANTC'!$C$4:$H$47,MATCH($B7,'[25]EFF-E_ANTC'!$A$4:$A$47,0),MATCH(I$5,'[25]EFF-E_ANTC'!$C$3:$H$3,0)),"")</f>
        <v>0.237131336819111</v>
      </c>
      <c r="J7" s="278">
        <f>IFERROR(INDEX('[25]EFF-E_ANTC'!$C$4:$H$47,MATCH($B7,'[25]EFF-E_ANTC'!$A$4:$A$47,0),MATCH(J$5,'[25]EFF-E_ANTC'!$C$3:$H$3,0)),"")</f>
        <v>0.23904134817290701</v>
      </c>
      <c r="K7" s="274">
        <f>IFERROR(INDEX('[25]AFA-E_ANTC'!$J$5:$O$48,MATCH($B7,'[25]AFA-E_ANTC'!$A$5:$A$48,0),MATCH(K$5,'[25]AFA-E_ANTC'!$J$3:$O$3,0)),"")</f>
        <v>0.81296586924800007</v>
      </c>
      <c r="L7" s="274">
        <f>IFERROR(INDEX('[25]AFA-E_ANTC'!$J$5:$O$48,MATCH($B7,'[25]AFA-E_ANTC'!$A$5:$A$48,0),MATCH(L$5,'[25]AFA-E_ANTC'!$J$3:$O$3,0)),"")</f>
        <v>0.72582156475611248</v>
      </c>
      <c r="M7" s="274">
        <f>IFERROR(INDEX('[25]AFA-E_ANTC'!$J$5:$O$48,MATCH($B7,'[25]AFA-E_ANTC'!$A$5:$A$48,0),MATCH(M$5,'[25]AFA-E_ANTC'!$J$3:$O$3,0)),"")</f>
        <v>0.50210233773774582</v>
      </c>
      <c r="N7" s="274">
        <f>IFERROR(INDEX('[25]AFA-E_ANTC'!$J$5:$O$48,MATCH($B7,'[25]AFA-E_ANTC'!$A$5:$A$48,0),MATCH(N$5,'[25]AFA-E_ANTC'!$J$3:$O$3,0)),"")</f>
        <v>0.34928235472323665</v>
      </c>
      <c r="O7" s="274">
        <f>IFERROR(INDEX('[25]AFA-E_ANTC'!$J$5:$O$48,MATCH($B7,'[25]AFA-E_ANTC'!$A$5:$A$48,0),MATCH(O$5,'[25]AFA-E_ANTC'!$J$3:$O$3,0)),"")</f>
        <v>0.24228368202297001</v>
      </c>
      <c r="P7" s="274">
        <f>IFERROR(INDEX('[25]AFA-E_ANTC'!$P$5:$P$48,MATCH($B7,'[25]AFA-E_ANTC'!$A$5:$A$48,0)),"")</f>
        <v>2.4E-2</v>
      </c>
      <c r="Q7" s="276">
        <f>IFERROR(INDEX('[25]RESID-E_ANTC'!$M$5:$T$48,MATCH($B7,'[25]RESID-E_ANTC'!$A$5:$A$48,0),MATCH(Q$5,'[25]RESID-E_ANTC'!$M$3:$T$3,0)),"")</f>
        <v>439.31608188194201</v>
      </c>
      <c r="R7" s="276">
        <f>IFERROR(INDEX('[25]RESID-E_ANTC'!$M$5:$T$48,MATCH($B7,'[25]RESID-E_ANTC'!$A$5:$A$48,0),MATCH(R$5,'[25]RESID-E_ANTC'!$M$3:$T$3,0)),"")</f>
        <v>423.99215654706899</v>
      </c>
      <c r="S7" s="276">
        <f>IFERROR(INDEX('[25]RESID-E_ANTC'!$M$5:$T$48,MATCH($B7,'[25]RESID-E_ANTC'!$A$5:$A$48,0),MATCH(S$5,'[25]RESID-E_ANTC'!$M$3:$T$3,0)),"")</f>
        <v>305.37671951021599</v>
      </c>
      <c r="T7" s="276">
        <f>IFERROR(INDEX('[25]RESID-E_ANTC'!$M$5:$T$48,MATCH($B7,'[25]RESID-E_ANTC'!$A$5:$A$48,0),MATCH(T$5,'[25]RESID-E_ANTC'!$M$3:$T$3,0)),"")</f>
        <v>0</v>
      </c>
      <c r="U7" s="276">
        <f>IFERROR(INDEX('[25]RESID-E_ANTC'!$M$5:$T$48,MATCH($B7,'[25]RESID-E_ANTC'!$A$5:$A$48,0),MATCH(U$5,'[25]RESID-E_ANTC'!$M$3:$T$3,0)),"")</f>
        <v>0</v>
      </c>
      <c r="V7" s="279">
        <v>3</v>
      </c>
      <c r="W7" s="279">
        <v>0</v>
      </c>
    </row>
    <row r="8" spans="2:23">
      <c r="B8" s="270" t="str">
        <f>IF([25]ITEMS_Tech_E!D8="","",[25]ITEMS_Tech_E!D8)</f>
        <v>TPPRSUVOGS-E</v>
      </c>
      <c r="C8" s="271" t="str">
        <f>IF([25]ITEMS_Tech_E!E8="","",[25]ITEMS_Tech_E!E8)</f>
        <v>Transport Passenger SUV Priv.Veh. Oil Gasoline-Existing</v>
      </c>
      <c r="D8" s="277" t="s">
        <v>743</v>
      </c>
      <c r="E8" s="277" t="s">
        <v>742</v>
      </c>
      <c r="F8" s="278">
        <f>IFERROR(INDEX('[25]EFF-E_ANTC'!$C$4:$H$47,MATCH($B8,'[25]EFF-E_ANTC'!$A$4:$A$47,0),MATCH(F$5,'[25]EFF-E_ANTC'!$C$3:$H$3,0)),"")</f>
        <v>0.21576687545224399</v>
      </c>
      <c r="G8" s="278">
        <f>IFERROR(INDEX('[25]EFF-E_ANTC'!$C$4:$H$47,MATCH($B8,'[25]EFF-E_ANTC'!$A$4:$A$47,0),MATCH(G$5,'[25]EFF-E_ANTC'!$C$3:$H$3,0)),"")</f>
        <v>0.21618578391000501</v>
      </c>
      <c r="H8" s="278">
        <f>IFERROR(INDEX('[25]EFF-E_ANTC'!$C$4:$H$47,MATCH($B8,'[25]EFF-E_ANTC'!$A$4:$A$47,0),MATCH(H$5,'[25]EFF-E_ANTC'!$C$3:$H$3,0)),"")</f>
        <v>0.218019202930891</v>
      </c>
      <c r="I8" s="278">
        <f>IFERROR(INDEX('[25]EFF-E_ANTC'!$C$4:$H$47,MATCH($B8,'[25]EFF-E_ANTC'!$A$4:$A$47,0),MATCH(I$5,'[25]EFF-E_ANTC'!$C$3:$H$3,0)),"")</f>
        <v>0.220066514706491</v>
      </c>
      <c r="J8" s="278">
        <f>IFERROR(INDEX('[25]EFF-E_ANTC'!$C$4:$H$47,MATCH($B8,'[25]EFF-E_ANTC'!$A$4:$A$47,0),MATCH(J$5,'[25]EFF-E_ANTC'!$C$3:$H$3,0)),"")</f>
        <v>0.22191326959965599</v>
      </c>
      <c r="K8" s="274">
        <f>IFERROR(INDEX('[25]AFA-E_ANTC'!$J$5:$O$48,MATCH($B8,'[25]AFA-E_ANTC'!$A$5:$A$48,0),MATCH(K$5,'[25]AFA-E_ANTC'!$J$3:$O$3,0)),"")</f>
        <v>0.80199601758945427</v>
      </c>
      <c r="L8" s="274">
        <f>IFERROR(INDEX('[25]AFA-E_ANTC'!$J$5:$O$48,MATCH($B8,'[25]AFA-E_ANTC'!$A$5:$A$48,0),MATCH(L$5,'[25]AFA-E_ANTC'!$J$3:$O$3,0)),"")</f>
        <v>0.71756577178729175</v>
      </c>
      <c r="M8" s="274">
        <f>IFERROR(INDEX('[25]AFA-E_ANTC'!$J$5:$O$48,MATCH($B8,'[25]AFA-E_ANTC'!$A$5:$A$48,0),MATCH(M$5,'[25]AFA-E_ANTC'!$J$3:$O$3,0)),"")</f>
        <v>0.49922132867142915</v>
      </c>
      <c r="N8" s="274">
        <f>IFERROR(INDEX('[25]AFA-E_ANTC'!$J$5:$O$48,MATCH($B8,'[25]AFA-E_ANTC'!$A$5:$A$48,0),MATCH(N$5,'[25]AFA-E_ANTC'!$J$3:$O$3,0)),"")</f>
        <v>0.34847106259439709</v>
      </c>
      <c r="O8" s="274">
        <f>IFERROR(INDEX('[25]AFA-E_ANTC'!$J$5:$O$48,MATCH($B8,'[25]AFA-E_ANTC'!$A$5:$A$48,0),MATCH(O$5,'[25]AFA-E_ANTC'!$J$3:$O$3,0)),"")</f>
        <v>0.24213269062880041</v>
      </c>
      <c r="P8" s="274">
        <f>IFERROR(INDEX('[25]AFA-E_ANTC'!$P$5:$P$48,MATCH($B8,'[25]AFA-E_ANTC'!$A$5:$A$48,0)),"")</f>
        <v>2.4E-2</v>
      </c>
      <c r="Q8" s="276">
        <f>IFERROR(INDEX('[25]RESID-E_ANTC'!$M$5:$T$48,MATCH($B8,'[25]RESID-E_ANTC'!$A$5:$A$48,0),MATCH(Q$5,'[25]RESID-E_ANTC'!$M$3:$T$3,0)),"")</f>
        <v>476.243900144387</v>
      </c>
      <c r="R8" s="276">
        <f>IFERROR(INDEX('[25]RESID-E_ANTC'!$M$5:$T$48,MATCH($B8,'[25]RESID-E_ANTC'!$A$5:$A$48,0),MATCH(R$5,'[25]RESID-E_ANTC'!$M$3:$T$3,0)),"")</f>
        <v>456.37773432999398</v>
      </c>
      <c r="S8" s="276">
        <f>IFERROR(INDEX('[25]RESID-E_ANTC'!$M$5:$T$48,MATCH($B8,'[25]RESID-E_ANTC'!$A$5:$A$48,0),MATCH(S$5,'[25]RESID-E_ANTC'!$M$3:$T$3,0)),"")</f>
        <v>321.47565435311702</v>
      </c>
      <c r="T8" s="276">
        <f>IFERROR(INDEX('[25]RESID-E_ANTC'!$M$5:$T$48,MATCH($B8,'[25]RESID-E_ANTC'!$A$5:$A$48,0),MATCH(T$5,'[25]RESID-E_ANTC'!$M$3:$T$3,0)),"")</f>
        <v>0</v>
      </c>
      <c r="U8" s="276">
        <f>IFERROR(INDEX('[25]RESID-E_ANTC'!$M$5:$T$48,MATCH($B8,'[25]RESID-E_ANTC'!$A$5:$A$48,0),MATCH(U$5,'[25]RESID-E_ANTC'!$M$3:$T$3,0)),"")</f>
        <v>0</v>
      </c>
      <c r="V8" s="279">
        <v>3</v>
      </c>
      <c r="W8" s="279">
        <v>0</v>
      </c>
    </row>
    <row r="9" spans="2:23">
      <c r="B9" s="270" t="str">
        <f>IF([25]ITEMS_Tech_E!D9="","",[25]ITEMS_Tech_E!D9)</f>
        <v>TPPRSUVOGSH-E</v>
      </c>
      <c r="C9" s="271" t="str">
        <f>IF([25]ITEMS_Tech_E!E9="","",[25]ITEMS_Tech_E!E9)</f>
        <v>Transport Passenger SUV Priv.Veh. Oil GasolineHybrid-Existing</v>
      </c>
      <c r="D9" s="277" t="s">
        <v>743</v>
      </c>
      <c r="E9" s="277" t="s">
        <v>742</v>
      </c>
      <c r="F9" s="278">
        <f>IFERROR(INDEX('[25]EFF-E_ANTC'!$C$4:$H$47,MATCH($B9,'[25]EFF-E_ANTC'!$A$4:$A$47,0),MATCH(F$5,'[25]EFF-E_ANTC'!$C$3:$H$3,0)),"")</f>
        <v>0.42759293682001998</v>
      </c>
      <c r="G9" s="278">
        <f>IFERROR(INDEX('[25]EFF-E_ANTC'!$C$4:$H$47,MATCH($B9,'[25]EFF-E_ANTC'!$A$4:$A$47,0),MATCH(G$5,'[25]EFF-E_ANTC'!$C$3:$H$3,0)),"")</f>
        <v>0.42775501230198898</v>
      </c>
      <c r="H9" s="278">
        <f>IFERROR(INDEX('[25]EFF-E_ANTC'!$C$4:$H$47,MATCH($B9,'[25]EFF-E_ANTC'!$A$4:$A$47,0),MATCH(H$5,'[25]EFF-E_ANTC'!$C$3:$H$3,0)),"")</f>
        <v>0.42938928409693999</v>
      </c>
      <c r="I9" s="278">
        <f>IFERROR(INDEX('[25]EFF-E_ANTC'!$C$4:$H$47,MATCH($B9,'[25]EFF-E_ANTC'!$A$4:$A$47,0),MATCH(I$5,'[25]EFF-E_ANTC'!$C$3:$H$3,0)),"")</f>
        <v>0.43322071824803499</v>
      </c>
      <c r="J9" s="278">
        <f>IFERROR(INDEX('[25]EFF-E_ANTC'!$C$4:$H$47,MATCH($B9,'[25]EFF-E_ANTC'!$A$4:$A$47,0),MATCH(J$5,'[25]EFF-E_ANTC'!$C$3:$H$3,0)),"")</f>
        <v>0.43867505244828803</v>
      </c>
      <c r="K9" s="274">
        <f>IFERROR(INDEX('[25]AFA-E_ANTC'!$J$5:$O$48,MATCH($B9,'[25]AFA-E_ANTC'!$A$5:$A$48,0),MATCH(K$5,'[25]AFA-E_ANTC'!$J$3:$O$3,0)),"")</f>
        <v>0.82589871967482076</v>
      </c>
      <c r="L9" s="274">
        <f>IFERROR(INDEX('[25]AFA-E_ANTC'!$J$5:$O$48,MATCH($B9,'[25]AFA-E_ANTC'!$A$5:$A$48,0),MATCH(L$5,'[25]AFA-E_ANTC'!$J$3:$O$3,0)),"")</f>
        <v>0.73361846696394994</v>
      </c>
      <c r="M9" s="274">
        <f>IFERROR(INDEX('[25]AFA-E_ANTC'!$J$5:$O$48,MATCH($B9,'[25]AFA-E_ANTC'!$A$5:$A$48,0),MATCH(M$5,'[25]AFA-E_ANTC'!$J$3:$O$3,0)),"")</f>
        <v>0.49931853558417916</v>
      </c>
      <c r="N9" s="274">
        <f>IFERROR(INDEX('[25]AFA-E_ANTC'!$J$5:$O$48,MATCH($B9,'[25]AFA-E_ANTC'!$A$5:$A$48,0),MATCH(N$5,'[25]AFA-E_ANTC'!$J$3:$O$3,0)),"")</f>
        <v>0.34695802486143246</v>
      </c>
      <c r="O9" s="274">
        <f>IFERROR(INDEX('[25]AFA-E_ANTC'!$J$5:$O$48,MATCH($B9,'[25]AFA-E_ANTC'!$A$5:$A$48,0),MATCH(O$5,'[25]AFA-E_ANTC'!$J$3:$O$3,0)),"")</f>
        <v>0.24494321746974082</v>
      </c>
      <c r="P9" s="274">
        <f>IFERROR(INDEX('[25]AFA-E_ANTC'!$P$5:$P$48,MATCH($B9,'[25]AFA-E_ANTC'!$A$5:$A$48,0)),"")</f>
        <v>2.4E-2</v>
      </c>
      <c r="Q9" s="276">
        <f>IFERROR(INDEX('[25]RESID-E_ANTC'!$M$5:$T$48,MATCH($B9,'[25]RESID-E_ANTC'!$A$5:$A$48,0),MATCH(Q$5,'[25]RESID-E_ANTC'!$M$3:$T$3,0)),"")</f>
        <v>0.80312517525851201</v>
      </c>
      <c r="R9" s="276">
        <f>IFERROR(INDEX('[25]RESID-E_ANTC'!$M$5:$T$48,MATCH($B9,'[25]RESID-E_ANTC'!$A$5:$A$48,0),MATCH(R$5,'[25]RESID-E_ANTC'!$M$3:$T$3,0)),"")</f>
        <v>0.78934356053377797</v>
      </c>
      <c r="S9" s="276">
        <f>IFERROR(INDEX('[25]RESID-E_ANTC'!$M$5:$T$48,MATCH($B9,'[25]RESID-E_ANTC'!$A$5:$A$48,0),MATCH(S$5,'[25]RESID-E_ANTC'!$M$3:$T$3,0)),"")</f>
        <v>0.60265953422099805</v>
      </c>
      <c r="T9" s="276">
        <f>IFERROR(INDEX('[25]RESID-E_ANTC'!$M$5:$T$48,MATCH($B9,'[25]RESID-E_ANTC'!$A$5:$A$48,0),MATCH(T$5,'[25]RESID-E_ANTC'!$M$3:$T$3,0)),"")</f>
        <v>0</v>
      </c>
      <c r="U9" s="276">
        <f>IFERROR(INDEX('[25]RESID-E_ANTC'!$M$5:$T$48,MATCH($B9,'[25]RESID-E_ANTC'!$A$5:$A$48,0),MATCH(U$5,'[25]RESID-E_ANTC'!$M$3:$T$3,0)),"")</f>
        <v>0</v>
      </c>
      <c r="V9" s="279">
        <v>3</v>
      </c>
      <c r="W9" s="279">
        <v>0</v>
      </c>
    </row>
    <row r="10" spans="2:23">
      <c r="B10" s="270" t="str">
        <f>IF([25]ITEMS_Tech_E!D10="","",[25]ITEMS_Tech_E!D10)</f>
        <v>TPPRSUVELC-E</v>
      </c>
      <c r="C10" s="271" t="str">
        <f>IF([25]ITEMS_Tech_E!E10="","",[25]ITEMS_Tech_E!E10)</f>
        <v>Transport Passenger SUV Priv.Veh. Electricity-Existing</v>
      </c>
      <c r="D10" s="277" t="s">
        <v>744</v>
      </c>
      <c r="E10" s="277" t="s">
        <v>742</v>
      </c>
      <c r="F10" s="278">
        <f>IFERROR(INDEX('[25]EFF-E_ANTC'!$C$4:$H$47,MATCH($B10,'[25]EFF-E_ANTC'!$A$4:$A$47,0),MATCH(F$5,'[25]EFF-E_ANTC'!$C$3:$H$3,0)),"")</f>
        <v>1.4770000000000001</v>
      </c>
      <c r="G10" s="278">
        <f>IFERROR(INDEX('[25]EFF-E_ANTC'!$C$4:$H$47,MATCH($B10,'[25]EFF-E_ANTC'!$A$4:$A$47,0),MATCH(G$5,'[25]EFF-E_ANTC'!$C$3:$H$3,0)),"")</f>
        <v>1.4770000000000001</v>
      </c>
      <c r="H10" s="278">
        <f>IFERROR(INDEX('[25]EFF-E_ANTC'!$C$4:$H$47,MATCH($B10,'[25]EFF-E_ANTC'!$A$4:$A$47,0),MATCH(H$5,'[25]EFF-E_ANTC'!$C$3:$H$3,0)),"")</f>
        <v>1.4770000000000001</v>
      </c>
      <c r="I10" s="278">
        <f>IFERROR(INDEX('[25]EFF-E_ANTC'!$C$4:$H$47,MATCH($B10,'[25]EFF-E_ANTC'!$A$4:$A$47,0),MATCH(I$5,'[25]EFF-E_ANTC'!$C$3:$H$3,0)),"")</f>
        <v>1.4770000000000001</v>
      </c>
      <c r="J10" s="278">
        <f>IFERROR(INDEX('[25]EFF-E_ANTC'!$C$4:$H$47,MATCH($B10,'[25]EFF-E_ANTC'!$A$4:$A$47,0),MATCH(J$5,'[25]EFF-E_ANTC'!$C$3:$H$3,0)),"")</f>
        <v>1.4770000000000001</v>
      </c>
      <c r="K10" s="274">
        <f>IFERROR(INDEX('[25]AFA-E_ANTC'!$J$5:$O$48,MATCH($B10,'[25]AFA-E_ANTC'!$A$5:$A$48,0),MATCH(K$5,'[25]AFA-E_ANTC'!$J$3:$O$3,0)),"")</f>
        <v>0.88237470217706671</v>
      </c>
      <c r="L10" s="274">
        <f>IFERROR(INDEX('[25]AFA-E_ANTC'!$J$5:$O$48,MATCH($B10,'[25]AFA-E_ANTC'!$A$5:$A$48,0),MATCH(L$5,'[25]AFA-E_ANTC'!$J$3:$O$3,0)),"")</f>
        <v>0.78267591281561666</v>
      </c>
      <c r="M10" s="274">
        <f>IFERROR(INDEX('[25]AFA-E_ANTC'!$J$5:$O$48,MATCH($B10,'[25]AFA-E_ANTC'!$A$5:$A$48,0),MATCH(M$5,'[25]AFA-E_ANTC'!$J$3:$O$3,0)),"")</f>
        <v>0.52550417082036249</v>
      </c>
      <c r="N10" s="274">
        <f>IFERROR(INDEX('[25]AFA-E_ANTC'!$J$5:$O$48,MATCH($B10,'[25]AFA-E_ANTC'!$A$5:$A$48,0),MATCH(N$5,'[25]AFA-E_ANTC'!$J$3:$O$3,0)),"")</f>
        <v>0.35378762629532456</v>
      </c>
      <c r="O10" s="274">
        <f>IFERROR(INDEX('[25]AFA-E_ANTC'!$J$5:$O$48,MATCH($B10,'[25]AFA-E_ANTC'!$A$5:$A$48,0),MATCH(O$5,'[25]AFA-E_ANTC'!$J$3:$O$3,0)),"")</f>
        <v>0.23886240471698916</v>
      </c>
      <c r="P10" s="274">
        <f>IFERROR(INDEX('[25]AFA-E_ANTC'!$P$5:$P$48,MATCH($B10,'[25]AFA-E_ANTC'!$A$5:$A$48,0)),"")</f>
        <v>2.4E-2</v>
      </c>
      <c r="Q10" s="276">
        <f>IFERROR(INDEX('[25]RESID-E_ANTC'!$M$5:$T$48,MATCH($B10,'[25]RESID-E_ANTC'!$A$5:$A$48,0),MATCH(Q$5,'[25]RESID-E_ANTC'!$M$3:$T$3,0)),"")</f>
        <v>0</v>
      </c>
      <c r="R10" s="276">
        <f>IFERROR(INDEX('[25]RESID-E_ANTC'!$M$5:$T$48,MATCH($B10,'[25]RESID-E_ANTC'!$A$5:$A$48,0),MATCH(R$5,'[25]RESID-E_ANTC'!$M$3:$T$3,0)),"")</f>
        <v>0</v>
      </c>
      <c r="S10" s="276">
        <f>IFERROR(INDEX('[25]RESID-E_ANTC'!$M$5:$T$48,MATCH($B10,'[25]RESID-E_ANTC'!$A$5:$A$48,0),MATCH(S$5,'[25]RESID-E_ANTC'!$M$3:$T$3,0)),"")</f>
        <v>0</v>
      </c>
      <c r="T10" s="276">
        <f>IFERROR(INDEX('[25]RESID-E_ANTC'!$M$5:$T$48,MATCH($B10,'[25]RESID-E_ANTC'!$A$5:$A$48,0),MATCH(T$5,'[25]RESID-E_ANTC'!$M$3:$T$3,0)),"")</f>
        <v>0</v>
      </c>
      <c r="U10" s="276">
        <f>IFERROR(INDEX('[25]RESID-E_ANTC'!$M$5:$T$48,MATCH($B10,'[25]RESID-E_ANTC'!$A$5:$A$48,0),MATCH(U$5,'[25]RESID-E_ANTC'!$M$3:$T$3,0)),"")</f>
        <v>0</v>
      </c>
      <c r="V10" s="279">
        <v>3</v>
      </c>
      <c r="W10" s="279">
        <v>0</v>
      </c>
    </row>
    <row r="11" spans="2:23">
      <c r="B11" s="270" t="str">
        <f>IF([25]ITEMS_Tech_E!D11="","",[25]ITEMS_Tech_E!D11)</f>
        <v>*</v>
      </c>
      <c r="C11" s="271" t="str">
        <f>IF([25]ITEMS_Tech_E!E11="","",[25]ITEMS_Tech_E!E11)</f>
        <v>Transport Passenger SUV Priv.Veh. Oil DieselHybrid-Existing</v>
      </c>
      <c r="D11" s="277" t="s">
        <v>741</v>
      </c>
      <c r="E11" s="277" t="s">
        <v>742</v>
      </c>
      <c r="F11" s="278">
        <f>IFERROR(INDEX('[25]EFF-E_ANTC'!$C$4:$H$47,MATCH($B11,'[25]EFF-E_ANTC'!$A$4:$A$47,0),MATCH(F$5,'[25]EFF-E_ANTC'!$C$3:$H$3,0)),"")</f>
        <v>6.4348339348895098E-2</v>
      </c>
      <c r="G11" s="278">
        <f>IFERROR(INDEX('[25]EFF-E_ANTC'!$C$4:$H$47,MATCH($B11,'[25]EFF-E_ANTC'!$A$4:$A$47,0),MATCH(G$5,'[25]EFF-E_ANTC'!$C$3:$H$3,0)),"")</f>
        <v>6.4532835825940396E-2</v>
      </c>
      <c r="H11" s="278">
        <f>IFERROR(INDEX('[25]EFF-E_ANTC'!$C$4:$H$47,MATCH($B11,'[25]EFF-E_ANTC'!$A$4:$A$47,0),MATCH(H$5,'[25]EFF-E_ANTC'!$C$3:$H$3,0)),"")</f>
        <v>6.5227894002483106E-2</v>
      </c>
      <c r="I11" s="278">
        <f>IFERROR(INDEX('[25]EFF-E_ANTC'!$C$4:$H$47,MATCH($B11,'[25]EFF-E_ANTC'!$A$4:$A$47,0),MATCH(I$5,'[25]EFF-E_ANTC'!$C$3:$H$3,0)),"")</f>
        <v>6.6011283101863896E-2</v>
      </c>
      <c r="J11" s="278">
        <f>IFERROR(INDEX('[25]EFF-E_ANTC'!$C$4:$H$47,MATCH($B11,'[25]EFF-E_ANTC'!$A$4:$A$47,0),MATCH(J$5,'[25]EFF-E_ANTC'!$C$3:$H$3,0)),"")</f>
        <v>6.6777008175099004E-2</v>
      </c>
      <c r="K11" s="274">
        <f>IFERROR(INDEX('[25]AFA-E_ANTC'!$J$5:$O$48,MATCH($B11,'[25]AFA-E_ANTC'!$A$5:$A$48,0),MATCH(K$5,'[25]AFA-E_ANTC'!$J$3:$O$3,0)),"")</f>
        <v>0.42532283795650333</v>
      </c>
      <c r="L11" s="274">
        <f>IFERROR(INDEX('[25]AFA-E_ANTC'!$J$5:$O$48,MATCH($B11,'[25]AFA-E_ANTC'!$A$5:$A$48,0),MATCH(L$5,'[25]AFA-E_ANTC'!$J$3:$O$3,0)),"")</f>
        <v>0.33706878442068333</v>
      </c>
      <c r="M11" s="274">
        <f>IFERROR(INDEX('[25]AFA-E_ANTC'!$J$5:$O$48,MATCH($B11,'[25]AFA-E_ANTC'!$A$5:$A$48,0),MATCH(M$5,'[25]AFA-E_ANTC'!$J$3:$O$3,0)),"")</f>
        <v>0.15171434294469499</v>
      </c>
      <c r="N11" s="274">
        <f>IFERROR(INDEX('[25]AFA-E_ANTC'!$J$5:$O$48,MATCH($B11,'[25]AFA-E_ANTC'!$A$5:$A$48,0),MATCH(N$5,'[25]AFA-E_ANTC'!$J$3:$O$3,0)),"")</f>
        <v>6.6477490540613332E-2</v>
      </c>
      <c r="O11" s="274">
        <f>IFERROR(INDEX('[25]AFA-E_ANTC'!$J$5:$O$48,MATCH($B11,'[25]AFA-E_ANTC'!$A$5:$A$48,0),MATCH(O$5,'[25]AFA-E_ANTC'!$J$3:$O$3,0)),"")</f>
        <v>2.8637041139474666E-2</v>
      </c>
      <c r="P11" s="274">
        <f>IFERROR(INDEX('[25]AFA-E_ANTC'!$P$5:$P$48,MATCH($B11,'[25]AFA-E_ANTC'!$A$5:$A$48,0)),"")</f>
        <v>0.06</v>
      </c>
      <c r="Q11" s="276">
        <f>IFERROR(INDEX('[25]RESID-E_ANTC'!$M$5:$T$48,MATCH($B11,'[25]RESID-E_ANTC'!$A$5:$A$48,0),MATCH(Q$5,'[25]RESID-E_ANTC'!$M$3:$T$3,0)),"")</f>
        <v>25.1952522652347</v>
      </c>
      <c r="R11" s="276">
        <f>IFERROR(INDEX('[25]RESID-E_ANTC'!$M$5:$T$48,MATCH($B11,'[25]RESID-E_ANTC'!$A$5:$A$48,0),MATCH(R$5,'[25]RESID-E_ANTC'!$M$3:$T$3,0)),"")</f>
        <v>23.083651962362801</v>
      </c>
      <c r="S11" s="276">
        <f>IFERROR(INDEX('[25]RESID-E_ANTC'!$M$5:$T$48,MATCH($B11,'[25]RESID-E_ANTC'!$A$5:$A$48,0),MATCH(S$5,'[25]RESID-E_ANTC'!$M$3:$T$3,0)),"")</f>
        <v>15.5161252325553</v>
      </c>
      <c r="T11" s="276">
        <f>IFERROR(INDEX('[25]RESID-E_ANTC'!$M$5:$T$48,MATCH($B11,'[25]RESID-E_ANTC'!$A$5:$A$48,0),MATCH(T$5,'[25]RESID-E_ANTC'!$M$3:$T$3,0)),"")</f>
        <v>0</v>
      </c>
      <c r="U11" s="276">
        <f>IFERROR(INDEX('[25]RESID-E_ANTC'!$M$5:$T$48,MATCH($B11,'[25]RESID-E_ANTC'!$A$5:$A$48,0),MATCH(U$5,'[25]RESID-E_ANTC'!$M$3:$T$3,0)),"")</f>
        <v>0</v>
      </c>
      <c r="V11" s="279">
        <v>3</v>
      </c>
      <c r="W11" s="279">
        <v>0</v>
      </c>
    </row>
    <row r="12" spans="2:23">
      <c r="B12" s="270" t="str">
        <f>IF([25]ITEMS_Tech_E!D12="","",[25]ITEMS_Tech_E!D12)</f>
        <v>TPPRSUVGAS-E</v>
      </c>
      <c r="C12" s="271" t="str">
        <f>IF([25]ITEMS_Tech_E!E12="","",[25]ITEMS_Tech_E!E12)</f>
        <v>Transport Passenger SUV Priv.Veh. Gas-Existing</v>
      </c>
      <c r="D12" s="277" t="s">
        <v>745</v>
      </c>
      <c r="E12" s="277" t="s">
        <v>742</v>
      </c>
      <c r="F12" s="278">
        <f>IFERROR(INDEX('[25]EFF-E_ANTC'!$C$4:$H$47,MATCH($B12,'[25]EFF-E_ANTC'!$A$4:$A$47,0),MATCH(F$5,'[25]EFF-E_ANTC'!$C$3:$H$3,0)),"")</f>
        <v>0.2275981390437018</v>
      </c>
      <c r="G12" s="278">
        <f>IFERROR(INDEX('[25]EFF-E_ANTC'!$C$4:$H$47,MATCH($B12,'[25]EFF-E_ANTC'!$A$4:$A$47,0),MATCH(G$5,'[25]EFF-E_ANTC'!$C$3:$H$3,0)),"")</f>
        <v>0.2275981390437018</v>
      </c>
      <c r="H12" s="278">
        <f>IFERROR(INDEX('[25]EFF-E_ANTC'!$C$4:$H$47,MATCH($B12,'[25]EFF-E_ANTC'!$A$4:$A$47,0),MATCH(H$5,'[25]EFF-E_ANTC'!$C$3:$H$3,0)),"")</f>
        <v>0.2275981390437018</v>
      </c>
      <c r="I12" s="278">
        <f>IFERROR(INDEX('[25]EFF-E_ANTC'!$C$4:$H$47,MATCH($B12,'[25]EFF-E_ANTC'!$A$4:$A$47,0),MATCH(I$5,'[25]EFF-E_ANTC'!$C$3:$H$3,0)),"")</f>
        <v>0.2275981390437018</v>
      </c>
      <c r="J12" s="278">
        <f>IFERROR(INDEX('[25]EFF-E_ANTC'!$C$4:$H$47,MATCH($B12,'[25]EFF-E_ANTC'!$A$4:$A$47,0),MATCH(J$5,'[25]EFF-E_ANTC'!$C$3:$H$3,0)),"")</f>
        <v>0.2275981390437018</v>
      </c>
      <c r="K12" s="274">
        <f>IFERROR(INDEX('[25]AFA-E_ANTC'!$J$5:$O$48,MATCH($B12,'[25]AFA-E_ANTC'!$A$5:$A$48,0),MATCH(K$5,'[25]AFA-E_ANTC'!$J$3:$O$3,0)),"")</f>
        <v>0</v>
      </c>
      <c r="L12" s="274">
        <f>IFERROR(INDEX('[25]AFA-E_ANTC'!$J$5:$O$48,MATCH($B12,'[25]AFA-E_ANTC'!$A$5:$A$48,0),MATCH(L$5,'[25]AFA-E_ANTC'!$J$3:$O$3,0)),"")</f>
        <v>0.86453294302156691</v>
      </c>
      <c r="M12" s="274">
        <f>IFERROR(INDEX('[25]AFA-E_ANTC'!$J$5:$O$48,MATCH($B12,'[25]AFA-E_ANTC'!$A$5:$A$48,0),MATCH(M$5,'[25]AFA-E_ANTC'!$J$3:$O$3,0)),"")</f>
        <v>0.60146860603516217</v>
      </c>
      <c r="N12" s="274">
        <f>IFERROR(INDEX('[25]AFA-E_ANTC'!$J$5:$O$48,MATCH($B12,'[25]AFA-E_ANTC'!$A$5:$A$48,0),MATCH(N$5,'[25]AFA-E_ANTC'!$J$3:$O$3,0)),"")</f>
        <v>0.41984264738855298</v>
      </c>
      <c r="O12" s="274">
        <f>IFERROR(INDEX('[25]AFA-E_ANTC'!$J$5:$O$48,MATCH($B12,'[25]AFA-E_ANTC'!$A$5:$A$48,0),MATCH(O$5,'[25]AFA-E_ANTC'!$J$3:$O$3,0)),"")</f>
        <v>0.29172473919658987</v>
      </c>
      <c r="P12" s="274">
        <f>IFERROR(INDEX('[25]AFA-E_ANTC'!$P$5:$P$48,MATCH($B12,'[25]AFA-E_ANTC'!$A$5:$A$48,0)),"")</f>
        <v>1.9920095193486899E-2</v>
      </c>
      <c r="Q12" s="276">
        <f>IFERROR(INDEX('[25]RESID-E_ANTC'!$M$5:$T$48,MATCH($B12,'[25]RESID-E_ANTC'!$A$5:$A$48,0),MATCH(Q$5,'[25]RESID-E_ANTC'!$M$3:$T$3,0)),"")</f>
        <v>23.812195007219351</v>
      </c>
      <c r="R12" s="276">
        <f>IFERROR(INDEX('[25]RESID-E_ANTC'!$M$5:$T$48,MATCH($B12,'[25]RESID-E_ANTC'!$A$5:$A$48,0),MATCH(R$5,'[25]RESID-E_ANTC'!$M$3:$T$3,0)),"")</f>
        <v>22.818886716499701</v>
      </c>
      <c r="S12" s="276">
        <f>IFERROR(INDEX('[25]RESID-E_ANTC'!$M$5:$T$48,MATCH($B12,'[25]RESID-E_ANTC'!$A$5:$A$48,0),MATCH(S$5,'[25]RESID-E_ANTC'!$M$3:$T$3,0)),"")</f>
        <v>16.073782717655853</v>
      </c>
      <c r="T12" s="276">
        <f>IFERROR(INDEX('[25]RESID-E_ANTC'!$M$5:$T$48,MATCH($B12,'[25]RESID-E_ANTC'!$A$5:$A$48,0),MATCH(T$5,'[25]RESID-E_ANTC'!$M$3:$T$3,0)),"")</f>
        <v>0</v>
      </c>
      <c r="U12" s="276">
        <f>IFERROR(INDEX('[25]RESID-E_ANTC'!$M$5:$T$48,MATCH($B12,'[25]RESID-E_ANTC'!$A$5:$A$48,0),MATCH(U$5,'[25]RESID-E_ANTC'!$M$3:$T$3,0)),"")</f>
        <v>0</v>
      </c>
      <c r="V12" s="279">
        <v>3</v>
      </c>
      <c r="W12" s="279">
        <v>0</v>
      </c>
    </row>
    <row r="13" spans="2:23">
      <c r="B13" s="270" t="str">
        <f>IF([25]ITEMS_Tech_E!D13="","",[25]ITEMS_Tech_E!D13)</f>
        <v>*</v>
      </c>
      <c r="C13" s="271" t="str">
        <f>IF([25]ITEMS_Tech_E!E13="","",[25]ITEMS_Tech_E!E13)</f>
        <v/>
      </c>
      <c r="D13" s="272"/>
      <c r="E13" s="272"/>
      <c r="F13" s="278">
        <f>IFERROR(INDEX('[25]EFF-E_ANTC'!$C$4:$H$47,MATCH($B13,'[25]EFF-E_ANTC'!$A$4:$A$47,0),MATCH(F$5,'[25]EFF-E_ANTC'!$C$3:$H$3,0)),"")</f>
        <v>6.4348339348895098E-2</v>
      </c>
      <c r="G13" s="278">
        <f>IFERROR(INDEX('[25]EFF-E_ANTC'!$C$4:$H$47,MATCH($B13,'[25]EFF-E_ANTC'!$A$4:$A$47,0),MATCH(G$5,'[25]EFF-E_ANTC'!$C$3:$H$3,0)),"")</f>
        <v>6.4532835825940396E-2</v>
      </c>
      <c r="H13" s="278">
        <f>IFERROR(INDEX('[25]EFF-E_ANTC'!$C$4:$H$47,MATCH($B13,'[25]EFF-E_ANTC'!$A$4:$A$47,0),MATCH(H$5,'[25]EFF-E_ANTC'!$C$3:$H$3,0)),"")</f>
        <v>6.5227894002483106E-2</v>
      </c>
      <c r="I13" s="278">
        <f>IFERROR(INDEX('[25]EFF-E_ANTC'!$C$4:$H$47,MATCH($B13,'[25]EFF-E_ANTC'!$A$4:$A$47,0),MATCH(I$5,'[25]EFF-E_ANTC'!$C$3:$H$3,0)),"")</f>
        <v>6.6011283101863896E-2</v>
      </c>
      <c r="J13" s="278">
        <f>IFERROR(INDEX('[25]EFF-E_ANTC'!$C$4:$H$47,MATCH($B13,'[25]EFF-E_ANTC'!$A$4:$A$47,0),MATCH(J$5,'[25]EFF-E_ANTC'!$C$3:$H$3,0)),"")</f>
        <v>6.6777008175099004E-2</v>
      </c>
      <c r="K13" s="274">
        <f>IFERROR(INDEX('[25]AFA-E_ANTC'!$J$5:$O$48,MATCH($B13,'[25]AFA-E_ANTC'!$A$5:$A$48,0),MATCH(K$5,'[25]AFA-E_ANTC'!$J$3:$O$3,0)),"")</f>
        <v>0.42532283795650333</v>
      </c>
      <c r="L13" s="274">
        <f>IFERROR(INDEX('[25]AFA-E_ANTC'!$J$5:$O$48,MATCH($B13,'[25]AFA-E_ANTC'!$A$5:$A$48,0),MATCH(L$5,'[25]AFA-E_ANTC'!$J$3:$O$3,0)),"")</f>
        <v>0.33706878442068333</v>
      </c>
      <c r="M13" s="274">
        <f>IFERROR(INDEX('[25]AFA-E_ANTC'!$J$5:$O$48,MATCH($B13,'[25]AFA-E_ANTC'!$A$5:$A$48,0),MATCH(M$5,'[25]AFA-E_ANTC'!$J$3:$O$3,0)),"")</f>
        <v>0.15171434294469499</v>
      </c>
      <c r="N13" s="274">
        <f>IFERROR(INDEX('[25]AFA-E_ANTC'!$J$5:$O$48,MATCH($B13,'[25]AFA-E_ANTC'!$A$5:$A$48,0),MATCH(N$5,'[25]AFA-E_ANTC'!$J$3:$O$3,0)),"")</f>
        <v>6.6477490540613332E-2</v>
      </c>
      <c r="O13" s="274">
        <f>IFERROR(INDEX('[25]AFA-E_ANTC'!$J$5:$O$48,MATCH($B13,'[25]AFA-E_ANTC'!$A$5:$A$48,0),MATCH(O$5,'[25]AFA-E_ANTC'!$J$3:$O$3,0)),"")</f>
        <v>2.8637041139474666E-2</v>
      </c>
      <c r="P13" s="274">
        <f>IFERROR(INDEX('[25]AFA-E_ANTC'!$P$5:$P$48,MATCH($B13,'[25]AFA-E_ANTC'!$A$5:$A$48,0)),"")</f>
        <v>0.06</v>
      </c>
      <c r="Q13" s="276">
        <f>IFERROR(INDEX('[25]RESID-E_ANTC'!$M$5:$T$48,MATCH($B13,'[25]RESID-E_ANTC'!$A$5:$A$48,0),MATCH(Q$5,'[25]RESID-E_ANTC'!$M$3:$T$3,0)),"")</f>
        <v>25.1952522652347</v>
      </c>
      <c r="R13" s="276">
        <f>IFERROR(INDEX('[25]RESID-E_ANTC'!$M$5:$T$48,MATCH($B13,'[25]RESID-E_ANTC'!$A$5:$A$48,0),MATCH(R$5,'[25]RESID-E_ANTC'!$M$3:$T$3,0)),"")</f>
        <v>23.083651962362801</v>
      </c>
      <c r="S13" s="276">
        <f>IFERROR(INDEX('[25]RESID-E_ANTC'!$M$5:$T$48,MATCH($B13,'[25]RESID-E_ANTC'!$A$5:$A$48,0),MATCH(S$5,'[25]RESID-E_ANTC'!$M$3:$T$3,0)),"")</f>
        <v>15.5161252325553</v>
      </c>
      <c r="T13" s="276">
        <f>IFERROR(INDEX('[25]RESID-E_ANTC'!$M$5:$T$48,MATCH($B13,'[25]RESID-E_ANTC'!$A$5:$A$48,0),MATCH(T$5,'[25]RESID-E_ANTC'!$M$3:$T$3,0)),"")</f>
        <v>0</v>
      </c>
      <c r="U13" s="276">
        <f>IFERROR(INDEX('[25]RESID-E_ANTC'!$M$5:$T$48,MATCH($B13,'[25]RESID-E_ANTC'!$A$5:$A$48,0),MATCH(U$5,'[25]RESID-E_ANTC'!$M$3:$T$3,0)),"")</f>
        <v>0</v>
      </c>
      <c r="V13" s="279"/>
      <c r="W13" s="279"/>
    </row>
    <row r="14" spans="2:23">
      <c r="B14" s="270" t="str">
        <f>IF([25]ITEMS_Tech_E!D14="","",[25]ITEMS_Tech_E!D14)</f>
        <v>*</v>
      </c>
      <c r="C14" s="271" t="str">
        <f>IF([25]ITEMS_Tech_E!E14="","",[25]ITEMS_Tech_E!E14)</f>
        <v/>
      </c>
      <c r="D14" s="272"/>
      <c r="E14" s="272"/>
      <c r="F14" s="278">
        <f>IFERROR(INDEX('[25]EFF-E_ANTC'!$C$4:$H$47,MATCH($B14,'[25]EFF-E_ANTC'!$A$4:$A$47,0),MATCH(F$5,'[25]EFF-E_ANTC'!$C$3:$H$3,0)),"")</f>
        <v>6.4348339348895098E-2</v>
      </c>
      <c r="G14" s="278">
        <f>IFERROR(INDEX('[25]EFF-E_ANTC'!$C$4:$H$47,MATCH($B14,'[25]EFF-E_ANTC'!$A$4:$A$47,0),MATCH(G$5,'[25]EFF-E_ANTC'!$C$3:$H$3,0)),"")</f>
        <v>6.4532835825940396E-2</v>
      </c>
      <c r="H14" s="278">
        <f>IFERROR(INDEX('[25]EFF-E_ANTC'!$C$4:$H$47,MATCH($B14,'[25]EFF-E_ANTC'!$A$4:$A$47,0),MATCH(H$5,'[25]EFF-E_ANTC'!$C$3:$H$3,0)),"")</f>
        <v>6.5227894002483106E-2</v>
      </c>
      <c r="I14" s="278">
        <f>IFERROR(INDEX('[25]EFF-E_ANTC'!$C$4:$H$47,MATCH($B14,'[25]EFF-E_ANTC'!$A$4:$A$47,0),MATCH(I$5,'[25]EFF-E_ANTC'!$C$3:$H$3,0)),"")</f>
        <v>6.6011283101863896E-2</v>
      </c>
      <c r="J14" s="278">
        <f>IFERROR(INDEX('[25]EFF-E_ANTC'!$C$4:$H$47,MATCH($B14,'[25]EFF-E_ANTC'!$A$4:$A$47,0),MATCH(J$5,'[25]EFF-E_ANTC'!$C$3:$H$3,0)),"")</f>
        <v>6.6777008175099004E-2</v>
      </c>
      <c r="K14" s="274">
        <f>IFERROR(INDEX('[25]AFA-E_ANTC'!$J$5:$O$48,MATCH($B14,'[25]AFA-E_ANTC'!$A$5:$A$48,0),MATCH(K$5,'[25]AFA-E_ANTC'!$J$3:$O$3,0)),"")</f>
        <v>0.42532283795650333</v>
      </c>
      <c r="L14" s="274">
        <f>IFERROR(INDEX('[25]AFA-E_ANTC'!$J$5:$O$48,MATCH($B14,'[25]AFA-E_ANTC'!$A$5:$A$48,0),MATCH(L$5,'[25]AFA-E_ANTC'!$J$3:$O$3,0)),"")</f>
        <v>0.33706878442068333</v>
      </c>
      <c r="M14" s="274">
        <f>IFERROR(INDEX('[25]AFA-E_ANTC'!$J$5:$O$48,MATCH($B14,'[25]AFA-E_ANTC'!$A$5:$A$48,0),MATCH(M$5,'[25]AFA-E_ANTC'!$J$3:$O$3,0)),"")</f>
        <v>0.15171434294469499</v>
      </c>
      <c r="N14" s="274">
        <f>IFERROR(INDEX('[25]AFA-E_ANTC'!$J$5:$O$48,MATCH($B14,'[25]AFA-E_ANTC'!$A$5:$A$48,0),MATCH(N$5,'[25]AFA-E_ANTC'!$J$3:$O$3,0)),"")</f>
        <v>6.6477490540613332E-2</v>
      </c>
      <c r="O14" s="274">
        <f>IFERROR(INDEX('[25]AFA-E_ANTC'!$J$5:$O$48,MATCH($B14,'[25]AFA-E_ANTC'!$A$5:$A$48,0),MATCH(O$5,'[25]AFA-E_ANTC'!$J$3:$O$3,0)),"")</f>
        <v>2.8637041139474666E-2</v>
      </c>
      <c r="P14" s="274">
        <f>IFERROR(INDEX('[25]AFA-E_ANTC'!$P$5:$P$48,MATCH($B14,'[25]AFA-E_ANTC'!$A$5:$A$48,0)),"")</f>
        <v>0.06</v>
      </c>
      <c r="Q14" s="276">
        <f>IFERROR(INDEX('[25]RESID-E_ANTC'!$M$5:$T$48,MATCH($B14,'[25]RESID-E_ANTC'!$A$5:$A$48,0),MATCH(Q$5,'[25]RESID-E_ANTC'!$M$3:$T$3,0)),"")</f>
        <v>25.1952522652347</v>
      </c>
      <c r="R14" s="276">
        <f>IFERROR(INDEX('[25]RESID-E_ANTC'!$M$5:$T$48,MATCH($B14,'[25]RESID-E_ANTC'!$A$5:$A$48,0),MATCH(R$5,'[25]RESID-E_ANTC'!$M$3:$T$3,0)),"")</f>
        <v>23.083651962362801</v>
      </c>
      <c r="S14" s="276">
        <f>IFERROR(INDEX('[25]RESID-E_ANTC'!$M$5:$T$48,MATCH($B14,'[25]RESID-E_ANTC'!$A$5:$A$48,0),MATCH(S$5,'[25]RESID-E_ANTC'!$M$3:$T$3,0)),"")</f>
        <v>15.5161252325553</v>
      </c>
      <c r="T14" s="276">
        <f>IFERROR(INDEX('[25]RESID-E_ANTC'!$M$5:$T$48,MATCH($B14,'[25]RESID-E_ANTC'!$A$5:$A$48,0),MATCH(T$5,'[25]RESID-E_ANTC'!$M$3:$T$3,0)),"")</f>
        <v>0</v>
      </c>
      <c r="U14" s="276">
        <f>IFERROR(INDEX('[25]RESID-E_ANTC'!$M$5:$T$48,MATCH($B14,'[25]RESID-E_ANTC'!$A$5:$A$48,0),MATCH(U$5,'[25]RESID-E_ANTC'!$M$3:$T$3,0)),"")</f>
        <v>0</v>
      </c>
      <c r="V14" s="279"/>
      <c r="W14" s="279"/>
    </row>
    <row r="15" spans="2:23">
      <c r="B15" s="270" t="str">
        <f>IF([25]ITEMS_Tech_E!D15="","",[25]ITEMS_Tech_E!D15)</f>
        <v>*</v>
      </c>
      <c r="C15" s="271" t="str">
        <f>IF([25]ITEMS_Tech_E!E15="","",[25]ITEMS_Tech_E!E15)</f>
        <v>Private Cars</v>
      </c>
      <c r="D15" s="272"/>
      <c r="E15" s="272"/>
      <c r="F15" s="278">
        <f>IFERROR(INDEX('[25]EFF-E_ANTC'!$C$4:$H$47,MATCH($B15,'[25]EFF-E_ANTC'!$A$4:$A$47,0),MATCH(F$5,'[25]EFF-E_ANTC'!$C$3:$H$3,0)),"")</f>
        <v>6.4348339348895098E-2</v>
      </c>
      <c r="G15" s="278">
        <f>IFERROR(INDEX('[25]EFF-E_ANTC'!$C$4:$H$47,MATCH($B15,'[25]EFF-E_ANTC'!$A$4:$A$47,0),MATCH(G$5,'[25]EFF-E_ANTC'!$C$3:$H$3,0)),"")</f>
        <v>6.4532835825940396E-2</v>
      </c>
      <c r="H15" s="278">
        <f>IFERROR(INDEX('[25]EFF-E_ANTC'!$C$4:$H$47,MATCH($B15,'[25]EFF-E_ANTC'!$A$4:$A$47,0),MATCH(H$5,'[25]EFF-E_ANTC'!$C$3:$H$3,0)),"")</f>
        <v>6.5227894002483106E-2</v>
      </c>
      <c r="I15" s="278">
        <f>IFERROR(INDEX('[25]EFF-E_ANTC'!$C$4:$H$47,MATCH($B15,'[25]EFF-E_ANTC'!$A$4:$A$47,0),MATCH(I$5,'[25]EFF-E_ANTC'!$C$3:$H$3,0)),"")</f>
        <v>6.6011283101863896E-2</v>
      </c>
      <c r="J15" s="278">
        <f>IFERROR(INDEX('[25]EFF-E_ANTC'!$C$4:$H$47,MATCH($B15,'[25]EFF-E_ANTC'!$A$4:$A$47,0),MATCH(J$5,'[25]EFF-E_ANTC'!$C$3:$H$3,0)),"")</f>
        <v>6.6777008175099004E-2</v>
      </c>
      <c r="K15" s="274">
        <f>IFERROR(INDEX('[25]AFA-E_ANTC'!$J$5:$O$48,MATCH($B15,'[25]AFA-E_ANTC'!$A$5:$A$48,0),MATCH(K$5,'[25]AFA-E_ANTC'!$J$3:$O$3,0)),"")</f>
        <v>0.42532283795650333</v>
      </c>
      <c r="L15" s="274">
        <f>IFERROR(INDEX('[25]AFA-E_ANTC'!$J$5:$O$48,MATCH($B15,'[25]AFA-E_ANTC'!$A$5:$A$48,0),MATCH(L$5,'[25]AFA-E_ANTC'!$J$3:$O$3,0)),"")</f>
        <v>0.33706878442068333</v>
      </c>
      <c r="M15" s="274">
        <f>IFERROR(INDEX('[25]AFA-E_ANTC'!$J$5:$O$48,MATCH($B15,'[25]AFA-E_ANTC'!$A$5:$A$48,0),MATCH(M$5,'[25]AFA-E_ANTC'!$J$3:$O$3,0)),"")</f>
        <v>0.15171434294469499</v>
      </c>
      <c r="N15" s="274">
        <f>IFERROR(INDEX('[25]AFA-E_ANTC'!$J$5:$O$48,MATCH($B15,'[25]AFA-E_ANTC'!$A$5:$A$48,0),MATCH(N$5,'[25]AFA-E_ANTC'!$J$3:$O$3,0)),"")</f>
        <v>6.6477490540613332E-2</v>
      </c>
      <c r="O15" s="274">
        <f>IFERROR(INDEX('[25]AFA-E_ANTC'!$J$5:$O$48,MATCH($B15,'[25]AFA-E_ANTC'!$A$5:$A$48,0),MATCH(O$5,'[25]AFA-E_ANTC'!$J$3:$O$3,0)),"")</f>
        <v>2.8637041139474666E-2</v>
      </c>
      <c r="P15" s="274">
        <f>IFERROR(INDEX('[25]AFA-E_ANTC'!$P$5:$P$48,MATCH($B15,'[25]AFA-E_ANTC'!$A$5:$A$48,0)),"")</f>
        <v>0.06</v>
      </c>
      <c r="Q15" s="276">
        <f>IFERROR(INDEX('[25]RESID-E_ANTC'!$M$5:$T$48,MATCH($B15,'[25]RESID-E_ANTC'!$A$5:$A$48,0),MATCH(Q$5,'[25]RESID-E_ANTC'!$M$3:$T$3,0)),"")</f>
        <v>25.1952522652347</v>
      </c>
      <c r="R15" s="276">
        <f>IFERROR(INDEX('[25]RESID-E_ANTC'!$M$5:$T$48,MATCH($B15,'[25]RESID-E_ANTC'!$A$5:$A$48,0),MATCH(R$5,'[25]RESID-E_ANTC'!$M$3:$T$3,0)),"")</f>
        <v>23.083651962362801</v>
      </c>
      <c r="S15" s="276">
        <f>IFERROR(INDEX('[25]RESID-E_ANTC'!$M$5:$T$48,MATCH($B15,'[25]RESID-E_ANTC'!$A$5:$A$48,0),MATCH(S$5,'[25]RESID-E_ANTC'!$M$3:$T$3,0)),"")</f>
        <v>15.5161252325553</v>
      </c>
      <c r="T15" s="276">
        <f>IFERROR(INDEX('[25]RESID-E_ANTC'!$M$5:$T$48,MATCH($B15,'[25]RESID-E_ANTC'!$A$5:$A$48,0),MATCH(T$5,'[25]RESID-E_ANTC'!$M$3:$T$3,0)),"")</f>
        <v>0</v>
      </c>
      <c r="U15" s="276">
        <f>IFERROR(INDEX('[25]RESID-E_ANTC'!$M$5:$T$48,MATCH($B15,'[25]RESID-E_ANTC'!$A$5:$A$48,0),MATCH(U$5,'[25]RESID-E_ANTC'!$M$3:$T$3,0)),"")</f>
        <v>0</v>
      </c>
      <c r="V15" s="279"/>
      <c r="W15" s="279"/>
    </row>
    <row r="16" spans="2:23">
      <c r="B16" s="270" t="str">
        <f>IF([25]ITEMS_Tech_E!D16="","",[25]ITEMS_Tech_E!D16)</f>
        <v>TPPRCARODS-E</v>
      </c>
      <c r="C16" s="271" t="str">
        <f>IF([25]ITEMS_Tech_E!E16="","",[25]ITEMS_Tech_E!E16)</f>
        <v>Transport Passenger Car Priv.Veh. Oil Diesel-Existing</v>
      </c>
      <c r="D16" s="277" t="s">
        <v>741</v>
      </c>
      <c r="E16" s="277" t="s">
        <v>746</v>
      </c>
      <c r="F16" s="278">
        <f>IFERROR(INDEX('[25]EFF-E_ANTC'!$C$4:$H$47,MATCH($B16,'[25]EFF-E_ANTC'!$A$4:$A$47,0),MATCH(F$5,'[25]EFF-E_ANTC'!$C$3:$H$3,0)),"")</f>
        <v>0.332001778720379</v>
      </c>
      <c r="G16" s="278">
        <f>IFERROR(INDEX('[25]EFF-E_ANTC'!$C$4:$H$47,MATCH($B16,'[25]EFF-E_ANTC'!$A$4:$A$47,0),MATCH(G$5,'[25]EFF-E_ANTC'!$C$3:$H$3,0)),"")</f>
        <v>0.33265717758608498</v>
      </c>
      <c r="H16" s="278">
        <f>IFERROR(INDEX('[25]EFF-E_ANTC'!$C$4:$H$47,MATCH($B16,'[25]EFF-E_ANTC'!$A$4:$A$47,0),MATCH(H$5,'[25]EFF-E_ANTC'!$C$3:$H$3,0)),"")</f>
        <v>0.33651934650542698</v>
      </c>
      <c r="I16" s="278">
        <f>IFERROR(INDEX('[25]EFF-E_ANTC'!$C$4:$H$47,MATCH($B16,'[25]EFF-E_ANTC'!$A$4:$A$47,0),MATCH(I$5,'[25]EFF-E_ANTC'!$C$3:$H$3,0)),"")</f>
        <v>0.34211282028256701</v>
      </c>
      <c r="J16" s="278">
        <f>IFERROR(INDEX('[25]EFF-E_ANTC'!$C$4:$H$47,MATCH($B16,'[25]EFF-E_ANTC'!$A$4:$A$47,0),MATCH(J$5,'[25]EFF-E_ANTC'!$C$3:$H$3,0)),"")</f>
        <v>0.34710783356449998</v>
      </c>
      <c r="K16" s="274">
        <f>IFERROR(INDEX('[25]AFA-E_ANTC'!$J$5:$O$48,MATCH($B16,'[25]AFA-E_ANTC'!$A$5:$A$48,0),MATCH(K$5,'[25]AFA-E_ANTC'!$J$3:$O$3,0)),"")</f>
        <v>0.74353526714060447</v>
      </c>
      <c r="L16" s="274">
        <f>IFERROR(INDEX('[25]AFA-E_ANTC'!$J$5:$O$48,MATCH($B16,'[25]AFA-E_ANTC'!$A$5:$A$48,0),MATCH(L$5,'[25]AFA-E_ANTC'!$J$3:$O$3,0)),"")</f>
        <v>0.66511435113411999</v>
      </c>
      <c r="M16" s="274">
        <f>IFERROR(INDEX('[25]AFA-E_ANTC'!$J$5:$O$48,MATCH($B16,'[25]AFA-E_ANTC'!$A$5:$A$48,0),MATCH(M$5,'[25]AFA-E_ANTC'!$J$3:$O$3,0)),"")</f>
        <v>0.46809798221108001</v>
      </c>
      <c r="N16" s="274">
        <f>IFERROR(INDEX('[25]AFA-E_ANTC'!$J$5:$O$48,MATCH($B16,'[25]AFA-E_ANTC'!$A$5:$A$48,0),MATCH(N$5,'[25]AFA-E_ANTC'!$J$3:$O$3,0)),"")</f>
        <v>0.33651453387780311</v>
      </c>
      <c r="O16" s="274">
        <f>IFERROR(INDEX('[25]AFA-E_ANTC'!$J$5:$O$48,MATCH($B16,'[25]AFA-E_ANTC'!$A$5:$A$48,0),MATCH(O$5,'[25]AFA-E_ANTC'!$J$3:$O$3,0)),"")</f>
        <v>0.23993287366588575</v>
      </c>
      <c r="P16" s="274">
        <f>IFERROR(INDEX('[25]AFA-E_ANTC'!$P$5:$P$48,MATCH($B16,'[25]AFA-E_ANTC'!$A$5:$A$48,0)),"")</f>
        <v>2.2499999999999999E-2</v>
      </c>
      <c r="Q16" s="276">
        <f>IFERROR(INDEX('[25]RESID-E_ANTC'!$M$5:$T$48,MATCH($B16,'[25]RESID-E_ANTC'!$A$5:$A$48,0),MATCH(Q$5,'[25]RESID-E_ANTC'!$M$3:$T$3,0)),"")</f>
        <v>387.58646835565298</v>
      </c>
      <c r="R16" s="276">
        <f>IFERROR(INDEX('[25]RESID-E_ANTC'!$M$5:$T$48,MATCH($B16,'[25]RESID-E_ANTC'!$A$5:$A$48,0),MATCH(R$5,'[25]RESID-E_ANTC'!$M$3:$T$3,0)),"")</f>
        <v>369.96010154816298</v>
      </c>
      <c r="S16" s="276">
        <f>IFERROR(INDEX('[25]RESID-E_ANTC'!$M$5:$T$48,MATCH($B16,'[25]RESID-E_ANTC'!$A$5:$A$48,0),MATCH(S$5,'[25]RESID-E_ANTC'!$M$3:$T$3,0)),"")</f>
        <v>243.13201263550999</v>
      </c>
      <c r="T16" s="276">
        <f>IFERROR(INDEX('[25]RESID-E_ANTC'!$M$5:$T$48,MATCH($B16,'[25]RESID-E_ANTC'!$A$5:$A$48,0),MATCH(T$5,'[25]RESID-E_ANTC'!$M$3:$T$3,0)),"")</f>
        <v>0</v>
      </c>
      <c r="U16" s="276">
        <f>IFERROR(INDEX('[25]RESID-E_ANTC'!$M$5:$T$48,MATCH($B16,'[25]RESID-E_ANTC'!$A$5:$A$48,0),MATCH(U$5,'[25]RESID-E_ANTC'!$M$3:$T$3,0)),"")</f>
        <v>0</v>
      </c>
      <c r="V16" s="279">
        <v>3</v>
      </c>
      <c r="W16" s="279">
        <v>0</v>
      </c>
    </row>
    <row r="17" spans="2:23">
      <c r="B17" s="270" t="str">
        <f>IF([25]ITEMS_Tech_E!D17="","",[25]ITEMS_Tech_E!D17)</f>
        <v>TPPRCAROGS-E</v>
      </c>
      <c r="C17" s="271" t="str">
        <f>IF([25]ITEMS_Tech_E!E17="","",[25]ITEMS_Tech_E!E17)</f>
        <v>Transport Passenger Car Priv.Veh. Oil Gasoline-Existing</v>
      </c>
      <c r="D17" s="277" t="s">
        <v>743</v>
      </c>
      <c r="E17" s="277" t="s">
        <v>746</v>
      </c>
      <c r="F17" s="278">
        <f>IFERROR(INDEX('[25]EFF-E_ANTC'!$C$4:$H$47,MATCH($B17,'[25]EFF-E_ANTC'!$A$4:$A$47,0),MATCH(F$5,'[25]EFF-E_ANTC'!$C$3:$H$3,0)),"")</f>
        <v>0.35686173917097103</v>
      </c>
      <c r="G17" s="278">
        <f>IFERROR(INDEX('[25]EFF-E_ANTC'!$C$4:$H$47,MATCH($B17,'[25]EFF-E_ANTC'!$A$4:$A$47,0),MATCH(G$5,'[25]EFF-E_ANTC'!$C$3:$H$3,0)),"")</f>
        <v>0.35949352149263297</v>
      </c>
      <c r="H17" s="278">
        <f>IFERROR(INDEX('[25]EFF-E_ANTC'!$C$4:$H$47,MATCH($B17,'[25]EFF-E_ANTC'!$A$4:$A$47,0),MATCH(H$5,'[25]EFF-E_ANTC'!$C$3:$H$3,0)),"")</f>
        <v>0.36773748352763003</v>
      </c>
      <c r="I17" s="278">
        <f>IFERROR(INDEX('[25]EFF-E_ANTC'!$C$4:$H$47,MATCH($B17,'[25]EFF-E_ANTC'!$A$4:$A$47,0),MATCH(I$5,'[25]EFF-E_ANTC'!$C$3:$H$3,0)),"")</f>
        <v>0.374376610599086</v>
      </c>
      <c r="J17" s="278">
        <f>IFERROR(INDEX('[25]EFF-E_ANTC'!$C$4:$H$47,MATCH($B17,'[25]EFF-E_ANTC'!$A$4:$A$47,0),MATCH(J$5,'[25]EFF-E_ANTC'!$C$3:$H$3,0)),"")</f>
        <v>0.37938792131855897</v>
      </c>
      <c r="K17" s="274">
        <f>IFERROR(INDEX('[25]AFA-E_ANTC'!$J$5:$O$48,MATCH($B17,'[25]AFA-E_ANTC'!$A$5:$A$48,0),MATCH(K$5,'[25]AFA-E_ANTC'!$J$3:$O$3,0)),"")</f>
        <v>0.66163272647026705</v>
      </c>
      <c r="L17" s="274">
        <f>IFERROR(INDEX('[25]AFA-E_ANTC'!$J$5:$O$48,MATCH($B17,'[25]AFA-E_ANTC'!$A$5:$A$48,0),MATCH(L$5,'[25]AFA-E_ANTC'!$J$3:$O$3,0)),"")</f>
        <v>0.60743419260068587</v>
      </c>
      <c r="M17" s="274">
        <f>IFERROR(INDEX('[25]AFA-E_ANTC'!$J$5:$O$48,MATCH($B17,'[25]AFA-E_ANTC'!$A$5:$A$48,0),MATCH(M$5,'[25]AFA-E_ANTC'!$J$3:$O$3,0)),"")</f>
        <v>0.45202810845206859</v>
      </c>
      <c r="N17" s="274">
        <f>IFERROR(INDEX('[25]AFA-E_ANTC'!$J$5:$O$48,MATCH($B17,'[25]AFA-E_ANTC'!$A$5:$A$48,0),MATCH(N$5,'[25]AFA-E_ANTC'!$J$3:$O$3,0)),"")</f>
        <v>0.32818308468972252</v>
      </c>
      <c r="O17" s="274">
        <f>IFERROR(INDEX('[25]AFA-E_ANTC'!$J$5:$O$48,MATCH($B17,'[25]AFA-E_ANTC'!$A$5:$A$48,0),MATCH(O$5,'[25]AFA-E_ANTC'!$J$3:$O$3,0)),"")</f>
        <v>0.23311309769944608</v>
      </c>
      <c r="P17" s="274">
        <f>IFERROR(INDEX('[25]AFA-E_ANTC'!$P$5:$P$48,MATCH($B17,'[25]AFA-E_ANTC'!$A$5:$A$48,0)),"")</f>
        <v>1.9099999999999999E-2</v>
      </c>
      <c r="Q17" s="276">
        <f>IFERROR(INDEX('[25]RESID-E_ANTC'!$M$5:$T$48,MATCH($B17,'[25]RESID-E_ANTC'!$A$5:$A$48,0),MATCH(Q$5,'[25]RESID-E_ANTC'!$M$3:$T$3,0)),"")</f>
        <v>5902.05729724512</v>
      </c>
      <c r="R17" s="276">
        <f>IFERROR(INDEX('[25]RESID-E_ANTC'!$M$5:$T$48,MATCH($B17,'[25]RESID-E_ANTC'!$A$5:$A$48,0),MATCH(R$5,'[25]RESID-E_ANTC'!$M$3:$T$3,0)),"")</f>
        <v>5259.5090745597199</v>
      </c>
      <c r="S17" s="276">
        <f>IFERROR(INDEX('[25]RESID-E_ANTC'!$M$5:$T$48,MATCH($B17,'[25]RESID-E_ANTC'!$A$5:$A$48,0),MATCH(S$5,'[25]RESID-E_ANTC'!$M$3:$T$3,0)),"")</f>
        <v>2963.6268741726399</v>
      </c>
      <c r="T17" s="276">
        <f>IFERROR(INDEX('[25]RESID-E_ANTC'!$M$5:$T$48,MATCH($B17,'[25]RESID-E_ANTC'!$A$5:$A$48,0),MATCH(T$5,'[25]RESID-E_ANTC'!$M$3:$T$3,0)),"")</f>
        <v>0</v>
      </c>
      <c r="U17" s="276">
        <f>IFERROR(INDEX('[25]RESID-E_ANTC'!$M$5:$T$48,MATCH($B17,'[25]RESID-E_ANTC'!$A$5:$A$48,0),MATCH(U$5,'[25]RESID-E_ANTC'!$M$3:$T$3,0)),"")</f>
        <v>0</v>
      </c>
      <c r="V17" s="279">
        <v>3</v>
      </c>
      <c r="W17" s="279">
        <v>0</v>
      </c>
    </row>
    <row r="18" spans="2:23">
      <c r="B18" s="270" t="str">
        <f>IF([25]ITEMS_Tech_E!D18="","",[25]ITEMS_Tech_E!D18)</f>
        <v>TPPRCAROGSH-E</v>
      </c>
      <c r="C18" s="271" t="str">
        <f>IF([25]ITEMS_Tech_E!E18="","",[25]ITEMS_Tech_E!E18)</f>
        <v>Transport Passenger Car Priv.Veh. Oil GasolineHybrid-Existing</v>
      </c>
      <c r="D18" s="277" t="s">
        <v>743</v>
      </c>
      <c r="E18" s="277" t="s">
        <v>746</v>
      </c>
      <c r="F18" s="278">
        <f>IFERROR(INDEX('[25]EFF-E_ANTC'!$C$4:$H$47,MATCH($B18,'[25]EFF-E_ANTC'!$A$4:$A$47,0),MATCH(F$5,'[25]EFF-E_ANTC'!$C$3:$H$3,0)),"")</f>
        <v>0.48634218857827199</v>
      </c>
      <c r="G18" s="278">
        <f>IFERROR(INDEX('[25]EFF-E_ANTC'!$C$4:$H$47,MATCH($B18,'[25]EFF-E_ANTC'!$A$4:$A$47,0),MATCH(G$5,'[25]EFF-E_ANTC'!$C$3:$H$3,0)),"")</f>
        <v>0.48658239494189298</v>
      </c>
      <c r="H18" s="278">
        <f>IFERROR(INDEX('[25]EFF-E_ANTC'!$C$4:$H$47,MATCH($B18,'[25]EFF-E_ANTC'!$A$4:$A$47,0),MATCH(H$5,'[25]EFF-E_ANTC'!$C$3:$H$3,0)),"")</f>
        <v>0.48849585750196101</v>
      </c>
      <c r="I18" s="278">
        <f>IFERROR(INDEX('[25]EFF-E_ANTC'!$C$4:$H$47,MATCH($B18,'[25]EFF-E_ANTC'!$A$4:$A$47,0),MATCH(I$5,'[25]EFF-E_ANTC'!$C$3:$H$3,0)),"")</f>
        <v>0.492038428921173</v>
      </c>
      <c r="J18" s="278">
        <f>IFERROR(INDEX('[25]EFF-E_ANTC'!$C$4:$H$47,MATCH($B18,'[25]EFF-E_ANTC'!$A$4:$A$47,0),MATCH(J$5,'[25]EFF-E_ANTC'!$C$3:$H$3,0)),"")</f>
        <v>0.49648557965280099</v>
      </c>
      <c r="K18" s="274">
        <f>IFERROR(INDEX('[25]AFA-E_ANTC'!$J$5:$O$48,MATCH($B18,'[25]AFA-E_ANTC'!$A$5:$A$48,0),MATCH(K$5,'[25]AFA-E_ANTC'!$J$3:$O$3,0)),"")</f>
        <v>0.82349664056721994</v>
      </c>
      <c r="L18" s="274">
        <f>IFERROR(INDEX('[25]AFA-E_ANTC'!$J$5:$O$48,MATCH($B18,'[25]AFA-E_ANTC'!$A$5:$A$48,0),MATCH(L$5,'[25]AFA-E_ANTC'!$J$3:$O$3,0)),"")</f>
        <v>0.73189081439097003</v>
      </c>
      <c r="M18" s="274">
        <f>IFERROR(INDEX('[25]AFA-E_ANTC'!$J$5:$O$48,MATCH($B18,'[25]AFA-E_ANTC'!$A$5:$A$48,0),MATCH(M$5,'[25]AFA-E_ANTC'!$J$3:$O$3,0)),"")</f>
        <v>0.4986866685195705</v>
      </c>
      <c r="N18" s="274">
        <f>IFERROR(INDEX('[25]AFA-E_ANTC'!$J$5:$O$48,MATCH($B18,'[25]AFA-E_ANTC'!$A$5:$A$48,0),MATCH(N$5,'[25]AFA-E_ANTC'!$J$3:$O$3,0)),"")</f>
        <v>0.34446144946444851</v>
      </c>
      <c r="O18" s="274">
        <f>IFERROR(INDEX('[25]AFA-E_ANTC'!$J$5:$O$48,MATCH($B18,'[25]AFA-E_ANTC'!$A$5:$A$48,0),MATCH(O$5,'[25]AFA-E_ANTC'!$J$3:$O$3,0)),"")</f>
        <v>0.23965174138595799</v>
      </c>
      <c r="P18" s="274">
        <f>IFERROR(INDEX('[25]AFA-E_ANTC'!$P$5:$P$48,MATCH($B18,'[25]AFA-E_ANTC'!$A$5:$A$48,0)),"")</f>
        <v>0.02</v>
      </c>
      <c r="Q18" s="276">
        <f>IFERROR(INDEX('[25]RESID-E_ANTC'!$M$5:$T$48,MATCH($B18,'[25]RESID-E_ANTC'!$A$5:$A$48,0),MATCH(Q$5,'[25]RESID-E_ANTC'!$M$3:$T$3,0)),"")</f>
        <v>4.1935845862025003</v>
      </c>
      <c r="R18" s="276">
        <f>IFERROR(INDEX('[25]RESID-E_ANTC'!$M$5:$T$48,MATCH($B18,'[25]RESID-E_ANTC'!$A$5:$A$48,0),MATCH(R$5,'[25]RESID-E_ANTC'!$M$3:$T$3,0)),"")</f>
        <v>4.11763972020184</v>
      </c>
      <c r="S18" s="276">
        <f>IFERROR(INDEX('[25]RESID-E_ANTC'!$M$5:$T$48,MATCH($B18,'[25]RESID-E_ANTC'!$A$5:$A$48,0),MATCH(S$5,'[25]RESID-E_ANTC'!$M$3:$T$3,0)),"")</f>
        <v>3.1386913845266902</v>
      </c>
      <c r="T18" s="276">
        <f>IFERROR(INDEX('[25]RESID-E_ANTC'!$M$5:$T$48,MATCH($B18,'[25]RESID-E_ANTC'!$A$5:$A$48,0),MATCH(T$5,'[25]RESID-E_ANTC'!$M$3:$T$3,0)),"")</f>
        <v>0</v>
      </c>
      <c r="U18" s="276">
        <f>IFERROR(INDEX('[25]RESID-E_ANTC'!$M$5:$T$48,MATCH($B18,'[25]RESID-E_ANTC'!$A$5:$A$48,0),MATCH(U$5,'[25]RESID-E_ANTC'!$M$3:$T$3,0)),"")</f>
        <v>0</v>
      </c>
      <c r="V18" s="279">
        <v>3</v>
      </c>
      <c r="W18" s="279">
        <v>0</v>
      </c>
    </row>
    <row r="19" spans="2:23">
      <c r="B19" s="270" t="str">
        <f>IF([25]ITEMS_Tech_E!D19="","",[25]ITEMS_Tech_E!D19)</f>
        <v>TPPRCARELC-E</v>
      </c>
      <c r="C19" s="271" t="str">
        <f>IF([25]ITEMS_Tech_E!E19="","",[25]ITEMS_Tech_E!E19)</f>
        <v>Transport Passenger Car Priv.Veh. Electricity-Existing</v>
      </c>
      <c r="D19" s="277" t="s">
        <v>744</v>
      </c>
      <c r="E19" s="277" t="s">
        <v>746</v>
      </c>
      <c r="F19" s="278">
        <f>IFERROR(INDEX('[25]EFF-E_ANTC'!$C$4:$H$47,MATCH($B19,'[25]EFF-E_ANTC'!$A$4:$A$47,0),MATCH(F$5,'[25]EFF-E_ANTC'!$C$3:$H$3,0)),"")</f>
        <v>1.60037643566239</v>
      </c>
      <c r="G19" s="278">
        <f>IFERROR(INDEX('[25]EFF-E_ANTC'!$C$4:$H$47,MATCH($B19,'[25]EFF-E_ANTC'!$A$4:$A$47,0),MATCH(G$5,'[25]EFF-E_ANTC'!$C$3:$H$3,0)),"")</f>
        <v>1.60041633961525</v>
      </c>
      <c r="H19" s="278">
        <f>IFERROR(INDEX('[25]EFF-E_ANTC'!$C$4:$H$47,MATCH($B19,'[25]EFF-E_ANTC'!$A$4:$A$47,0),MATCH(H$5,'[25]EFF-E_ANTC'!$C$3:$H$3,0)),"")</f>
        <v>1.6010609819072401</v>
      </c>
      <c r="I19" s="278">
        <f>IFERROR(INDEX('[25]EFF-E_ANTC'!$C$4:$H$47,MATCH($B19,'[25]EFF-E_ANTC'!$A$4:$A$47,0),MATCH(I$5,'[25]EFF-E_ANTC'!$C$3:$H$3,0)),"")</f>
        <v>1.6027693715918201</v>
      </c>
      <c r="J19" s="278">
        <f>IFERROR(INDEX('[25]EFF-E_ANTC'!$C$4:$H$47,MATCH($B19,'[25]EFF-E_ANTC'!$A$4:$A$47,0),MATCH(J$5,'[25]EFF-E_ANTC'!$C$3:$H$3,0)),"")</f>
        <v>1.6056042777811199</v>
      </c>
      <c r="K19" s="274">
        <f>IFERROR(INDEX('[25]AFA-E_ANTC'!$J$5:$O$48,MATCH($B19,'[25]AFA-E_ANTC'!$A$5:$A$48,0),MATCH(K$5,'[25]AFA-E_ANTC'!$J$3:$O$3,0)),"")</f>
        <v>0.94119968232220452</v>
      </c>
      <c r="L19" s="274">
        <f>IFERROR(INDEX('[25]AFA-E_ANTC'!$J$5:$O$48,MATCH($B19,'[25]AFA-E_ANTC'!$A$5:$A$48,0),MATCH(L$5,'[25]AFA-E_ANTC'!$J$3:$O$3,0)),"")</f>
        <v>0.83485430700332441</v>
      </c>
      <c r="M19" s="274">
        <f>IFERROR(INDEX('[25]AFA-E_ANTC'!$J$5:$O$48,MATCH($B19,'[25]AFA-E_ANTC'!$A$5:$A$48,0),MATCH(M$5,'[25]AFA-E_ANTC'!$J$3:$O$3,0)),"")</f>
        <v>0.56053778220838668</v>
      </c>
      <c r="N19" s="274">
        <f>IFERROR(INDEX('[25]AFA-E_ANTC'!$J$5:$O$48,MATCH($B19,'[25]AFA-E_ANTC'!$A$5:$A$48,0),MATCH(N$5,'[25]AFA-E_ANTC'!$J$3:$O$3,0)),"")</f>
        <v>0.37737346804834621</v>
      </c>
      <c r="O19" s="274">
        <f>IFERROR(INDEX('[25]AFA-E_ANTC'!$J$5:$O$48,MATCH($B19,'[25]AFA-E_ANTC'!$A$5:$A$48,0),MATCH(O$5,'[25]AFA-E_ANTC'!$J$3:$O$3,0)),"")</f>
        <v>0.25478656503145514</v>
      </c>
      <c r="P19" s="274">
        <f>IFERROR(INDEX('[25]AFA-E_ANTC'!$P$5:$P$48,MATCH($B19,'[25]AFA-E_ANTC'!$A$5:$A$48,0)),"")</f>
        <v>2.2499999999999999E-2</v>
      </c>
      <c r="Q19" s="276">
        <f>IFERROR(INDEX('[25]RESID-E_ANTC'!$M$5:$T$48,MATCH($B19,'[25]RESID-E_ANTC'!$A$5:$A$48,0),MATCH(Q$5,'[25]RESID-E_ANTC'!$M$3:$T$3,0)),"")</f>
        <v>0.33192828574538003</v>
      </c>
      <c r="R19" s="276">
        <f>IFERROR(INDEX('[25]RESID-E_ANTC'!$M$5:$T$48,MATCH($B19,'[25]RESID-E_ANTC'!$A$5:$A$48,0),MATCH(R$5,'[25]RESID-E_ANTC'!$M$3:$T$3,0)),"")</f>
        <v>0.33103303930312999</v>
      </c>
      <c r="S19" s="276">
        <f>IFERROR(INDEX('[25]RESID-E_ANTC'!$M$5:$T$48,MATCH($B19,'[25]RESID-E_ANTC'!$A$5:$A$48,0),MATCH(S$5,'[25]RESID-E_ANTC'!$M$3:$T$3,0)),"")</f>
        <v>0.29041173582530899</v>
      </c>
      <c r="T19" s="276">
        <f>IFERROR(INDEX('[25]RESID-E_ANTC'!$M$5:$T$48,MATCH($B19,'[25]RESID-E_ANTC'!$A$5:$A$48,0),MATCH(T$5,'[25]RESID-E_ANTC'!$M$3:$T$3,0)),"")</f>
        <v>0</v>
      </c>
      <c r="U19" s="276">
        <f>IFERROR(INDEX('[25]RESID-E_ANTC'!$M$5:$T$48,MATCH($B19,'[25]RESID-E_ANTC'!$A$5:$A$48,0),MATCH(U$5,'[25]RESID-E_ANTC'!$M$3:$T$3,0)),"")</f>
        <v>0</v>
      </c>
      <c r="V19" s="279">
        <v>3</v>
      </c>
      <c r="W19" s="279">
        <v>0</v>
      </c>
    </row>
    <row r="20" spans="2:23">
      <c r="B20" s="270" t="str">
        <f>IF([25]ITEMS_Tech_E!D20="","",[25]ITEMS_Tech_E!D20)</f>
        <v>*</v>
      </c>
      <c r="C20" s="271" t="str">
        <f>IF([25]ITEMS_Tech_E!E20="","",[25]ITEMS_Tech_E!E20)</f>
        <v>Transport Passenger Car Priv.Veh. Oil DieselHybrid-Existing</v>
      </c>
      <c r="D20" s="277" t="s">
        <v>741</v>
      </c>
      <c r="E20" s="277" t="s">
        <v>746</v>
      </c>
      <c r="F20" s="278">
        <f>IFERROR(INDEX('[25]EFF-E_ANTC'!$C$4:$H$47,MATCH($B20,'[25]EFF-E_ANTC'!$A$4:$A$47,0),MATCH(F$5,'[25]EFF-E_ANTC'!$C$3:$H$3,0)),"")</f>
        <v>6.4348339348895098E-2</v>
      </c>
      <c r="G20" s="278">
        <f>IFERROR(INDEX('[25]EFF-E_ANTC'!$C$4:$H$47,MATCH($B20,'[25]EFF-E_ANTC'!$A$4:$A$47,0),MATCH(G$5,'[25]EFF-E_ANTC'!$C$3:$H$3,0)),"")</f>
        <v>6.4532835825940396E-2</v>
      </c>
      <c r="H20" s="278">
        <f>IFERROR(INDEX('[25]EFF-E_ANTC'!$C$4:$H$47,MATCH($B20,'[25]EFF-E_ANTC'!$A$4:$A$47,0),MATCH(H$5,'[25]EFF-E_ANTC'!$C$3:$H$3,0)),"")</f>
        <v>6.5227894002483106E-2</v>
      </c>
      <c r="I20" s="278">
        <f>IFERROR(INDEX('[25]EFF-E_ANTC'!$C$4:$H$47,MATCH($B20,'[25]EFF-E_ANTC'!$A$4:$A$47,0),MATCH(I$5,'[25]EFF-E_ANTC'!$C$3:$H$3,0)),"")</f>
        <v>6.6011283101863896E-2</v>
      </c>
      <c r="J20" s="278">
        <f>IFERROR(INDEX('[25]EFF-E_ANTC'!$C$4:$H$47,MATCH($B20,'[25]EFF-E_ANTC'!$A$4:$A$47,0),MATCH(J$5,'[25]EFF-E_ANTC'!$C$3:$H$3,0)),"")</f>
        <v>6.6777008175099004E-2</v>
      </c>
      <c r="K20" s="274">
        <f>IFERROR(INDEX('[25]AFA-E_ANTC'!$J$5:$O$48,MATCH($B20,'[25]AFA-E_ANTC'!$A$5:$A$48,0),MATCH(K$5,'[25]AFA-E_ANTC'!$J$3:$O$3,0)),"")</f>
        <v>0.42532283795650333</v>
      </c>
      <c r="L20" s="274">
        <f>IFERROR(INDEX('[25]AFA-E_ANTC'!$J$5:$O$48,MATCH($B20,'[25]AFA-E_ANTC'!$A$5:$A$48,0),MATCH(L$5,'[25]AFA-E_ANTC'!$J$3:$O$3,0)),"")</f>
        <v>0.33706878442068333</v>
      </c>
      <c r="M20" s="274">
        <f>IFERROR(INDEX('[25]AFA-E_ANTC'!$J$5:$O$48,MATCH($B20,'[25]AFA-E_ANTC'!$A$5:$A$48,0),MATCH(M$5,'[25]AFA-E_ANTC'!$J$3:$O$3,0)),"")</f>
        <v>0.15171434294469499</v>
      </c>
      <c r="N20" s="274">
        <f>IFERROR(INDEX('[25]AFA-E_ANTC'!$J$5:$O$48,MATCH($B20,'[25]AFA-E_ANTC'!$A$5:$A$48,0),MATCH(N$5,'[25]AFA-E_ANTC'!$J$3:$O$3,0)),"")</f>
        <v>6.6477490540613332E-2</v>
      </c>
      <c r="O20" s="274">
        <f>IFERROR(INDEX('[25]AFA-E_ANTC'!$J$5:$O$48,MATCH($B20,'[25]AFA-E_ANTC'!$A$5:$A$48,0),MATCH(O$5,'[25]AFA-E_ANTC'!$J$3:$O$3,0)),"")</f>
        <v>2.8637041139474666E-2</v>
      </c>
      <c r="P20" s="274">
        <f>IFERROR(INDEX('[25]AFA-E_ANTC'!$P$5:$P$48,MATCH($B20,'[25]AFA-E_ANTC'!$A$5:$A$48,0)),"")</f>
        <v>0.06</v>
      </c>
      <c r="Q20" s="276">
        <f>IFERROR(INDEX('[25]RESID-E_ANTC'!$M$5:$T$48,MATCH($B20,'[25]RESID-E_ANTC'!$A$5:$A$48,0),MATCH(Q$5,'[25]RESID-E_ANTC'!$M$3:$T$3,0)),"")</f>
        <v>25.1952522652347</v>
      </c>
      <c r="R20" s="276">
        <f>IFERROR(INDEX('[25]RESID-E_ANTC'!$M$5:$T$48,MATCH($B20,'[25]RESID-E_ANTC'!$A$5:$A$48,0),MATCH(R$5,'[25]RESID-E_ANTC'!$M$3:$T$3,0)),"")</f>
        <v>23.083651962362801</v>
      </c>
      <c r="S20" s="276">
        <f>IFERROR(INDEX('[25]RESID-E_ANTC'!$M$5:$T$48,MATCH($B20,'[25]RESID-E_ANTC'!$A$5:$A$48,0),MATCH(S$5,'[25]RESID-E_ANTC'!$M$3:$T$3,0)),"")</f>
        <v>15.5161252325553</v>
      </c>
      <c r="T20" s="276">
        <f>IFERROR(INDEX('[25]RESID-E_ANTC'!$M$5:$T$48,MATCH($B20,'[25]RESID-E_ANTC'!$A$5:$A$48,0),MATCH(T$5,'[25]RESID-E_ANTC'!$M$3:$T$3,0)),"")</f>
        <v>0</v>
      </c>
      <c r="U20" s="276">
        <f>IFERROR(INDEX('[25]RESID-E_ANTC'!$M$5:$T$48,MATCH($B20,'[25]RESID-E_ANTC'!$A$5:$A$48,0),MATCH(U$5,'[25]RESID-E_ANTC'!$M$3:$T$3,0)),"")</f>
        <v>0</v>
      </c>
      <c r="V20" s="279">
        <v>3</v>
      </c>
      <c r="W20" s="279">
        <v>0</v>
      </c>
    </row>
    <row r="21" spans="2:23">
      <c r="B21" s="270" t="str">
        <f>IF([25]ITEMS_Tech_E!D21="","",[25]ITEMS_Tech_E!D21)</f>
        <v>TPPRCARGAS-E</v>
      </c>
      <c r="C21" s="271" t="str">
        <f>IF([25]ITEMS_Tech_E!E21="","",[25]ITEMS_Tech_E!E21)</f>
        <v>Transport Passenger Car Priv.Veh. Gas-Existing</v>
      </c>
      <c r="D21" s="277" t="s">
        <v>745</v>
      </c>
      <c r="E21" s="277" t="s">
        <v>746</v>
      </c>
      <c r="F21" s="278">
        <f>IFERROR(INDEX('[25]EFF-E_ANTC'!$C$4:$H$47,MATCH($B21,'[25]EFF-E_ANTC'!$A$4:$A$47,0),MATCH(F$5,'[25]EFF-E_ANTC'!$C$3:$H$3,0)),"")</f>
        <v>1.7604140792286291</v>
      </c>
      <c r="G21" s="278">
        <f>IFERROR(INDEX('[25]EFF-E_ANTC'!$C$4:$H$47,MATCH($B21,'[25]EFF-E_ANTC'!$A$4:$A$47,0),MATCH(G$5,'[25]EFF-E_ANTC'!$C$3:$H$3,0)),"")</f>
        <v>1.7604140792286291</v>
      </c>
      <c r="H21" s="278">
        <f>IFERROR(INDEX('[25]EFF-E_ANTC'!$C$4:$H$47,MATCH($B21,'[25]EFF-E_ANTC'!$A$4:$A$47,0),MATCH(H$5,'[25]EFF-E_ANTC'!$C$3:$H$3,0)),"")</f>
        <v>1.7604140792286291</v>
      </c>
      <c r="I21" s="278">
        <f>IFERROR(INDEX('[25]EFF-E_ANTC'!$C$4:$H$47,MATCH($B21,'[25]EFF-E_ANTC'!$A$4:$A$47,0),MATCH(I$5,'[25]EFF-E_ANTC'!$C$3:$H$3,0)),"")</f>
        <v>1.7604140792286291</v>
      </c>
      <c r="J21" s="278">
        <f>IFERROR(INDEX('[25]EFF-E_ANTC'!$C$4:$H$47,MATCH($B21,'[25]EFF-E_ANTC'!$A$4:$A$47,0),MATCH(J$5,'[25]EFF-E_ANTC'!$C$3:$H$3,0)),"")</f>
        <v>1.7604140792286291</v>
      </c>
      <c r="K21" s="274">
        <f>IFERROR(INDEX('[25]AFA-E_ANTC'!$J$5:$O$48,MATCH($B21,'[25]AFA-E_ANTC'!$A$5:$A$48,0),MATCH(K$5,'[25]AFA-E_ANTC'!$J$3:$O$3,0)),"")</f>
        <v>0</v>
      </c>
      <c r="L21" s="274">
        <f>IFERROR(INDEX('[25]AFA-E_ANTC'!$J$5:$O$48,MATCH($B21,'[25]AFA-E_ANTC'!$A$5:$A$48,0),MATCH(L$5,'[25]AFA-E_ANTC'!$J$3:$O$3,0)),"")</f>
        <v>0.87947669903928882</v>
      </c>
      <c r="M21" s="274">
        <f>IFERROR(INDEX('[25]AFA-E_ANTC'!$J$5:$O$48,MATCH($B21,'[25]AFA-E_ANTC'!$A$5:$A$48,0),MATCH(M$5,'[25]AFA-E_ANTC'!$J$3:$O$3,0)),"")</f>
        <v>0.5904981435059814</v>
      </c>
      <c r="N21" s="274">
        <f>IFERROR(INDEX('[25]AFA-E_ANTC'!$J$5:$O$48,MATCH($B21,'[25]AFA-E_ANTC'!$A$5:$A$48,0),MATCH(N$5,'[25]AFA-E_ANTC'!$J$3:$O$3,0)),"")</f>
        <v>0.39754382195796284</v>
      </c>
      <c r="O21" s="274">
        <f>IFERROR(INDEX('[25]AFA-E_ANTC'!$J$5:$O$48,MATCH($B21,'[25]AFA-E_ANTC'!$A$5:$A$48,0),MATCH(O$5,'[25]AFA-E_ANTC'!$J$3:$O$3,0)),"")</f>
        <v>0.26840473277037419</v>
      </c>
      <c r="P21" s="274">
        <f>IFERROR(INDEX('[25]AFA-E_ANTC'!$P$5:$P$48,MATCH($B21,'[25]AFA-E_ANTC'!$A$5:$A$48,0)),"")</f>
        <v>2.1358407707781298E-2</v>
      </c>
      <c r="Q21" s="276">
        <f>IFERROR(INDEX('[25]RESID-E_ANTC'!$M$5:$T$48,MATCH($B21,'[25]RESID-E_ANTC'!$A$5:$A$48,0),MATCH(Q$5,'[25]RESID-E_ANTC'!$M$3:$T$3,0)),"")</f>
        <v>3.3192828574538001E-2</v>
      </c>
      <c r="R21" s="276">
        <f>IFERROR(INDEX('[25]RESID-E_ANTC'!$M$5:$T$48,MATCH($B21,'[25]RESID-E_ANTC'!$A$5:$A$48,0),MATCH(R$5,'[25]RESID-E_ANTC'!$M$3:$T$3,0)),"")</f>
        <v>3.3103303930313001E-2</v>
      </c>
      <c r="S21" s="276">
        <f>IFERROR(INDEX('[25]RESID-E_ANTC'!$M$5:$T$48,MATCH($B21,'[25]RESID-E_ANTC'!$A$5:$A$48,0),MATCH(S$5,'[25]RESID-E_ANTC'!$M$3:$T$3,0)),"")</f>
        <v>2.9041173582530902E-2</v>
      </c>
      <c r="T21" s="276">
        <f>IFERROR(INDEX('[25]RESID-E_ANTC'!$M$5:$T$48,MATCH($B21,'[25]RESID-E_ANTC'!$A$5:$A$48,0),MATCH(T$5,'[25]RESID-E_ANTC'!$M$3:$T$3,0)),"")</f>
        <v>0</v>
      </c>
      <c r="U21" s="276">
        <f>IFERROR(INDEX('[25]RESID-E_ANTC'!$M$5:$T$48,MATCH($B21,'[25]RESID-E_ANTC'!$A$5:$A$48,0),MATCH(U$5,'[25]RESID-E_ANTC'!$M$3:$T$3,0)),"")</f>
        <v>0</v>
      </c>
      <c r="V21" s="279">
        <v>3</v>
      </c>
      <c r="W21" s="279">
        <v>0</v>
      </c>
    </row>
    <row r="22" spans="2:23">
      <c r="B22" s="270" t="str">
        <f>IF([25]ITEMS_Tech_E!D22="","",[25]ITEMS_Tech_E!D22)</f>
        <v>*</v>
      </c>
      <c r="C22" s="271" t="str">
        <f>IF([25]ITEMS_Tech_E!E22="","",[25]ITEMS_Tech_E!E22)</f>
        <v/>
      </c>
      <c r="D22" s="272"/>
      <c r="E22" s="272"/>
      <c r="F22" s="278">
        <f>IFERROR(INDEX('[25]EFF-E_ANTC'!$C$4:$H$47,MATCH($B22,'[25]EFF-E_ANTC'!$A$4:$A$47,0),MATCH(F$5,'[25]EFF-E_ANTC'!$C$3:$H$3,0)),"")</f>
        <v>6.4348339348895098E-2</v>
      </c>
      <c r="G22" s="278">
        <f>IFERROR(INDEX('[25]EFF-E_ANTC'!$C$4:$H$47,MATCH($B22,'[25]EFF-E_ANTC'!$A$4:$A$47,0),MATCH(G$5,'[25]EFF-E_ANTC'!$C$3:$H$3,0)),"")</f>
        <v>6.4532835825940396E-2</v>
      </c>
      <c r="H22" s="278">
        <f>IFERROR(INDEX('[25]EFF-E_ANTC'!$C$4:$H$47,MATCH($B22,'[25]EFF-E_ANTC'!$A$4:$A$47,0),MATCH(H$5,'[25]EFF-E_ANTC'!$C$3:$H$3,0)),"")</f>
        <v>6.5227894002483106E-2</v>
      </c>
      <c r="I22" s="278">
        <f>IFERROR(INDEX('[25]EFF-E_ANTC'!$C$4:$H$47,MATCH($B22,'[25]EFF-E_ANTC'!$A$4:$A$47,0),MATCH(I$5,'[25]EFF-E_ANTC'!$C$3:$H$3,0)),"")</f>
        <v>6.6011283101863896E-2</v>
      </c>
      <c r="J22" s="278">
        <f>IFERROR(INDEX('[25]EFF-E_ANTC'!$C$4:$H$47,MATCH($B22,'[25]EFF-E_ANTC'!$A$4:$A$47,0),MATCH(J$5,'[25]EFF-E_ANTC'!$C$3:$H$3,0)),"")</f>
        <v>6.6777008175099004E-2</v>
      </c>
      <c r="K22" s="274">
        <f>IFERROR(INDEX('[25]AFA-E_ANTC'!$J$5:$O$48,MATCH($B22,'[25]AFA-E_ANTC'!$A$5:$A$48,0),MATCH(K$5,'[25]AFA-E_ANTC'!$J$3:$O$3,0)),"")</f>
        <v>0.42532283795650333</v>
      </c>
      <c r="L22" s="274">
        <f>IFERROR(INDEX('[25]AFA-E_ANTC'!$J$5:$O$48,MATCH($B22,'[25]AFA-E_ANTC'!$A$5:$A$48,0),MATCH(L$5,'[25]AFA-E_ANTC'!$J$3:$O$3,0)),"")</f>
        <v>0.33706878442068333</v>
      </c>
      <c r="M22" s="274">
        <f>IFERROR(INDEX('[25]AFA-E_ANTC'!$J$5:$O$48,MATCH($B22,'[25]AFA-E_ANTC'!$A$5:$A$48,0),MATCH(M$5,'[25]AFA-E_ANTC'!$J$3:$O$3,0)),"")</f>
        <v>0.15171434294469499</v>
      </c>
      <c r="N22" s="274">
        <f>IFERROR(INDEX('[25]AFA-E_ANTC'!$J$5:$O$48,MATCH($B22,'[25]AFA-E_ANTC'!$A$5:$A$48,0),MATCH(N$5,'[25]AFA-E_ANTC'!$J$3:$O$3,0)),"")</f>
        <v>6.6477490540613332E-2</v>
      </c>
      <c r="O22" s="274">
        <f>IFERROR(INDEX('[25]AFA-E_ANTC'!$J$5:$O$48,MATCH($B22,'[25]AFA-E_ANTC'!$A$5:$A$48,0),MATCH(O$5,'[25]AFA-E_ANTC'!$J$3:$O$3,0)),"")</f>
        <v>2.8637041139474666E-2</v>
      </c>
      <c r="P22" s="274">
        <f>IFERROR(INDEX('[25]AFA-E_ANTC'!$P$5:$P$48,MATCH($B22,'[25]AFA-E_ANTC'!$A$5:$A$48,0)),"")</f>
        <v>0.06</v>
      </c>
      <c r="Q22" s="276">
        <f>IFERROR(INDEX('[25]RESID-E_ANTC'!$M$5:$T$48,MATCH($B22,'[25]RESID-E_ANTC'!$A$5:$A$48,0),MATCH(Q$5,'[25]RESID-E_ANTC'!$M$3:$T$3,0)),"")</f>
        <v>25.1952522652347</v>
      </c>
      <c r="R22" s="276">
        <f>IFERROR(INDEX('[25]RESID-E_ANTC'!$M$5:$T$48,MATCH($B22,'[25]RESID-E_ANTC'!$A$5:$A$48,0),MATCH(R$5,'[25]RESID-E_ANTC'!$M$3:$T$3,0)),"")</f>
        <v>23.083651962362801</v>
      </c>
      <c r="S22" s="276">
        <f>IFERROR(INDEX('[25]RESID-E_ANTC'!$M$5:$T$48,MATCH($B22,'[25]RESID-E_ANTC'!$A$5:$A$48,0),MATCH(S$5,'[25]RESID-E_ANTC'!$M$3:$T$3,0)),"")</f>
        <v>15.5161252325553</v>
      </c>
      <c r="T22" s="276">
        <f>IFERROR(INDEX('[25]RESID-E_ANTC'!$M$5:$T$48,MATCH($B22,'[25]RESID-E_ANTC'!$A$5:$A$48,0),MATCH(T$5,'[25]RESID-E_ANTC'!$M$3:$T$3,0)),"")</f>
        <v>0</v>
      </c>
      <c r="U22" s="276">
        <f>IFERROR(INDEX('[25]RESID-E_ANTC'!$M$5:$T$48,MATCH($B22,'[25]RESID-E_ANTC'!$A$5:$A$48,0),MATCH(U$5,'[25]RESID-E_ANTC'!$M$3:$T$3,0)),"")</f>
        <v>0</v>
      </c>
      <c r="V22" s="279"/>
      <c r="W22" s="279"/>
    </row>
    <row r="23" spans="2:23">
      <c r="B23" s="270" t="str">
        <f>IF([25]ITEMS_Tech_E!D23="","",[25]ITEMS_Tech_E!D23)</f>
        <v>*</v>
      </c>
      <c r="C23" s="271" t="str">
        <f>IF([25]ITEMS_Tech_E!E23="","",[25]ITEMS_Tech_E!E23)</f>
        <v/>
      </c>
      <c r="D23" s="272"/>
      <c r="E23" s="272"/>
      <c r="F23" s="278">
        <f>IFERROR(INDEX('[25]EFF-E_ANTC'!$C$4:$H$47,MATCH($B23,'[25]EFF-E_ANTC'!$A$4:$A$47,0),MATCH(F$5,'[25]EFF-E_ANTC'!$C$3:$H$3,0)),"")</f>
        <v>6.4348339348895098E-2</v>
      </c>
      <c r="G23" s="278">
        <f>IFERROR(INDEX('[25]EFF-E_ANTC'!$C$4:$H$47,MATCH($B23,'[25]EFF-E_ANTC'!$A$4:$A$47,0),MATCH(G$5,'[25]EFF-E_ANTC'!$C$3:$H$3,0)),"")</f>
        <v>6.4532835825940396E-2</v>
      </c>
      <c r="H23" s="278">
        <f>IFERROR(INDEX('[25]EFF-E_ANTC'!$C$4:$H$47,MATCH($B23,'[25]EFF-E_ANTC'!$A$4:$A$47,0),MATCH(H$5,'[25]EFF-E_ANTC'!$C$3:$H$3,0)),"")</f>
        <v>6.5227894002483106E-2</v>
      </c>
      <c r="I23" s="278">
        <f>IFERROR(INDEX('[25]EFF-E_ANTC'!$C$4:$H$47,MATCH($B23,'[25]EFF-E_ANTC'!$A$4:$A$47,0),MATCH(I$5,'[25]EFF-E_ANTC'!$C$3:$H$3,0)),"")</f>
        <v>6.6011283101863896E-2</v>
      </c>
      <c r="J23" s="278">
        <f>IFERROR(INDEX('[25]EFF-E_ANTC'!$C$4:$H$47,MATCH($B23,'[25]EFF-E_ANTC'!$A$4:$A$47,0),MATCH(J$5,'[25]EFF-E_ANTC'!$C$3:$H$3,0)),"")</f>
        <v>6.6777008175099004E-2</v>
      </c>
      <c r="K23" s="274">
        <f>IFERROR(INDEX('[25]AFA-E_ANTC'!$J$5:$O$48,MATCH($B23,'[25]AFA-E_ANTC'!$A$5:$A$48,0),MATCH(K$5,'[25]AFA-E_ANTC'!$J$3:$O$3,0)),"")</f>
        <v>0.42532283795650333</v>
      </c>
      <c r="L23" s="274">
        <f>IFERROR(INDEX('[25]AFA-E_ANTC'!$J$5:$O$48,MATCH($B23,'[25]AFA-E_ANTC'!$A$5:$A$48,0),MATCH(L$5,'[25]AFA-E_ANTC'!$J$3:$O$3,0)),"")</f>
        <v>0.33706878442068333</v>
      </c>
      <c r="M23" s="274">
        <f>IFERROR(INDEX('[25]AFA-E_ANTC'!$J$5:$O$48,MATCH($B23,'[25]AFA-E_ANTC'!$A$5:$A$48,0),MATCH(M$5,'[25]AFA-E_ANTC'!$J$3:$O$3,0)),"")</f>
        <v>0.15171434294469499</v>
      </c>
      <c r="N23" s="274">
        <f>IFERROR(INDEX('[25]AFA-E_ANTC'!$J$5:$O$48,MATCH($B23,'[25]AFA-E_ANTC'!$A$5:$A$48,0),MATCH(N$5,'[25]AFA-E_ANTC'!$J$3:$O$3,0)),"")</f>
        <v>6.6477490540613332E-2</v>
      </c>
      <c r="O23" s="274">
        <f>IFERROR(INDEX('[25]AFA-E_ANTC'!$J$5:$O$48,MATCH($B23,'[25]AFA-E_ANTC'!$A$5:$A$48,0),MATCH(O$5,'[25]AFA-E_ANTC'!$J$3:$O$3,0)),"")</f>
        <v>2.8637041139474666E-2</v>
      </c>
      <c r="P23" s="274">
        <f>IFERROR(INDEX('[25]AFA-E_ANTC'!$P$5:$P$48,MATCH($B23,'[25]AFA-E_ANTC'!$A$5:$A$48,0)),"")</f>
        <v>0.06</v>
      </c>
      <c r="Q23" s="276">
        <f>IFERROR(INDEX('[25]RESID-E_ANTC'!$M$5:$T$48,MATCH($B23,'[25]RESID-E_ANTC'!$A$5:$A$48,0),MATCH(Q$5,'[25]RESID-E_ANTC'!$M$3:$T$3,0)),"")</f>
        <v>25.1952522652347</v>
      </c>
      <c r="R23" s="276">
        <f>IFERROR(INDEX('[25]RESID-E_ANTC'!$M$5:$T$48,MATCH($B23,'[25]RESID-E_ANTC'!$A$5:$A$48,0),MATCH(R$5,'[25]RESID-E_ANTC'!$M$3:$T$3,0)),"")</f>
        <v>23.083651962362801</v>
      </c>
      <c r="S23" s="276">
        <f>IFERROR(INDEX('[25]RESID-E_ANTC'!$M$5:$T$48,MATCH($B23,'[25]RESID-E_ANTC'!$A$5:$A$48,0),MATCH(S$5,'[25]RESID-E_ANTC'!$M$3:$T$3,0)),"")</f>
        <v>15.5161252325553</v>
      </c>
      <c r="T23" s="276">
        <f>IFERROR(INDEX('[25]RESID-E_ANTC'!$M$5:$T$48,MATCH($B23,'[25]RESID-E_ANTC'!$A$5:$A$48,0),MATCH(T$5,'[25]RESID-E_ANTC'!$M$3:$T$3,0)),"")</f>
        <v>0</v>
      </c>
      <c r="U23" s="276">
        <f>IFERROR(INDEX('[25]RESID-E_ANTC'!$M$5:$T$48,MATCH($B23,'[25]RESID-E_ANTC'!$A$5:$A$48,0),MATCH(U$5,'[25]RESID-E_ANTC'!$M$3:$T$3,0)),"")</f>
        <v>0</v>
      </c>
      <c r="V23" s="279"/>
      <c r="W23" s="279"/>
    </row>
    <row r="24" spans="2:23">
      <c r="B24" s="270" t="str">
        <f>IF([25]ITEMS_Tech_E!D24="","",[25]ITEMS_Tech_E!D24)</f>
        <v>*</v>
      </c>
      <c r="C24" s="271" t="str">
        <f>IF([25]ITEMS_Tech_E!E24="","",[25]ITEMS_Tech_E!E24)</f>
        <v>Private Motorcycles</v>
      </c>
      <c r="D24" s="272"/>
      <c r="E24" s="272"/>
      <c r="F24" s="278">
        <f>IFERROR(INDEX('[25]EFF-E_ANTC'!$C$4:$H$47,MATCH($B24,'[25]EFF-E_ANTC'!$A$4:$A$47,0),MATCH(F$5,'[25]EFF-E_ANTC'!$C$3:$H$3,0)),"")</f>
        <v>6.4348339348895098E-2</v>
      </c>
      <c r="G24" s="278">
        <f>IFERROR(INDEX('[25]EFF-E_ANTC'!$C$4:$H$47,MATCH($B24,'[25]EFF-E_ANTC'!$A$4:$A$47,0),MATCH(G$5,'[25]EFF-E_ANTC'!$C$3:$H$3,0)),"")</f>
        <v>6.4532835825940396E-2</v>
      </c>
      <c r="H24" s="278">
        <f>IFERROR(INDEX('[25]EFF-E_ANTC'!$C$4:$H$47,MATCH($B24,'[25]EFF-E_ANTC'!$A$4:$A$47,0),MATCH(H$5,'[25]EFF-E_ANTC'!$C$3:$H$3,0)),"")</f>
        <v>6.5227894002483106E-2</v>
      </c>
      <c r="I24" s="278">
        <f>IFERROR(INDEX('[25]EFF-E_ANTC'!$C$4:$H$47,MATCH($B24,'[25]EFF-E_ANTC'!$A$4:$A$47,0),MATCH(I$5,'[25]EFF-E_ANTC'!$C$3:$H$3,0)),"")</f>
        <v>6.6011283101863896E-2</v>
      </c>
      <c r="J24" s="278">
        <f>IFERROR(INDEX('[25]EFF-E_ANTC'!$C$4:$H$47,MATCH($B24,'[25]EFF-E_ANTC'!$A$4:$A$47,0),MATCH(J$5,'[25]EFF-E_ANTC'!$C$3:$H$3,0)),"")</f>
        <v>6.6777008175099004E-2</v>
      </c>
      <c r="K24" s="274">
        <f>IFERROR(INDEX('[25]AFA-E_ANTC'!$J$5:$O$48,MATCH($B24,'[25]AFA-E_ANTC'!$A$5:$A$48,0),MATCH(K$5,'[25]AFA-E_ANTC'!$J$3:$O$3,0)),"")</f>
        <v>0.42532283795650333</v>
      </c>
      <c r="L24" s="274">
        <f>IFERROR(INDEX('[25]AFA-E_ANTC'!$J$5:$O$48,MATCH($B24,'[25]AFA-E_ANTC'!$A$5:$A$48,0),MATCH(L$5,'[25]AFA-E_ANTC'!$J$3:$O$3,0)),"")</f>
        <v>0.33706878442068333</v>
      </c>
      <c r="M24" s="274">
        <f>IFERROR(INDEX('[25]AFA-E_ANTC'!$J$5:$O$48,MATCH($B24,'[25]AFA-E_ANTC'!$A$5:$A$48,0),MATCH(M$5,'[25]AFA-E_ANTC'!$J$3:$O$3,0)),"")</f>
        <v>0.15171434294469499</v>
      </c>
      <c r="N24" s="274">
        <f>IFERROR(INDEX('[25]AFA-E_ANTC'!$J$5:$O$48,MATCH($B24,'[25]AFA-E_ANTC'!$A$5:$A$48,0),MATCH(N$5,'[25]AFA-E_ANTC'!$J$3:$O$3,0)),"")</f>
        <v>6.6477490540613332E-2</v>
      </c>
      <c r="O24" s="274">
        <f>IFERROR(INDEX('[25]AFA-E_ANTC'!$J$5:$O$48,MATCH($B24,'[25]AFA-E_ANTC'!$A$5:$A$48,0),MATCH(O$5,'[25]AFA-E_ANTC'!$J$3:$O$3,0)),"")</f>
        <v>2.8637041139474666E-2</v>
      </c>
      <c r="P24" s="274">
        <f>IFERROR(INDEX('[25]AFA-E_ANTC'!$P$5:$P$48,MATCH($B24,'[25]AFA-E_ANTC'!$A$5:$A$48,0)),"")</f>
        <v>0.06</v>
      </c>
      <c r="Q24" s="276">
        <f>IFERROR(INDEX('[25]RESID-E_ANTC'!$M$5:$T$48,MATCH($B24,'[25]RESID-E_ANTC'!$A$5:$A$48,0),MATCH(Q$5,'[25]RESID-E_ANTC'!$M$3:$T$3,0)),"")</f>
        <v>25.1952522652347</v>
      </c>
      <c r="R24" s="276">
        <f>IFERROR(INDEX('[25]RESID-E_ANTC'!$M$5:$T$48,MATCH($B24,'[25]RESID-E_ANTC'!$A$5:$A$48,0),MATCH(R$5,'[25]RESID-E_ANTC'!$M$3:$T$3,0)),"")</f>
        <v>23.083651962362801</v>
      </c>
      <c r="S24" s="276">
        <f>IFERROR(INDEX('[25]RESID-E_ANTC'!$M$5:$T$48,MATCH($B24,'[25]RESID-E_ANTC'!$A$5:$A$48,0),MATCH(S$5,'[25]RESID-E_ANTC'!$M$3:$T$3,0)),"")</f>
        <v>15.5161252325553</v>
      </c>
      <c r="T24" s="276">
        <f>IFERROR(INDEX('[25]RESID-E_ANTC'!$M$5:$T$48,MATCH($B24,'[25]RESID-E_ANTC'!$A$5:$A$48,0),MATCH(T$5,'[25]RESID-E_ANTC'!$M$3:$T$3,0)),"")</f>
        <v>0</v>
      </c>
      <c r="U24" s="276">
        <f>IFERROR(INDEX('[25]RESID-E_ANTC'!$M$5:$T$48,MATCH($B24,'[25]RESID-E_ANTC'!$A$5:$A$48,0),MATCH(U$5,'[25]RESID-E_ANTC'!$M$3:$T$3,0)),"")</f>
        <v>0</v>
      </c>
      <c r="V24" s="279"/>
      <c r="W24" s="279"/>
    </row>
    <row r="25" spans="2:23">
      <c r="B25" s="270" t="str">
        <f>IF([25]ITEMS_Tech_E!D25="","",[25]ITEMS_Tech_E!D25)</f>
        <v>TPPRMOTOGS-E</v>
      </c>
      <c r="C25" s="271" t="str">
        <f>IF([25]ITEMS_Tech_E!E25="","",[25]ITEMS_Tech_E!E25)</f>
        <v>Transport Passenger Moto Priv.Veh. Oil Gasoline-Existing</v>
      </c>
      <c r="D25" s="277" t="s">
        <v>743</v>
      </c>
      <c r="E25" s="277" t="s">
        <v>747</v>
      </c>
      <c r="F25" s="278">
        <f>IFERROR(INDEX('[25]EFF-E_ANTC'!$C$4:$H$47,MATCH($B25,'[25]EFF-E_ANTC'!$A$4:$A$47,0),MATCH(F$5,'[25]EFF-E_ANTC'!$C$3:$H$3,0)),"")</f>
        <v>0.58484684820594601</v>
      </c>
      <c r="G25" s="278">
        <f>IFERROR(INDEX('[25]EFF-E_ANTC'!$C$4:$H$47,MATCH($B25,'[25]EFF-E_ANTC'!$A$4:$A$47,0),MATCH(G$5,'[25]EFF-E_ANTC'!$C$3:$H$3,0)),"")</f>
        <v>0.58792203407525001</v>
      </c>
      <c r="H25" s="278">
        <f>IFERROR(INDEX('[25]EFF-E_ANTC'!$C$4:$H$47,MATCH($B25,'[25]EFF-E_ANTC'!$A$4:$A$47,0),MATCH(H$5,'[25]EFF-E_ANTC'!$C$3:$H$3,0)),"")</f>
        <v>0.59899195036072195</v>
      </c>
      <c r="I25" s="278">
        <f>IFERROR(INDEX('[25]EFF-E_ANTC'!$C$4:$H$47,MATCH($B25,'[25]EFF-E_ANTC'!$A$4:$A$47,0),MATCH(I$5,'[25]EFF-E_ANTC'!$C$3:$H$3,0)),"")</f>
        <v>0.60882557636547696</v>
      </c>
      <c r="J25" s="278">
        <f>IFERROR(INDEX('[25]EFF-E_ANTC'!$C$4:$H$47,MATCH($B25,'[25]EFF-E_ANTC'!$A$4:$A$47,0),MATCH(J$5,'[25]EFF-E_ANTC'!$C$3:$H$3,0)),"")</f>
        <v>0.61566719645728296</v>
      </c>
      <c r="K25" s="274">
        <f>IFERROR(INDEX('[25]AFA-E_ANTC'!$J$5:$O$48,MATCH($B25,'[25]AFA-E_ANTC'!$A$5:$A$48,0),MATCH(K$5,'[25]AFA-E_ANTC'!$J$3:$O$3,0)),"")</f>
        <v>0.7411302039843134</v>
      </c>
      <c r="L25" s="274">
        <f>IFERROR(INDEX('[25]AFA-E_ANTC'!$J$5:$O$48,MATCH($B25,'[25]AFA-E_ANTC'!$A$5:$A$48,0),MATCH(L$5,'[25]AFA-E_ANTC'!$J$3:$O$3,0)),"")</f>
        <v>0.67310395943547341</v>
      </c>
      <c r="M25" s="274">
        <f>IFERROR(INDEX('[25]AFA-E_ANTC'!$J$5:$O$48,MATCH($B25,'[25]AFA-E_ANTC'!$A$5:$A$48,0),MATCH(M$5,'[25]AFA-E_ANTC'!$J$3:$O$3,0)),"")</f>
        <v>0.48967847643882134</v>
      </c>
      <c r="N25" s="274">
        <f>IFERROR(INDEX('[25]AFA-E_ANTC'!$J$5:$O$48,MATCH($B25,'[25]AFA-E_ANTC'!$A$5:$A$48,0),MATCH(N$5,'[25]AFA-E_ANTC'!$J$3:$O$3,0)),"")</f>
        <v>0.35215966369753199</v>
      </c>
      <c r="O25" s="274">
        <f>IFERROR(INDEX('[25]AFA-E_ANTC'!$J$5:$O$48,MATCH($B25,'[25]AFA-E_ANTC'!$A$5:$A$48,0),MATCH(O$5,'[25]AFA-E_ANTC'!$J$3:$O$3,0)),"")</f>
        <v>0.247618657994434</v>
      </c>
      <c r="P25" s="274">
        <f>IFERROR(INDEX('[25]AFA-E_ANTC'!$P$5:$P$48,MATCH($B25,'[25]AFA-E_ANTC'!$A$5:$A$48,0)),"")</f>
        <v>1.4999999999999999E-2</v>
      </c>
      <c r="Q25" s="276">
        <f>IFERROR(INDEX('[25]RESID-E_ANTC'!$M$5:$T$48,MATCH($B25,'[25]RESID-E_ANTC'!$A$5:$A$48,0),MATCH(Q$5,'[25]RESID-E_ANTC'!$M$3:$T$3,0)),"")</f>
        <v>532.77109028187397</v>
      </c>
      <c r="R25" s="276">
        <f>IFERROR(INDEX('[25]RESID-E_ANTC'!$M$5:$T$48,MATCH($B25,'[25]RESID-E_ANTC'!$A$5:$A$48,0),MATCH(R$5,'[25]RESID-E_ANTC'!$M$3:$T$3,0)),"")</f>
        <v>480.39595774755702</v>
      </c>
      <c r="S25" s="276">
        <f>IFERROR(INDEX('[25]RESID-E_ANTC'!$M$5:$T$48,MATCH($B25,'[25]RESID-E_ANTC'!$A$5:$A$48,0),MATCH(S$5,'[25]RESID-E_ANTC'!$M$3:$T$3,0)),"")</f>
        <v>247.18185019438701</v>
      </c>
      <c r="T25" s="276">
        <f>IFERROR(INDEX('[25]RESID-E_ANTC'!$M$5:$T$48,MATCH($B25,'[25]RESID-E_ANTC'!$A$5:$A$48,0),MATCH(T$5,'[25]RESID-E_ANTC'!$M$3:$T$3,0)),"")</f>
        <v>0</v>
      </c>
      <c r="U25" s="276">
        <f>IFERROR(INDEX('[25]RESID-E_ANTC'!$M$5:$T$48,MATCH($B25,'[25]RESID-E_ANTC'!$A$5:$A$48,0),MATCH(U$5,'[25]RESID-E_ANTC'!$M$3:$T$3,0)),"")</f>
        <v>0</v>
      </c>
      <c r="V25" s="279">
        <v>3</v>
      </c>
      <c r="W25" s="279">
        <v>0</v>
      </c>
    </row>
    <row r="26" spans="2:23">
      <c r="B26" s="270" t="str">
        <f>IF([25]ITEMS_Tech_E!D26="","",[25]ITEMS_Tech_E!D26)</f>
        <v>*</v>
      </c>
      <c r="C26" s="271" t="str">
        <f>IF([25]ITEMS_Tech_E!E26="","",[25]ITEMS_Tech_E!E26)</f>
        <v/>
      </c>
      <c r="D26" s="272"/>
      <c r="E26" s="272"/>
      <c r="F26" s="278">
        <f>IFERROR(INDEX('[25]EFF-E_ANTC'!$C$4:$H$47,MATCH($B26,'[25]EFF-E_ANTC'!$A$4:$A$47,0),MATCH(F$5,'[25]EFF-E_ANTC'!$C$3:$H$3,0)),"")</f>
        <v>6.4348339348895098E-2</v>
      </c>
      <c r="G26" s="278">
        <f>IFERROR(INDEX('[25]EFF-E_ANTC'!$C$4:$H$47,MATCH($B26,'[25]EFF-E_ANTC'!$A$4:$A$47,0),MATCH(G$5,'[25]EFF-E_ANTC'!$C$3:$H$3,0)),"")</f>
        <v>6.4532835825940396E-2</v>
      </c>
      <c r="H26" s="278">
        <f>IFERROR(INDEX('[25]EFF-E_ANTC'!$C$4:$H$47,MATCH($B26,'[25]EFF-E_ANTC'!$A$4:$A$47,0),MATCH(H$5,'[25]EFF-E_ANTC'!$C$3:$H$3,0)),"")</f>
        <v>6.5227894002483106E-2</v>
      </c>
      <c r="I26" s="278">
        <f>IFERROR(INDEX('[25]EFF-E_ANTC'!$C$4:$H$47,MATCH($B26,'[25]EFF-E_ANTC'!$A$4:$A$47,0),MATCH(I$5,'[25]EFF-E_ANTC'!$C$3:$H$3,0)),"")</f>
        <v>6.6011283101863896E-2</v>
      </c>
      <c r="J26" s="278">
        <f>IFERROR(INDEX('[25]EFF-E_ANTC'!$C$4:$H$47,MATCH($B26,'[25]EFF-E_ANTC'!$A$4:$A$47,0),MATCH(J$5,'[25]EFF-E_ANTC'!$C$3:$H$3,0)),"")</f>
        <v>6.6777008175099004E-2</v>
      </c>
      <c r="K26" s="274">
        <f>IFERROR(INDEX('[25]AFA-E_ANTC'!$J$5:$O$48,MATCH($B26,'[25]AFA-E_ANTC'!$A$5:$A$48,0),MATCH(K$5,'[25]AFA-E_ANTC'!$J$3:$O$3,0)),"")</f>
        <v>0.42532283795650333</v>
      </c>
      <c r="L26" s="274">
        <f>IFERROR(INDEX('[25]AFA-E_ANTC'!$J$5:$O$48,MATCH($B26,'[25]AFA-E_ANTC'!$A$5:$A$48,0),MATCH(L$5,'[25]AFA-E_ANTC'!$J$3:$O$3,0)),"")</f>
        <v>0.33706878442068333</v>
      </c>
      <c r="M26" s="274">
        <f>IFERROR(INDEX('[25]AFA-E_ANTC'!$J$5:$O$48,MATCH($B26,'[25]AFA-E_ANTC'!$A$5:$A$48,0),MATCH(M$5,'[25]AFA-E_ANTC'!$J$3:$O$3,0)),"")</f>
        <v>0.15171434294469499</v>
      </c>
      <c r="N26" s="274">
        <f>IFERROR(INDEX('[25]AFA-E_ANTC'!$J$5:$O$48,MATCH($B26,'[25]AFA-E_ANTC'!$A$5:$A$48,0),MATCH(N$5,'[25]AFA-E_ANTC'!$J$3:$O$3,0)),"")</f>
        <v>6.6477490540613332E-2</v>
      </c>
      <c r="O26" s="274">
        <f>IFERROR(INDEX('[25]AFA-E_ANTC'!$J$5:$O$48,MATCH($B26,'[25]AFA-E_ANTC'!$A$5:$A$48,0),MATCH(O$5,'[25]AFA-E_ANTC'!$J$3:$O$3,0)),"")</f>
        <v>2.8637041139474666E-2</v>
      </c>
      <c r="P26" s="274">
        <f>IFERROR(INDEX('[25]AFA-E_ANTC'!$P$5:$P$48,MATCH($B26,'[25]AFA-E_ANTC'!$A$5:$A$48,0)),"")</f>
        <v>0.06</v>
      </c>
      <c r="Q26" s="276">
        <f>IFERROR(INDEX('[25]RESID-E_ANTC'!$M$5:$T$48,MATCH($B26,'[25]RESID-E_ANTC'!$A$5:$A$48,0),MATCH(Q$5,'[25]RESID-E_ANTC'!$M$3:$T$3,0)),"")</f>
        <v>25.1952522652347</v>
      </c>
      <c r="R26" s="276">
        <f>IFERROR(INDEX('[25]RESID-E_ANTC'!$M$5:$T$48,MATCH($B26,'[25]RESID-E_ANTC'!$A$5:$A$48,0),MATCH(R$5,'[25]RESID-E_ANTC'!$M$3:$T$3,0)),"")</f>
        <v>23.083651962362801</v>
      </c>
      <c r="S26" s="276">
        <f>IFERROR(INDEX('[25]RESID-E_ANTC'!$M$5:$T$48,MATCH($B26,'[25]RESID-E_ANTC'!$A$5:$A$48,0),MATCH(S$5,'[25]RESID-E_ANTC'!$M$3:$T$3,0)),"")</f>
        <v>15.5161252325553</v>
      </c>
      <c r="T26" s="276">
        <f>IFERROR(INDEX('[25]RESID-E_ANTC'!$M$5:$T$48,MATCH($B26,'[25]RESID-E_ANTC'!$A$5:$A$48,0),MATCH(T$5,'[25]RESID-E_ANTC'!$M$3:$T$3,0)),"")</f>
        <v>0</v>
      </c>
      <c r="U26" s="276">
        <f>IFERROR(INDEX('[25]RESID-E_ANTC'!$M$5:$T$48,MATCH($B26,'[25]RESID-E_ANTC'!$A$5:$A$48,0),MATCH(U$5,'[25]RESID-E_ANTC'!$M$3:$T$3,0)),"")</f>
        <v>0</v>
      </c>
      <c r="V26" s="279"/>
      <c r="W26" s="279"/>
    </row>
    <row r="27" spans="2:23">
      <c r="B27" s="270" t="str">
        <f>IF([25]ITEMS_Tech_E!D27="","",[25]ITEMS_Tech_E!D27)</f>
        <v>*</v>
      </c>
      <c r="C27" s="271" t="str">
        <f>IF([25]ITEMS_Tech_E!E27="","",[25]ITEMS_Tech_E!E27)</f>
        <v/>
      </c>
      <c r="D27" s="272"/>
      <c r="E27" s="272"/>
      <c r="F27" s="278">
        <f>IFERROR(INDEX('[25]EFF-E_ANTC'!$C$4:$H$47,MATCH($B27,'[25]EFF-E_ANTC'!$A$4:$A$47,0),MATCH(F$5,'[25]EFF-E_ANTC'!$C$3:$H$3,0)),"")</f>
        <v>6.4348339348895098E-2</v>
      </c>
      <c r="G27" s="278">
        <f>IFERROR(INDEX('[25]EFF-E_ANTC'!$C$4:$H$47,MATCH($B27,'[25]EFF-E_ANTC'!$A$4:$A$47,0),MATCH(G$5,'[25]EFF-E_ANTC'!$C$3:$H$3,0)),"")</f>
        <v>6.4532835825940396E-2</v>
      </c>
      <c r="H27" s="278">
        <f>IFERROR(INDEX('[25]EFF-E_ANTC'!$C$4:$H$47,MATCH($B27,'[25]EFF-E_ANTC'!$A$4:$A$47,0),MATCH(H$5,'[25]EFF-E_ANTC'!$C$3:$H$3,0)),"")</f>
        <v>6.5227894002483106E-2</v>
      </c>
      <c r="I27" s="278">
        <f>IFERROR(INDEX('[25]EFF-E_ANTC'!$C$4:$H$47,MATCH($B27,'[25]EFF-E_ANTC'!$A$4:$A$47,0),MATCH(I$5,'[25]EFF-E_ANTC'!$C$3:$H$3,0)),"")</f>
        <v>6.6011283101863896E-2</v>
      </c>
      <c r="J27" s="278">
        <f>IFERROR(INDEX('[25]EFF-E_ANTC'!$C$4:$H$47,MATCH($B27,'[25]EFF-E_ANTC'!$A$4:$A$47,0),MATCH(J$5,'[25]EFF-E_ANTC'!$C$3:$H$3,0)),"")</f>
        <v>6.6777008175099004E-2</v>
      </c>
      <c r="K27" s="274">
        <f>IFERROR(INDEX('[25]AFA-E_ANTC'!$J$5:$O$48,MATCH($B27,'[25]AFA-E_ANTC'!$A$5:$A$48,0),MATCH(K$5,'[25]AFA-E_ANTC'!$J$3:$O$3,0)),"")</f>
        <v>0.42532283795650333</v>
      </c>
      <c r="L27" s="274">
        <f>IFERROR(INDEX('[25]AFA-E_ANTC'!$J$5:$O$48,MATCH($B27,'[25]AFA-E_ANTC'!$A$5:$A$48,0),MATCH(L$5,'[25]AFA-E_ANTC'!$J$3:$O$3,0)),"")</f>
        <v>0.33706878442068333</v>
      </c>
      <c r="M27" s="274">
        <f>IFERROR(INDEX('[25]AFA-E_ANTC'!$J$5:$O$48,MATCH($B27,'[25]AFA-E_ANTC'!$A$5:$A$48,0),MATCH(M$5,'[25]AFA-E_ANTC'!$J$3:$O$3,0)),"")</f>
        <v>0.15171434294469499</v>
      </c>
      <c r="N27" s="274">
        <f>IFERROR(INDEX('[25]AFA-E_ANTC'!$J$5:$O$48,MATCH($B27,'[25]AFA-E_ANTC'!$A$5:$A$48,0),MATCH(N$5,'[25]AFA-E_ANTC'!$J$3:$O$3,0)),"")</f>
        <v>6.6477490540613332E-2</v>
      </c>
      <c r="O27" s="274">
        <f>IFERROR(INDEX('[25]AFA-E_ANTC'!$J$5:$O$48,MATCH($B27,'[25]AFA-E_ANTC'!$A$5:$A$48,0),MATCH(O$5,'[25]AFA-E_ANTC'!$J$3:$O$3,0)),"")</f>
        <v>2.8637041139474666E-2</v>
      </c>
      <c r="P27" s="274">
        <f>IFERROR(INDEX('[25]AFA-E_ANTC'!$P$5:$P$48,MATCH($B27,'[25]AFA-E_ANTC'!$A$5:$A$48,0)),"")</f>
        <v>0.06</v>
      </c>
      <c r="Q27" s="276">
        <f>IFERROR(INDEX('[25]RESID-E_ANTC'!$M$5:$T$48,MATCH($B27,'[25]RESID-E_ANTC'!$A$5:$A$48,0),MATCH(Q$5,'[25]RESID-E_ANTC'!$M$3:$T$3,0)),"")</f>
        <v>25.1952522652347</v>
      </c>
      <c r="R27" s="276">
        <f>IFERROR(INDEX('[25]RESID-E_ANTC'!$M$5:$T$48,MATCH($B27,'[25]RESID-E_ANTC'!$A$5:$A$48,0),MATCH(R$5,'[25]RESID-E_ANTC'!$M$3:$T$3,0)),"")</f>
        <v>23.083651962362801</v>
      </c>
      <c r="S27" s="276">
        <f>IFERROR(INDEX('[25]RESID-E_ANTC'!$M$5:$T$48,MATCH($B27,'[25]RESID-E_ANTC'!$A$5:$A$48,0),MATCH(S$5,'[25]RESID-E_ANTC'!$M$3:$T$3,0)),"")</f>
        <v>15.5161252325553</v>
      </c>
      <c r="T27" s="276">
        <f>IFERROR(INDEX('[25]RESID-E_ANTC'!$M$5:$T$48,MATCH($B27,'[25]RESID-E_ANTC'!$A$5:$A$48,0),MATCH(T$5,'[25]RESID-E_ANTC'!$M$3:$T$3,0)),"")</f>
        <v>0</v>
      </c>
      <c r="U27" s="276">
        <f>IFERROR(INDEX('[25]RESID-E_ANTC'!$M$5:$T$48,MATCH($B27,'[25]RESID-E_ANTC'!$A$5:$A$48,0),MATCH(U$5,'[25]RESID-E_ANTC'!$M$3:$T$3,0)),"")</f>
        <v>0</v>
      </c>
      <c r="V27" s="279"/>
      <c r="W27" s="279"/>
    </row>
    <row r="28" spans="2:23">
      <c r="B28" s="270" t="str">
        <f>IF([25]ITEMS_Tech_E!D28="","",[25]ITEMS_Tech_E!D28)</f>
        <v>*</v>
      </c>
      <c r="C28" s="271" t="str">
        <f>IF([25]ITEMS_Tech_E!E28="","",[25]ITEMS_Tech_E!E28)</f>
        <v>Public Buses</v>
      </c>
      <c r="D28" s="272"/>
      <c r="E28" s="272"/>
      <c r="F28" s="278">
        <f>IFERROR(INDEX('[25]EFF-E_ANTC'!$C$4:$H$47,MATCH($B28,'[25]EFF-E_ANTC'!$A$4:$A$47,0),MATCH(F$5,'[25]EFF-E_ANTC'!$C$3:$H$3,0)),"")</f>
        <v>6.4348339348895098E-2</v>
      </c>
      <c r="G28" s="278">
        <f>IFERROR(INDEX('[25]EFF-E_ANTC'!$C$4:$H$47,MATCH($B28,'[25]EFF-E_ANTC'!$A$4:$A$47,0),MATCH(G$5,'[25]EFF-E_ANTC'!$C$3:$H$3,0)),"")</f>
        <v>6.4532835825940396E-2</v>
      </c>
      <c r="H28" s="278">
        <f>IFERROR(INDEX('[25]EFF-E_ANTC'!$C$4:$H$47,MATCH($B28,'[25]EFF-E_ANTC'!$A$4:$A$47,0),MATCH(H$5,'[25]EFF-E_ANTC'!$C$3:$H$3,0)),"")</f>
        <v>6.5227894002483106E-2</v>
      </c>
      <c r="I28" s="278">
        <f>IFERROR(INDEX('[25]EFF-E_ANTC'!$C$4:$H$47,MATCH($B28,'[25]EFF-E_ANTC'!$A$4:$A$47,0),MATCH(I$5,'[25]EFF-E_ANTC'!$C$3:$H$3,0)),"")</f>
        <v>6.6011283101863896E-2</v>
      </c>
      <c r="J28" s="278">
        <f>IFERROR(INDEX('[25]EFF-E_ANTC'!$C$4:$H$47,MATCH($B28,'[25]EFF-E_ANTC'!$A$4:$A$47,0),MATCH(J$5,'[25]EFF-E_ANTC'!$C$3:$H$3,0)),"")</f>
        <v>6.6777008175099004E-2</v>
      </c>
      <c r="K28" s="274">
        <f>IFERROR(INDEX('[25]AFA-E_ANTC'!$J$5:$O$48,MATCH($B28,'[25]AFA-E_ANTC'!$A$5:$A$48,0),MATCH(K$5,'[25]AFA-E_ANTC'!$J$3:$O$3,0)),"")</f>
        <v>0.42532283795650333</v>
      </c>
      <c r="L28" s="274">
        <f>IFERROR(INDEX('[25]AFA-E_ANTC'!$J$5:$O$48,MATCH($B28,'[25]AFA-E_ANTC'!$A$5:$A$48,0),MATCH(L$5,'[25]AFA-E_ANTC'!$J$3:$O$3,0)),"")</f>
        <v>0.33706878442068333</v>
      </c>
      <c r="M28" s="274">
        <f>IFERROR(INDEX('[25]AFA-E_ANTC'!$J$5:$O$48,MATCH($B28,'[25]AFA-E_ANTC'!$A$5:$A$48,0),MATCH(M$5,'[25]AFA-E_ANTC'!$J$3:$O$3,0)),"")</f>
        <v>0.15171434294469499</v>
      </c>
      <c r="N28" s="274">
        <f>IFERROR(INDEX('[25]AFA-E_ANTC'!$J$5:$O$48,MATCH($B28,'[25]AFA-E_ANTC'!$A$5:$A$48,0),MATCH(N$5,'[25]AFA-E_ANTC'!$J$3:$O$3,0)),"")</f>
        <v>6.6477490540613332E-2</v>
      </c>
      <c r="O28" s="274">
        <f>IFERROR(INDEX('[25]AFA-E_ANTC'!$J$5:$O$48,MATCH($B28,'[25]AFA-E_ANTC'!$A$5:$A$48,0),MATCH(O$5,'[25]AFA-E_ANTC'!$J$3:$O$3,0)),"")</f>
        <v>2.8637041139474666E-2</v>
      </c>
      <c r="P28" s="274">
        <f>IFERROR(INDEX('[25]AFA-E_ANTC'!$P$5:$P$48,MATCH($B28,'[25]AFA-E_ANTC'!$A$5:$A$48,0)),"")</f>
        <v>0.06</v>
      </c>
      <c r="Q28" s="276">
        <f>IFERROR(INDEX('[25]RESID-E_ANTC'!$M$5:$T$48,MATCH($B28,'[25]RESID-E_ANTC'!$A$5:$A$48,0),MATCH(Q$5,'[25]RESID-E_ANTC'!$M$3:$T$3,0)),"")</f>
        <v>25.1952522652347</v>
      </c>
      <c r="R28" s="276">
        <f>IFERROR(INDEX('[25]RESID-E_ANTC'!$M$5:$T$48,MATCH($B28,'[25]RESID-E_ANTC'!$A$5:$A$48,0),MATCH(R$5,'[25]RESID-E_ANTC'!$M$3:$T$3,0)),"")</f>
        <v>23.083651962362801</v>
      </c>
      <c r="S28" s="276">
        <f>IFERROR(INDEX('[25]RESID-E_ANTC'!$M$5:$T$48,MATCH($B28,'[25]RESID-E_ANTC'!$A$5:$A$48,0),MATCH(S$5,'[25]RESID-E_ANTC'!$M$3:$T$3,0)),"")</f>
        <v>15.5161252325553</v>
      </c>
      <c r="T28" s="276">
        <f>IFERROR(INDEX('[25]RESID-E_ANTC'!$M$5:$T$48,MATCH($B28,'[25]RESID-E_ANTC'!$A$5:$A$48,0),MATCH(T$5,'[25]RESID-E_ANTC'!$M$3:$T$3,0)),"")</f>
        <v>0</v>
      </c>
      <c r="U28" s="276">
        <f>IFERROR(INDEX('[25]RESID-E_ANTC'!$M$5:$T$48,MATCH($B28,'[25]RESID-E_ANTC'!$A$5:$A$48,0),MATCH(U$5,'[25]RESID-E_ANTC'!$M$3:$T$3,0)),"")</f>
        <v>0</v>
      </c>
      <c r="V28" s="279"/>
      <c r="W28" s="279"/>
    </row>
    <row r="29" spans="2:23">
      <c r="B29" s="270" t="str">
        <f>IF([25]ITEMS_Tech_E!D29="","",[25]ITEMS_Tech_E!D29)</f>
        <v>TPPUBUSODS-E</v>
      </c>
      <c r="C29" s="271" t="str">
        <f>IF([25]ITEMS_Tech_E!E29="","",[25]ITEMS_Tech_E!E29)</f>
        <v>Transport Passenger Bus Oil Diesel-Existing</v>
      </c>
      <c r="D29" s="277" t="s">
        <v>741</v>
      </c>
      <c r="E29" s="277" t="s">
        <v>748</v>
      </c>
      <c r="F29" s="278">
        <f>IFERROR(INDEX('[25]EFF-E_ANTC'!$C$4:$H$47,MATCH($B29,'[25]EFF-E_ANTC'!$A$4:$A$47,0),MATCH(F$5,'[25]EFF-E_ANTC'!$C$3:$H$3,0)),"")</f>
        <v>6.4348339348895098E-2</v>
      </c>
      <c r="G29" s="278">
        <f>IFERROR(INDEX('[25]EFF-E_ANTC'!$C$4:$H$47,MATCH($B29,'[25]EFF-E_ANTC'!$A$4:$A$47,0),MATCH(G$5,'[25]EFF-E_ANTC'!$C$3:$H$3,0)),"")</f>
        <v>6.4532835825940396E-2</v>
      </c>
      <c r="H29" s="278">
        <f>IFERROR(INDEX('[25]EFF-E_ANTC'!$C$4:$H$47,MATCH($B29,'[25]EFF-E_ANTC'!$A$4:$A$47,0),MATCH(H$5,'[25]EFF-E_ANTC'!$C$3:$H$3,0)),"")</f>
        <v>6.5227894002483106E-2</v>
      </c>
      <c r="I29" s="278">
        <f>IFERROR(INDEX('[25]EFF-E_ANTC'!$C$4:$H$47,MATCH($B29,'[25]EFF-E_ANTC'!$A$4:$A$47,0),MATCH(I$5,'[25]EFF-E_ANTC'!$C$3:$H$3,0)),"")</f>
        <v>6.6011283101863896E-2</v>
      </c>
      <c r="J29" s="278">
        <f>IFERROR(INDEX('[25]EFF-E_ANTC'!$C$4:$H$47,MATCH($B29,'[25]EFF-E_ANTC'!$A$4:$A$47,0),MATCH(J$5,'[25]EFF-E_ANTC'!$C$3:$H$3,0)),"")</f>
        <v>6.6777008175099004E-2</v>
      </c>
      <c r="K29" s="274">
        <f>IFERROR(INDEX('[25]AFA-E_ANTC'!$J$5:$O$48,MATCH($B29,'[25]AFA-E_ANTC'!$A$5:$A$48,0),MATCH(K$5,'[25]AFA-E_ANTC'!$J$3:$O$3,0)),"")</f>
        <v>0.42532283795650333</v>
      </c>
      <c r="L29" s="274">
        <f>IFERROR(INDEX('[25]AFA-E_ANTC'!$J$5:$O$48,MATCH($B29,'[25]AFA-E_ANTC'!$A$5:$A$48,0),MATCH(L$5,'[25]AFA-E_ANTC'!$J$3:$O$3,0)),"")</f>
        <v>0.33706878442068333</v>
      </c>
      <c r="M29" s="274">
        <f>IFERROR(INDEX('[25]AFA-E_ANTC'!$J$5:$O$48,MATCH($B29,'[25]AFA-E_ANTC'!$A$5:$A$48,0),MATCH(M$5,'[25]AFA-E_ANTC'!$J$3:$O$3,0)),"")</f>
        <v>0.15171434294469499</v>
      </c>
      <c r="N29" s="274">
        <f>IFERROR(INDEX('[25]AFA-E_ANTC'!$J$5:$O$48,MATCH($B29,'[25]AFA-E_ANTC'!$A$5:$A$48,0),MATCH(N$5,'[25]AFA-E_ANTC'!$J$3:$O$3,0)),"")</f>
        <v>6.6477490540613332E-2</v>
      </c>
      <c r="O29" s="274">
        <f>IFERROR(INDEX('[25]AFA-E_ANTC'!$J$5:$O$48,MATCH($B29,'[25]AFA-E_ANTC'!$A$5:$A$48,0),MATCH(O$5,'[25]AFA-E_ANTC'!$J$3:$O$3,0)),"")</f>
        <v>2.8637041139474666E-2</v>
      </c>
      <c r="P29" s="274">
        <f>IFERROR(INDEX('[25]AFA-E_ANTC'!$P$5:$P$48,MATCH($B29,'[25]AFA-E_ANTC'!$A$5:$A$48,0)),"")</f>
        <v>0.06</v>
      </c>
      <c r="Q29" s="276">
        <f>IFERROR(INDEX('[25]RESID-E_ANTC'!$M$5:$T$48,MATCH($B29,'[25]RESID-E_ANTC'!$A$5:$A$48,0),MATCH(Q$5,'[25]RESID-E_ANTC'!$M$3:$T$3,0)),"")</f>
        <v>25.1952522652347</v>
      </c>
      <c r="R29" s="276">
        <f>IFERROR(INDEX('[25]RESID-E_ANTC'!$M$5:$T$48,MATCH($B29,'[25]RESID-E_ANTC'!$A$5:$A$48,0),MATCH(R$5,'[25]RESID-E_ANTC'!$M$3:$T$3,0)),"")</f>
        <v>23.083651962362801</v>
      </c>
      <c r="S29" s="276">
        <f>IFERROR(INDEX('[25]RESID-E_ANTC'!$M$5:$T$48,MATCH($B29,'[25]RESID-E_ANTC'!$A$5:$A$48,0),MATCH(S$5,'[25]RESID-E_ANTC'!$M$3:$T$3,0)),"")</f>
        <v>15.5161252325553</v>
      </c>
      <c r="T29" s="276">
        <f>IFERROR(INDEX('[25]RESID-E_ANTC'!$M$5:$T$48,MATCH($B29,'[25]RESID-E_ANTC'!$A$5:$A$48,0),MATCH(T$5,'[25]RESID-E_ANTC'!$M$3:$T$3,0)),"")</f>
        <v>0</v>
      </c>
      <c r="U29" s="276">
        <f>IFERROR(INDEX('[25]RESID-E_ANTC'!$M$5:$T$48,MATCH($B29,'[25]RESID-E_ANTC'!$A$5:$A$48,0),MATCH(U$5,'[25]RESID-E_ANTC'!$M$3:$T$3,0)),"")</f>
        <v>0</v>
      </c>
      <c r="V29" s="279">
        <v>3</v>
      </c>
      <c r="W29" s="279">
        <v>0</v>
      </c>
    </row>
    <row r="30" spans="2:23">
      <c r="B30" s="270" t="str">
        <f>IF([25]ITEMS_Tech_E!D30="","",[25]ITEMS_Tech_E!D30)</f>
        <v>TPPUBUSGAS-E</v>
      </c>
      <c r="C30" s="271" t="str">
        <f>IF([25]ITEMS_Tech_E!E30="","",[25]ITEMS_Tech_E!E30)</f>
        <v>Transport Passenger Bus Gas-Existing</v>
      </c>
      <c r="D30" s="277" t="s">
        <v>745</v>
      </c>
      <c r="E30" s="277" t="s">
        <v>748</v>
      </c>
      <c r="F30" s="278">
        <f>IFERROR(INDEX('[25]EFF-E_ANTC'!$C$4:$H$47,MATCH($B30,'[25]EFF-E_ANTC'!$A$4:$A$47,0),MATCH(F$5,'[25]EFF-E_ANTC'!$C$3:$H$3,0)),"")</f>
        <v>6.1451225052252298E-2</v>
      </c>
      <c r="G30" s="278">
        <f>IFERROR(INDEX('[25]EFF-E_ANTC'!$C$4:$H$47,MATCH($B30,'[25]EFF-E_ANTC'!$A$4:$A$47,0),MATCH(G$5,'[25]EFF-E_ANTC'!$C$3:$H$3,0)),"")</f>
        <v>6.1451225052252298E-2</v>
      </c>
      <c r="H30" s="278">
        <f>IFERROR(INDEX('[25]EFF-E_ANTC'!$C$4:$H$47,MATCH($B30,'[25]EFF-E_ANTC'!$A$4:$A$47,0),MATCH(H$5,'[25]EFF-E_ANTC'!$C$3:$H$3,0)),"")</f>
        <v>6.1451225052252298E-2</v>
      </c>
      <c r="I30" s="278">
        <f>IFERROR(INDEX('[25]EFF-E_ANTC'!$C$4:$H$47,MATCH($B30,'[25]EFF-E_ANTC'!$A$4:$A$47,0),MATCH(I$5,'[25]EFF-E_ANTC'!$C$3:$H$3,0)),"")</f>
        <v>6.1451225052252298E-2</v>
      </c>
      <c r="J30" s="278">
        <f>IFERROR(INDEX('[25]EFF-E_ANTC'!$C$4:$H$47,MATCH($B30,'[25]EFF-E_ANTC'!$A$4:$A$47,0),MATCH(J$5,'[25]EFF-E_ANTC'!$C$3:$H$3,0)),"")</f>
        <v>6.1451225052252298E-2</v>
      </c>
      <c r="K30" s="274">
        <f>IFERROR(INDEX('[25]AFA-E_ANTC'!$J$5:$O$48,MATCH($B30,'[25]AFA-E_ANTC'!$A$5:$A$48,0),MATCH(K$5,'[25]AFA-E_ANTC'!$J$3:$O$3,0)),"")</f>
        <v>0</v>
      </c>
      <c r="L30" s="274">
        <f>IFERROR(INDEX('[25]AFA-E_ANTC'!$J$5:$O$48,MATCH($B30,'[25]AFA-E_ANTC'!$A$5:$A$48,0),MATCH(L$5,'[25]AFA-E_ANTC'!$J$3:$O$3,0)),"")</f>
        <v>0.37946385782623887</v>
      </c>
      <c r="M30" s="274">
        <f>IFERROR(INDEX('[25]AFA-E_ANTC'!$J$5:$O$48,MATCH($B30,'[25]AFA-E_ANTC'!$A$5:$A$48,0),MATCH(M$5,'[25]AFA-E_ANTC'!$J$3:$O$3,0)),"")</f>
        <v>0.1707963256233061</v>
      </c>
      <c r="N30" s="274">
        <f>IFERROR(INDEX('[25]AFA-E_ANTC'!$J$5:$O$48,MATCH($B30,'[25]AFA-E_ANTC'!$A$5:$A$48,0),MATCH(N$5,'[25]AFA-E_ANTC'!$J$3:$O$3,0)),"")</f>
        <v>7.4838745636157833E-2</v>
      </c>
      <c r="O30" s="274">
        <f>IFERROR(INDEX('[25]AFA-E_ANTC'!$J$5:$O$48,MATCH($B30,'[25]AFA-E_ANTC'!$A$5:$A$48,0),MATCH(O$5,'[25]AFA-E_ANTC'!$J$3:$O$3,0)),"")</f>
        <v>3.2238885977502463E-2</v>
      </c>
      <c r="P30" s="274">
        <f>IFERROR(INDEX('[25]AFA-E_ANTC'!$P$5:$P$48,MATCH($B30,'[25]AFA-E_ANTC'!$A$5:$A$48,0)),"")</f>
        <v>5.3296583187381896E-2</v>
      </c>
      <c r="Q30" s="276">
        <f>IFERROR(INDEX('[25]RESID-E_ANTC'!$M$5:$T$48,MATCH($B30,'[25]RESID-E_ANTC'!$A$5:$A$48,0),MATCH(Q$5,'[25]RESID-E_ANTC'!$M$3:$T$3,0)),"")</f>
        <v>0.25195252265234702</v>
      </c>
      <c r="R30" s="276">
        <f>IFERROR(INDEX('[25]RESID-E_ANTC'!$M$5:$T$48,MATCH($B30,'[25]RESID-E_ANTC'!$A$5:$A$48,0),MATCH(R$5,'[25]RESID-E_ANTC'!$M$3:$T$3,0)),"")</f>
        <v>0.230836519623628</v>
      </c>
      <c r="S30" s="276">
        <f>IFERROR(INDEX('[25]RESID-E_ANTC'!$M$5:$T$48,MATCH($B30,'[25]RESID-E_ANTC'!$A$5:$A$48,0),MATCH(S$5,'[25]RESID-E_ANTC'!$M$3:$T$3,0)),"")</f>
        <v>0.155161252325553</v>
      </c>
      <c r="T30" s="276">
        <f>IFERROR(INDEX('[25]RESID-E_ANTC'!$M$5:$T$48,MATCH($B30,'[25]RESID-E_ANTC'!$A$5:$A$48,0),MATCH(T$5,'[25]RESID-E_ANTC'!$M$3:$T$3,0)),"")</f>
        <v>0</v>
      </c>
      <c r="U30" s="276">
        <f>IFERROR(INDEX('[25]RESID-E_ANTC'!$M$5:$T$48,MATCH($B30,'[25]RESID-E_ANTC'!$A$5:$A$48,0),MATCH(U$5,'[25]RESID-E_ANTC'!$M$3:$T$3,0)),"")</f>
        <v>0</v>
      </c>
      <c r="V30" s="279">
        <v>3</v>
      </c>
      <c r="W30" s="279">
        <v>0</v>
      </c>
    </row>
    <row r="31" spans="2:23">
      <c r="B31" s="270" t="str">
        <f>IF([25]ITEMS_Tech_E!D31="","",[25]ITEMS_Tech_E!D31)</f>
        <v>*</v>
      </c>
      <c r="C31" s="271" t="str">
        <f>IF([25]ITEMS_Tech_E!E31="","",[25]ITEMS_Tech_E!E31)</f>
        <v/>
      </c>
      <c r="D31" s="272"/>
      <c r="E31" s="272"/>
      <c r="F31" s="278">
        <f>IFERROR(INDEX('[25]EFF-E_ANTC'!$C$4:$H$47,MATCH($B31,'[25]EFF-E_ANTC'!$A$4:$A$47,0),MATCH(F$5,'[25]EFF-E_ANTC'!$C$3:$H$3,0)),"")</f>
        <v>6.4348339348895098E-2</v>
      </c>
      <c r="G31" s="278">
        <f>IFERROR(INDEX('[25]EFF-E_ANTC'!$C$4:$H$47,MATCH($B31,'[25]EFF-E_ANTC'!$A$4:$A$47,0),MATCH(G$5,'[25]EFF-E_ANTC'!$C$3:$H$3,0)),"")</f>
        <v>6.4532835825940396E-2</v>
      </c>
      <c r="H31" s="278">
        <f>IFERROR(INDEX('[25]EFF-E_ANTC'!$C$4:$H$47,MATCH($B31,'[25]EFF-E_ANTC'!$A$4:$A$47,0),MATCH(H$5,'[25]EFF-E_ANTC'!$C$3:$H$3,0)),"")</f>
        <v>6.5227894002483106E-2</v>
      </c>
      <c r="I31" s="278">
        <f>IFERROR(INDEX('[25]EFF-E_ANTC'!$C$4:$H$47,MATCH($B31,'[25]EFF-E_ANTC'!$A$4:$A$47,0),MATCH(I$5,'[25]EFF-E_ANTC'!$C$3:$H$3,0)),"")</f>
        <v>6.6011283101863896E-2</v>
      </c>
      <c r="J31" s="278">
        <f>IFERROR(INDEX('[25]EFF-E_ANTC'!$C$4:$H$47,MATCH($B31,'[25]EFF-E_ANTC'!$A$4:$A$47,0),MATCH(J$5,'[25]EFF-E_ANTC'!$C$3:$H$3,0)),"")</f>
        <v>6.6777008175099004E-2</v>
      </c>
      <c r="K31" s="274">
        <f>IFERROR(INDEX('[25]AFA-E_ANTC'!$J$5:$O$48,MATCH($B31,'[25]AFA-E_ANTC'!$A$5:$A$48,0),MATCH(K$5,'[25]AFA-E_ANTC'!$J$3:$O$3,0)),"")</f>
        <v>0.42532283795650333</v>
      </c>
      <c r="L31" s="274">
        <f>IFERROR(INDEX('[25]AFA-E_ANTC'!$J$5:$O$48,MATCH($B31,'[25]AFA-E_ANTC'!$A$5:$A$48,0),MATCH(L$5,'[25]AFA-E_ANTC'!$J$3:$O$3,0)),"")</f>
        <v>0.33706878442068333</v>
      </c>
      <c r="M31" s="274">
        <f>IFERROR(INDEX('[25]AFA-E_ANTC'!$J$5:$O$48,MATCH($B31,'[25]AFA-E_ANTC'!$A$5:$A$48,0),MATCH(M$5,'[25]AFA-E_ANTC'!$J$3:$O$3,0)),"")</f>
        <v>0.15171434294469499</v>
      </c>
      <c r="N31" s="274">
        <f>IFERROR(INDEX('[25]AFA-E_ANTC'!$J$5:$O$48,MATCH($B31,'[25]AFA-E_ANTC'!$A$5:$A$48,0),MATCH(N$5,'[25]AFA-E_ANTC'!$J$3:$O$3,0)),"")</f>
        <v>6.6477490540613332E-2</v>
      </c>
      <c r="O31" s="274">
        <f>IFERROR(INDEX('[25]AFA-E_ANTC'!$J$5:$O$48,MATCH($B31,'[25]AFA-E_ANTC'!$A$5:$A$48,0),MATCH(O$5,'[25]AFA-E_ANTC'!$J$3:$O$3,0)),"")</f>
        <v>2.8637041139474666E-2</v>
      </c>
      <c r="P31" s="274">
        <f>IFERROR(INDEX('[25]AFA-E_ANTC'!$P$5:$P$48,MATCH($B31,'[25]AFA-E_ANTC'!$A$5:$A$48,0)),"")</f>
        <v>0.06</v>
      </c>
      <c r="Q31" s="276">
        <f>IFERROR(INDEX('[25]RESID-E_ANTC'!$M$5:$T$48,MATCH($B31,'[25]RESID-E_ANTC'!$A$5:$A$48,0),MATCH(Q$5,'[25]RESID-E_ANTC'!$M$3:$T$3,0)),"")</f>
        <v>25.1952522652347</v>
      </c>
      <c r="R31" s="276">
        <f>IFERROR(INDEX('[25]RESID-E_ANTC'!$M$5:$T$48,MATCH($B31,'[25]RESID-E_ANTC'!$A$5:$A$48,0),MATCH(R$5,'[25]RESID-E_ANTC'!$M$3:$T$3,0)),"")</f>
        <v>23.083651962362801</v>
      </c>
      <c r="S31" s="276">
        <f>IFERROR(INDEX('[25]RESID-E_ANTC'!$M$5:$T$48,MATCH($B31,'[25]RESID-E_ANTC'!$A$5:$A$48,0),MATCH(S$5,'[25]RESID-E_ANTC'!$M$3:$T$3,0)),"")</f>
        <v>15.5161252325553</v>
      </c>
      <c r="T31" s="276">
        <f>IFERROR(INDEX('[25]RESID-E_ANTC'!$M$5:$T$48,MATCH($B31,'[25]RESID-E_ANTC'!$A$5:$A$48,0),MATCH(T$5,'[25]RESID-E_ANTC'!$M$3:$T$3,0)),"")</f>
        <v>0</v>
      </c>
      <c r="U31" s="276">
        <f>IFERROR(INDEX('[25]RESID-E_ANTC'!$M$5:$T$48,MATCH($B31,'[25]RESID-E_ANTC'!$A$5:$A$48,0),MATCH(U$5,'[25]RESID-E_ANTC'!$M$3:$T$3,0)),"")</f>
        <v>0</v>
      </c>
      <c r="V31" s="279"/>
      <c r="W31" s="279"/>
    </row>
    <row r="32" spans="2:23">
      <c r="B32" s="270" t="str">
        <f>IF([25]ITEMS_Tech_E!D32="","",[25]ITEMS_Tech_E!D32)</f>
        <v>*</v>
      </c>
      <c r="C32" s="271" t="str">
        <f>IF([25]ITEMS_Tech_E!E32="","",[25]ITEMS_Tech_E!E32)</f>
        <v>Public Minibus Taxis</v>
      </c>
      <c r="D32" s="272"/>
      <c r="E32" s="272"/>
      <c r="F32" s="278">
        <f>IFERROR(INDEX('[25]EFF-E_ANTC'!$C$4:$H$47,MATCH($B32,'[25]EFF-E_ANTC'!$A$4:$A$47,0),MATCH(F$5,'[25]EFF-E_ANTC'!$C$3:$H$3,0)),"")</f>
        <v>6.4348339348895098E-2</v>
      </c>
      <c r="G32" s="278">
        <f>IFERROR(INDEX('[25]EFF-E_ANTC'!$C$4:$H$47,MATCH($B32,'[25]EFF-E_ANTC'!$A$4:$A$47,0),MATCH(G$5,'[25]EFF-E_ANTC'!$C$3:$H$3,0)),"")</f>
        <v>6.4532835825940396E-2</v>
      </c>
      <c r="H32" s="278">
        <f>IFERROR(INDEX('[25]EFF-E_ANTC'!$C$4:$H$47,MATCH($B32,'[25]EFF-E_ANTC'!$A$4:$A$47,0),MATCH(H$5,'[25]EFF-E_ANTC'!$C$3:$H$3,0)),"")</f>
        <v>6.5227894002483106E-2</v>
      </c>
      <c r="I32" s="278">
        <f>IFERROR(INDEX('[25]EFF-E_ANTC'!$C$4:$H$47,MATCH($B32,'[25]EFF-E_ANTC'!$A$4:$A$47,0),MATCH(I$5,'[25]EFF-E_ANTC'!$C$3:$H$3,0)),"")</f>
        <v>6.6011283101863896E-2</v>
      </c>
      <c r="J32" s="278">
        <f>IFERROR(INDEX('[25]EFF-E_ANTC'!$C$4:$H$47,MATCH($B32,'[25]EFF-E_ANTC'!$A$4:$A$47,0),MATCH(J$5,'[25]EFF-E_ANTC'!$C$3:$H$3,0)),"")</f>
        <v>6.6777008175099004E-2</v>
      </c>
      <c r="K32" s="274">
        <f>IFERROR(INDEX('[25]AFA-E_ANTC'!$J$5:$O$48,MATCH($B32,'[25]AFA-E_ANTC'!$A$5:$A$48,0),MATCH(K$5,'[25]AFA-E_ANTC'!$J$3:$O$3,0)),"")</f>
        <v>0.42532283795650333</v>
      </c>
      <c r="L32" s="274">
        <f>IFERROR(INDEX('[25]AFA-E_ANTC'!$J$5:$O$48,MATCH($B32,'[25]AFA-E_ANTC'!$A$5:$A$48,0),MATCH(L$5,'[25]AFA-E_ANTC'!$J$3:$O$3,0)),"")</f>
        <v>0.33706878442068333</v>
      </c>
      <c r="M32" s="274">
        <f>IFERROR(INDEX('[25]AFA-E_ANTC'!$J$5:$O$48,MATCH($B32,'[25]AFA-E_ANTC'!$A$5:$A$48,0),MATCH(M$5,'[25]AFA-E_ANTC'!$J$3:$O$3,0)),"")</f>
        <v>0.15171434294469499</v>
      </c>
      <c r="N32" s="274">
        <f>IFERROR(INDEX('[25]AFA-E_ANTC'!$J$5:$O$48,MATCH($B32,'[25]AFA-E_ANTC'!$A$5:$A$48,0),MATCH(N$5,'[25]AFA-E_ANTC'!$J$3:$O$3,0)),"")</f>
        <v>6.6477490540613332E-2</v>
      </c>
      <c r="O32" s="274">
        <f>IFERROR(INDEX('[25]AFA-E_ANTC'!$J$5:$O$48,MATCH($B32,'[25]AFA-E_ANTC'!$A$5:$A$48,0),MATCH(O$5,'[25]AFA-E_ANTC'!$J$3:$O$3,0)),"")</f>
        <v>2.8637041139474666E-2</v>
      </c>
      <c r="P32" s="274">
        <f>IFERROR(INDEX('[25]AFA-E_ANTC'!$P$5:$P$48,MATCH($B32,'[25]AFA-E_ANTC'!$A$5:$A$48,0)),"")</f>
        <v>0.06</v>
      </c>
      <c r="Q32" s="276">
        <f>IFERROR(INDEX('[25]RESID-E_ANTC'!$M$5:$T$48,MATCH($B32,'[25]RESID-E_ANTC'!$A$5:$A$48,0),MATCH(Q$5,'[25]RESID-E_ANTC'!$M$3:$T$3,0)),"")</f>
        <v>25.1952522652347</v>
      </c>
      <c r="R32" s="276">
        <f>IFERROR(INDEX('[25]RESID-E_ANTC'!$M$5:$T$48,MATCH($B32,'[25]RESID-E_ANTC'!$A$5:$A$48,0),MATCH(R$5,'[25]RESID-E_ANTC'!$M$3:$T$3,0)),"")</f>
        <v>23.083651962362801</v>
      </c>
      <c r="S32" s="276">
        <f>IFERROR(INDEX('[25]RESID-E_ANTC'!$M$5:$T$48,MATCH($B32,'[25]RESID-E_ANTC'!$A$5:$A$48,0),MATCH(S$5,'[25]RESID-E_ANTC'!$M$3:$T$3,0)),"")</f>
        <v>15.5161252325553</v>
      </c>
      <c r="T32" s="276">
        <f>IFERROR(INDEX('[25]RESID-E_ANTC'!$M$5:$T$48,MATCH($B32,'[25]RESID-E_ANTC'!$A$5:$A$48,0),MATCH(T$5,'[25]RESID-E_ANTC'!$M$3:$T$3,0)),"")</f>
        <v>0</v>
      </c>
      <c r="U32" s="276">
        <f>IFERROR(INDEX('[25]RESID-E_ANTC'!$M$5:$T$48,MATCH($B32,'[25]RESID-E_ANTC'!$A$5:$A$48,0),MATCH(U$5,'[25]RESID-E_ANTC'!$M$3:$T$3,0)),"")</f>
        <v>0</v>
      </c>
      <c r="V32" s="279"/>
      <c r="W32" s="279"/>
    </row>
    <row r="33" spans="2:23">
      <c r="B33" s="270" t="str">
        <f>IF([25]ITEMS_Tech_E!D33="","",[25]ITEMS_Tech_E!D33)</f>
        <v>TPPUMBTODS-E</v>
      </c>
      <c r="C33" s="271" t="str">
        <f>IF([25]ITEMS_Tech_E!E33="","",[25]ITEMS_Tech_E!E33)</f>
        <v>Transport Passenger Minibus Oil Diesel-Existing</v>
      </c>
      <c r="D33" s="277" t="s">
        <v>741</v>
      </c>
      <c r="E33" s="277" t="s">
        <v>749</v>
      </c>
      <c r="F33" s="278">
        <f>IFERROR(INDEX('[25]EFF-E_ANTC'!$C$4:$H$47,MATCH($B33,'[25]EFF-E_ANTC'!$A$4:$A$47,0),MATCH(F$5,'[25]EFF-E_ANTC'!$C$3:$H$3,0)),"")</f>
        <v>0.23693697386285401</v>
      </c>
      <c r="G33" s="278">
        <f>IFERROR(INDEX('[25]EFF-E_ANTC'!$C$4:$H$47,MATCH($B33,'[25]EFF-E_ANTC'!$A$4:$A$47,0),MATCH(G$5,'[25]EFF-E_ANTC'!$C$3:$H$3,0)),"")</f>
        <v>0.23714071054781499</v>
      </c>
      <c r="H33" s="278">
        <f>IFERROR(INDEX('[25]EFF-E_ANTC'!$C$4:$H$47,MATCH($B33,'[25]EFF-E_ANTC'!$A$4:$A$47,0),MATCH(H$5,'[25]EFF-E_ANTC'!$C$3:$H$3,0)),"")</f>
        <v>0.23771796611346999</v>
      </c>
      <c r="I33" s="278">
        <f>IFERROR(INDEX('[25]EFF-E_ANTC'!$C$4:$H$47,MATCH($B33,'[25]EFF-E_ANTC'!$A$4:$A$47,0),MATCH(I$5,'[25]EFF-E_ANTC'!$C$3:$H$3,0)),"")</f>
        <v>0.238197153562765</v>
      </c>
      <c r="J33" s="278">
        <f>IFERROR(INDEX('[25]EFF-E_ANTC'!$C$4:$H$47,MATCH($B33,'[25]EFF-E_ANTC'!$A$4:$A$47,0),MATCH(J$5,'[25]EFF-E_ANTC'!$C$3:$H$3,0)),"")</f>
        <v>0.23860947241442801</v>
      </c>
      <c r="K33" s="274">
        <f>IFERROR(INDEX('[25]AFA-E_ANTC'!$J$5:$O$48,MATCH($B33,'[25]AFA-E_ANTC'!$A$5:$A$48,0),MATCH(K$5,'[25]AFA-E_ANTC'!$J$3:$O$3,0)),"")</f>
        <v>0.87237008971306285</v>
      </c>
      <c r="L33" s="274">
        <f>IFERROR(INDEX('[25]AFA-E_ANTC'!$J$5:$O$48,MATCH($B33,'[25]AFA-E_ANTC'!$A$5:$A$48,0),MATCH(L$5,'[25]AFA-E_ANTC'!$J$3:$O$3,0)),"")</f>
        <v>0.77665376321311141</v>
      </c>
      <c r="M33" s="274">
        <f>IFERROR(INDEX('[25]AFA-E_ANTC'!$J$5:$O$48,MATCH($B33,'[25]AFA-E_ANTC'!$A$5:$A$48,0),MATCH(M$5,'[25]AFA-E_ANTC'!$J$3:$O$3,0)),"")</f>
        <v>0.52618992875458293</v>
      </c>
      <c r="N33" s="274">
        <f>IFERROR(INDEX('[25]AFA-E_ANTC'!$J$5:$O$48,MATCH($B33,'[25]AFA-E_ANTC'!$A$5:$A$48,0),MATCH(N$5,'[25]AFA-E_ANTC'!$J$3:$O$3,0)),"")</f>
        <v>0.35582807474639144</v>
      </c>
      <c r="O33" s="274">
        <f>IFERROR(INDEX('[25]AFA-E_ANTC'!$J$5:$O$48,MATCH($B33,'[25]AFA-E_ANTC'!$A$5:$A$48,0),MATCH(O$5,'[25]AFA-E_ANTC'!$J$3:$O$3,0)),"")</f>
        <v>0.24031541952783342</v>
      </c>
      <c r="P33" s="274">
        <f>IFERROR(INDEX('[25]AFA-E_ANTC'!$P$5:$P$48,MATCH($B33,'[25]AFA-E_ANTC'!$A$5:$A$48,0)),"")</f>
        <v>3.4999999999999996E-2</v>
      </c>
      <c r="Q33" s="276">
        <f>IFERROR(INDEX('[25]RESID-E_ANTC'!$M$5:$T$48,MATCH($B33,'[25]RESID-E_ANTC'!$A$5:$A$48,0),MATCH(Q$5,'[25]RESID-E_ANTC'!$M$3:$T$3,0)),"")</f>
        <v>69.8415661662536</v>
      </c>
      <c r="R33" s="276">
        <f>IFERROR(INDEX('[25]RESID-E_ANTC'!$M$5:$T$48,MATCH($B33,'[25]RESID-E_ANTC'!$A$5:$A$48,0),MATCH(R$5,'[25]RESID-E_ANTC'!$M$3:$T$3,0)),"")</f>
        <v>66.6909703537209</v>
      </c>
      <c r="S33" s="276">
        <f>IFERROR(INDEX('[25]RESID-E_ANTC'!$M$5:$T$48,MATCH($B33,'[25]RESID-E_ANTC'!$A$5:$A$48,0),MATCH(S$5,'[25]RESID-E_ANTC'!$M$3:$T$3,0)),"")</f>
        <v>48.344847105240099</v>
      </c>
      <c r="T33" s="276">
        <f>IFERROR(INDEX('[25]RESID-E_ANTC'!$M$5:$T$48,MATCH($B33,'[25]RESID-E_ANTC'!$A$5:$A$48,0),MATCH(T$5,'[25]RESID-E_ANTC'!$M$3:$T$3,0)),"")</f>
        <v>0</v>
      </c>
      <c r="U33" s="276">
        <f>IFERROR(INDEX('[25]RESID-E_ANTC'!$M$5:$T$48,MATCH($B33,'[25]RESID-E_ANTC'!$A$5:$A$48,0),MATCH(U$5,'[25]RESID-E_ANTC'!$M$3:$T$3,0)),"")</f>
        <v>0</v>
      </c>
      <c r="V33" s="279">
        <v>3</v>
      </c>
      <c r="W33" s="279">
        <v>0</v>
      </c>
    </row>
    <row r="34" spans="2:23">
      <c r="B34" s="270" t="str">
        <f>IF([25]ITEMS_Tech_E!D34="","",[25]ITEMS_Tech_E!D34)</f>
        <v>TPPUMBTOGS-E</v>
      </c>
      <c r="C34" s="271" t="str">
        <f>IF([25]ITEMS_Tech_E!E34="","",[25]ITEMS_Tech_E!E34)</f>
        <v>Transport Passenger Minibus Oil Gasoline-Existing</v>
      </c>
      <c r="D34" s="277" t="s">
        <v>743</v>
      </c>
      <c r="E34" s="277" t="s">
        <v>749</v>
      </c>
      <c r="F34" s="278">
        <f>IFERROR(INDEX('[25]EFF-E_ANTC'!$C$4:$H$47,MATCH($B34,'[25]EFF-E_ANTC'!$A$4:$A$47,0),MATCH(F$5,'[25]EFF-E_ANTC'!$C$3:$H$3,0)),"")</f>
        <v>0.2007607462921</v>
      </c>
      <c r="G34" s="278">
        <f>IFERROR(INDEX('[25]EFF-E_ANTC'!$C$4:$H$47,MATCH($B34,'[25]EFF-E_ANTC'!$A$4:$A$47,0),MATCH(G$5,'[25]EFF-E_ANTC'!$C$3:$H$3,0)),"")</f>
        <v>0.20159853580370701</v>
      </c>
      <c r="H34" s="278">
        <f>IFERROR(INDEX('[25]EFF-E_ANTC'!$C$4:$H$47,MATCH($B34,'[25]EFF-E_ANTC'!$A$4:$A$47,0),MATCH(H$5,'[25]EFF-E_ANTC'!$C$3:$H$3,0)),"")</f>
        <v>0.203758901219809</v>
      </c>
      <c r="I34" s="278">
        <f>IFERROR(INDEX('[25]EFF-E_ANTC'!$C$4:$H$47,MATCH($B34,'[25]EFF-E_ANTC'!$A$4:$A$47,0),MATCH(I$5,'[25]EFF-E_ANTC'!$C$3:$H$3,0)),"")</f>
        <v>0.205400647316764</v>
      </c>
      <c r="J34" s="278">
        <f>IFERROR(INDEX('[25]EFF-E_ANTC'!$C$4:$H$47,MATCH($B34,'[25]EFF-E_ANTC'!$A$4:$A$47,0),MATCH(J$5,'[25]EFF-E_ANTC'!$C$3:$H$3,0)),"")</f>
        <v>0.206733282045863</v>
      </c>
      <c r="K34" s="274">
        <f>IFERROR(INDEX('[25]AFA-E_ANTC'!$J$5:$O$48,MATCH($B34,'[25]AFA-E_ANTC'!$A$5:$A$48,0),MATCH(K$5,'[25]AFA-E_ANTC'!$J$3:$O$3,0)),"")</f>
        <v>0.57175281338925998</v>
      </c>
      <c r="L34" s="274">
        <f>IFERROR(INDEX('[25]AFA-E_ANTC'!$J$5:$O$48,MATCH($B34,'[25]AFA-E_ANTC'!$A$5:$A$48,0),MATCH(L$5,'[25]AFA-E_ANTC'!$J$3:$O$3,0)),"")</f>
        <v>0.51619355860632565</v>
      </c>
      <c r="M34" s="274">
        <f>IFERROR(INDEX('[25]AFA-E_ANTC'!$J$5:$O$48,MATCH($B34,'[25]AFA-E_ANTC'!$A$5:$A$48,0),MATCH(M$5,'[25]AFA-E_ANTC'!$J$3:$O$3,0)),"")</f>
        <v>0.36251688170644575</v>
      </c>
      <c r="N34" s="274">
        <f>IFERROR(INDEX('[25]AFA-E_ANTC'!$J$5:$O$48,MATCH($B34,'[25]AFA-E_ANTC'!$A$5:$A$48,0),MATCH(N$5,'[25]AFA-E_ANTC'!$J$3:$O$3,0)),"")</f>
        <v>0.25189181905238711</v>
      </c>
      <c r="O34" s="274">
        <f>IFERROR(INDEX('[25]AFA-E_ANTC'!$J$5:$O$48,MATCH($B34,'[25]AFA-E_ANTC'!$A$5:$A$48,0),MATCH(O$5,'[25]AFA-E_ANTC'!$J$3:$O$3,0)),"")</f>
        <v>0.17389158868771801</v>
      </c>
      <c r="P34" s="274">
        <f>IFERROR(INDEX('[25]AFA-E_ANTC'!$P$5:$P$48,MATCH($B34,'[25]AFA-E_ANTC'!$A$5:$A$48,0)),"")</f>
        <v>3.4999999999999996E-2</v>
      </c>
      <c r="Q34" s="276">
        <f>IFERROR(INDEX('[25]RESID-E_ANTC'!$M$5:$T$48,MATCH($B34,'[25]RESID-E_ANTC'!$A$5:$A$48,0),MATCH(Q$5,'[25]RESID-E_ANTC'!$M$3:$T$3,0)),"")</f>
        <v>253.885003628612</v>
      </c>
      <c r="R34" s="276">
        <f>IFERROR(INDEX('[25]RESID-E_ANTC'!$M$5:$T$48,MATCH($B34,'[25]RESID-E_ANTC'!$A$5:$A$48,0),MATCH(R$5,'[25]RESID-E_ANTC'!$M$3:$T$3,0)),"")</f>
        <v>223.81698991359701</v>
      </c>
      <c r="S34" s="276">
        <f>IFERROR(INDEX('[25]RESID-E_ANTC'!$M$5:$T$48,MATCH($B34,'[25]RESID-E_ANTC'!$A$5:$A$48,0),MATCH(S$5,'[25]RESID-E_ANTC'!$M$3:$T$3,0)),"")</f>
        <v>136.09445444360699</v>
      </c>
      <c r="T34" s="276">
        <f>IFERROR(INDEX('[25]RESID-E_ANTC'!$M$5:$T$48,MATCH($B34,'[25]RESID-E_ANTC'!$A$5:$A$48,0),MATCH(T$5,'[25]RESID-E_ANTC'!$M$3:$T$3,0)),"")</f>
        <v>0</v>
      </c>
      <c r="U34" s="276">
        <f>IFERROR(INDEX('[25]RESID-E_ANTC'!$M$5:$T$48,MATCH($B34,'[25]RESID-E_ANTC'!$A$5:$A$48,0),MATCH(U$5,'[25]RESID-E_ANTC'!$M$3:$T$3,0)),"")</f>
        <v>0</v>
      </c>
      <c r="V34" s="279">
        <v>3</v>
      </c>
      <c r="W34" s="279">
        <v>0</v>
      </c>
    </row>
    <row r="35" spans="2:23">
      <c r="B35" s="270" t="str">
        <f>IF([25]ITEMS_Tech_E!D35="","",[25]ITEMS_Tech_E!D35)</f>
        <v>TPPUMBTGAS-E</v>
      </c>
      <c r="C35" s="271" t="str">
        <f>IF([25]ITEMS_Tech_E!E35="","",[25]ITEMS_Tech_E!E35)</f>
        <v>Transport Passenger Minibus Gas-Existing</v>
      </c>
      <c r="D35" s="277" t="s">
        <v>745</v>
      </c>
      <c r="E35" s="277" t="s">
        <v>749</v>
      </c>
      <c r="F35" s="278">
        <f>IFERROR(INDEX('[25]EFF-E_ANTC'!$C$4:$H$47,MATCH($B35,'[25]EFF-E_ANTC'!$A$4:$A$47,0),MATCH(F$5,'[25]EFF-E_ANTC'!$C$3:$H$3,0)),"")</f>
        <v>0.2119495613148375</v>
      </c>
      <c r="G35" s="278">
        <f>IFERROR(INDEX('[25]EFF-E_ANTC'!$C$4:$H$47,MATCH($B35,'[25]EFF-E_ANTC'!$A$4:$A$47,0),MATCH(G$5,'[25]EFF-E_ANTC'!$C$3:$H$3,0)),"")</f>
        <v>0.2119495613148375</v>
      </c>
      <c r="H35" s="278">
        <f>IFERROR(INDEX('[25]EFF-E_ANTC'!$C$4:$H$47,MATCH($B35,'[25]EFF-E_ANTC'!$A$4:$A$47,0),MATCH(H$5,'[25]EFF-E_ANTC'!$C$3:$H$3,0)),"")</f>
        <v>0.2119495613148375</v>
      </c>
      <c r="I35" s="278">
        <f>IFERROR(INDEX('[25]EFF-E_ANTC'!$C$4:$H$47,MATCH($B35,'[25]EFF-E_ANTC'!$A$4:$A$47,0),MATCH(I$5,'[25]EFF-E_ANTC'!$C$3:$H$3,0)),"")</f>
        <v>0.2119495613148375</v>
      </c>
      <c r="J35" s="278">
        <f>IFERROR(INDEX('[25]EFF-E_ANTC'!$C$4:$H$47,MATCH($B35,'[25]EFF-E_ANTC'!$A$4:$A$47,0),MATCH(J$5,'[25]EFF-E_ANTC'!$C$3:$H$3,0)),"")</f>
        <v>0.2119495613148375</v>
      </c>
      <c r="K35" s="274">
        <f>IFERROR(INDEX('[25]AFA-E_ANTC'!$J$5:$O$48,MATCH($B35,'[25]AFA-E_ANTC'!$A$5:$A$48,0),MATCH(K$5,'[25]AFA-E_ANTC'!$J$3:$O$3,0)),"")</f>
        <v>0</v>
      </c>
      <c r="L35" s="274">
        <f>IFERROR(INDEX('[25]AFA-E_ANTC'!$J$5:$O$48,MATCH($B35,'[25]AFA-E_ANTC'!$A$5:$A$48,0),MATCH(L$5,'[25]AFA-E_ANTC'!$J$3:$O$3,0)),"")</f>
        <v>0.86175849406483251</v>
      </c>
      <c r="M35" s="274">
        <f>IFERROR(INDEX('[25]AFA-E_ANTC'!$J$5:$O$48,MATCH($B35,'[25]AFA-E_ANTC'!$A$5:$A$48,0),MATCH(M$5,'[25]AFA-E_ANTC'!$J$3:$O$3,0)),"")</f>
        <v>0.60520321659162479</v>
      </c>
      <c r="N35" s="274">
        <f>IFERROR(INDEX('[25]AFA-E_ANTC'!$J$5:$O$48,MATCH($B35,'[25]AFA-E_ANTC'!$A$5:$A$48,0),MATCH(N$5,'[25]AFA-E_ANTC'!$J$3:$O$3,0)),"")</f>
        <v>0.42052038626732363</v>
      </c>
      <c r="O35" s="274">
        <f>IFERROR(INDEX('[25]AFA-E_ANTC'!$J$5:$O$48,MATCH($B35,'[25]AFA-E_ANTC'!$A$5:$A$48,0),MATCH(O$5,'[25]AFA-E_ANTC'!$J$3:$O$3,0)),"")</f>
        <v>0.29030302896970861</v>
      </c>
      <c r="P35" s="274">
        <f>IFERROR(INDEX('[25]AFA-E_ANTC'!$P$5:$P$48,MATCH($B35,'[25]AFA-E_ANTC'!$A$5:$A$48,0)),"")</f>
        <v>2.0965008962084201E-2</v>
      </c>
      <c r="Q35" s="276">
        <f>IFERROR(INDEX('[25]RESID-E_ANTC'!$M$5:$T$48,MATCH($B35,'[25]RESID-E_ANTC'!$A$5:$A$48,0),MATCH(Q$5,'[25]RESID-E_ANTC'!$M$3:$T$3,0)),"")</f>
        <v>2.5388500362861199</v>
      </c>
      <c r="R35" s="276">
        <f>IFERROR(INDEX('[25]RESID-E_ANTC'!$M$5:$T$48,MATCH($B35,'[25]RESID-E_ANTC'!$A$5:$A$48,0),MATCH(R$5,'[25]RESID-E_ANTC'!$M$3:$T$3,0)),"")</f>
        <v>2.2381698991359702</v>
      </c>
      <c r="S35" s="276">
        <f>IFERROR(INDEX('[25]RESID-E_ANTC'!$M$5:$T$48,MATCH($B35,'[25]RESID-E_ANTC'!$A$5:$A$48,0),MATCH(S$5,'[25]RESID-E_ANTC'!$M$3:$T$3,0)),"")</f>
        <v>1.3609445444360699</v>
      </c>
      <c r="T35" s="276">
        <f>IFERROR(INDEX('[25]RESID-E_ANTC'!$M$5:$T$48,MATCH($B35,'[25]RESID-E_ANTC'!$A$5:$A$48,0),MATCH(T$5,'[25]RESID-E_ANTC'!$M$3:$T$3,0)),"")</f>
        <v>0</v>
      </c>
      <c r="U35" s="276">
        <f>IFERROR(INDEX('[25]RESID-E_ANTC'!$M$5:$T$48,MATCH($B35,'[25]RESID-E_ANTC'!$A$5:$A$48,0),MATCH(U$5,'[25]RESID-E_ANTC'!$M$3:$T$3,0)),"")</f>
        <v>0</v>
      </c>
      <c r="V35" s="279">
        <v>3</v>
      </c>
      <c r="W35" s="279">
        <v>0</v>
      </c>
    </row>
    <row r="36" spans="2:23">
      <c r="B36" s="270" t="str">
        <f>IF([25]ITEMS_Tech_E!D36="","",[25]ITEMS_Tech_E!D36)</f>
        <v>*</v>
      </c>
      <c r="C36" s="271" t="str">
        <f>IF([25]ITEMS_Tech_E!E36="","",[25]ITEMS_Tech_E!E36)</f>
        <v/>
      </c>
      <c r="D36" s="272"/>
      <c r="E36" s="272"/>
      <c r="F36" s="278">
        <f>IFERROR(INDEX('[25]EFF-E_ANTC'!$C$4:$H$47,MATCH($B36,'[25]EFF-E_ANTC'!$A$4:$A$47,0),MATCH(F$5,'[25]EFF-E_ANTC'!$C$3:$H$3,0)),"")</f>
        <v>6.4348339348895098E-2</v>
      </c>
      <c r="G36" s="278">
        <f>IFERROR(INDEX('[25]EFF-E_ANTC'!$C$4:$H$47,MATCH($B36,'[25]EFF-E_ANTC'!$A$4:$A$47,0),MATCH(G$5,'[25]EFF-E_ANTC'!$C$3:$H$3,0)),"")</f>
        <v>6.4532835825940396E-2</v>
      </c>
      <c r="H36" s="278">
        <f>IFERROR(INDEX('[25]EFF-E_ANTC'!$C$4:$H$47,MATCH($B36,'[25]EFF-E_ANTC'!$A$4:$A$47,0),MATCH(H$5,'[25]EFF-E_ANTC'!$C$3:$H$3,0)),"")</f>
        <v>6.5227894002483106E-2</v>
      </c>
      <c r="I36" s="278">
        <f>IFERROR(INDEX('[25]EFF-E_ANTC'!$C$4:$H$47,MATCH($B36,'[25]EFF-E_ANTC'!$A$4:$A$47,0),MATCH(I$5,'[25]EFF-E_ANTC'!$C$3:$H$3,0)),"")</f>
        <v>6.6011283101863896E-2</v>
      </c>
      <c r="J36" s="278">
        <f>IFERROR(INDEX('[25]EFF-E_ANTC'!$C$4:$H$47,MATCH($B36,'[25]EFF-E_ANTC'!$A$4:$A$47,0),MATCH(J$5,'[25]EFF-E_ANTC'!$C$3:$H$3,0)),"")</f>
        <v>6.6777008175099004E-2</v>
      </c>
      <c r="K36" s="274">
        <f>IFERROR(INDEX('[25]AFA-E_ANTC'!$J$5:$O$48,MATCH($B36,'[25]AFA-E_ANTC'!$A$5:$A$48,0),MATCH(K$5,'[25]AFA-E_ANTC'!$J$3:$O$3,0)),"")</f>
        <v>0.42532283795650333</v>
      </c>
      <c r="L36" s="274">
        <f>IFERROR(INDEX('[25]AFA-E_ANTC'!$J$5:$O$48,MATCH($B36,'[25]AFA-E_ANTC'!$A$5:$A$48,0),MATCH(L$5,'[25]AFA-E_ANTC'!$J$3:$O$3,0)),"")</f>
        <v>0.33706878442068333</v>
      </c>
      <c r="M36" s="274">
        <f>IFERROR(INDEX('[25]AFA-E_ANTC'!$J$5:$O$48,MATCH($B36,'[25]AFA-E_ANTC'!$A$5:$A$48,0),MATCH(M$5,'[25]AFA-E_ANTC'!$J$3:$O$3,0)),"")</f>
        <v>0.15171434294469499</v>
      </c>
      <c r="N36" s="274">
        <f>IFERROR(INDEX('[25]AFA-E_ANTC'!$J$5:$O$48,MATCH($B36,'[25]AFA-E_ANTC'!$A$5:$A$48,0),MATCH(N$5,'[25]AFA-E_ANTC'!$J$3:$O$3,0)),"")</f>
        <v>6.6477490540613332E-2</v>
      </c>
      <c r="O36" s="274">
        <f>IFERROR(INDEX('[25]AFA-E_ANTC'!$J$5:$O$48,MATCH($B36,'[25]AFA-E_ANTC'!$A$5:$A$48,0),MATCH(O$5,'[25]AFA-E_ANTC'!$J$3:$O$3,0)),"")</f>
        <v>2.8637041139474666E-2</v>
      </c>
      <c r="P36" s="274">
        <f>IFERROR(INDEX('[25]AFA-E_ANTC'!$P$5:$P$48,MATCH($B36,'[25]AFA-E_ANTC'!$A$5:$A$48,0)),"")</f>
        <v>0.06</v>
      </c>
      <c r="Q36" s="276">
        <f>IFERROR(INDEX('[25]RESID-E_ANTC'!$M$5:$T$48,MATCH($B36,'[25]RESID-E_ANTC'!$A$5:$A$48,0),MATCH(Q$5,'[25]RESID-E_ANTC'!$M$3:$T$3,0)),"")</f>
        <v>25.1952522652347</v>
      </c>
      <c r="R36" s="276">
        <f>IFERROR(INDEX('[25]RESID-E_ANTC'!$M$5:$T$48,MATCH($B36,'[25]RESID-E_ANTC'!$A$5:$A$48,0),MATCH(R$5,'[25]RESID-E_ANTC'!$M$3:$T$3,0)),"")</f>
        <v>23.083651962362801</v>
      </c>
      <c r="S36" s="276">
        <f>IFERROR(INDEX('[25]RESID-E_ANTC'!$M$5:$T$48,MATCH($B36,'[25]RESID-E_ANTC'!$A$5:$A$48,0),MATCH(S$5,'[25]RESID-E_ANTC'!$M$3:$T$3,0)),"")</f>
        <v>15.5161252325553</v>
      </c>
      <c r="T36" s="276">
        <f>IFERROR(INDEX('[25]RESID-E_ANTC'!$M$5:$T$48,MATCH($B36,'[25]RESID-E_ANTC'!$A$5:$A$48,0),MATCH(T$5,'[25]RESID-E_ANTC'!$M$3:$T$3,0)),"")</f>
        <v>0</v>
      </c>
      <c r="U36" s="276">
        <f>IFERROR(INDEX('[25]RESID-E_ANTC'!$M$5:$T$48,MATCH($B36,'[25]RESID-E_ANTC'!$A$5:$A$48,0),MATCH(U$5,'[25]RESID-E_ANTC'!$M$3:$T$3,0)),"")</f>
        <v>0</v>
      </c>
      <c r="V36" s="279"/>
      <c r="W36" s="279"/>
    </row>
    <row r="37" spans="2:23">
      <c r="B37" s="270" t="str">
        <f>IF([25]ITEMS_Tech_E!D37="","",[25]ITEMS_Tech_E!D37)</f>
        <v>*</v>
      </c>
      <c r="C37" s="271" t="str">
        <f>IF([25]ITEMS_Tech_E!E37="","",[25]ITEMS_Tech_E!E37)</f>
        <v/>
      </c>
      <c r="D37" s="272"/>
      <c r="E37" s="272"/>
      <c r="F37" s="278">
        <f>IFERROR(INDEX('[25]EFF-E_ANTC'!$C$4:$H$47,MATCH($B37,'[25]EFF-E_ANTC'!$A$4:$A$47,0),MATCH(F$5,'[25]EFF-E_ANTC'!$C$3:$H$3,0)),"")</f>
        <v>6.4348339348895098E-2</v>
      </c>
      <c r="G37" s="278">
        <f>IFERROR(INDEX('[25]EFF-E_ANTC'!$C$4:$H$47,MATCH($B37,'[25]EFF-E_ANTC'!$A$4:$A$47,0),MATCH(G$5,'[25]EFF-E_ANTC'!$C$3:$H$3,0)),"")</f>
        <v>6.4532835825940396E-2</v>
      </c>
      <c r="H37" s="278">
        <f>IFERROR(INDEX('[25]EFF-E_ANTC'!$C$4:$H$47,MATCH($B37,'[25]EFF-E_ANTC'!$A$4:$A$47,0),MATCH(H$5,'[25]EFF-E_ANTC'!$C$3:$H$3,0)),"")</f>
        <v>6.5227894002483106E-2</v>
      </c>
      <c r="I37" s="278">
        <f>IFERROR(INDEX('[25]EFF-E_ANTC'!$C$4:$H$47,MATCH($B37,'[25]EFF-E_ANTC'!$A$4:$A$47,0),MATCH(I$5,'[25]EFF-E_ANTC'!$C$3:$H$3,0)),"")</f>
        <v>6.6011283101863896E-2</v>
      </c>
      <c r="J37" s="278">
        <f>IFERROR(INDEX('[25]EFF-E_ANTC'!$C$4:$H$47,MATCH($B37,'[25]EFF-E_ANTC'!$A$4:$A$47,0),MATCH(J$5,'[25]EFF-E_ANTC'!$C$3:$H$3,0)),"")</f>
        <v>6.6777008175099004E-2</v>
      </c>
      <c r="K37" s="274">
        <f>IFERROR(INDEX('[25]AFA-E_ANTC'!$J$5:$O$48,MATCH($B37,'[25]AFA-E_ANTC'!$A$5:$A$48,0),MATCH(K$5,'[25]AFA-E_ANTC'!$J$3:$O$3,0)),"")</f>
        <v>0.42532283795650333</v>
      </c>
      <c r="L37" s="274">
        <f>IFERROR(INDEX('[25]AFA-E_ANTC'!$J$5:$O$48,MATCH($B37,'[25]AFA-E_ANTC'!$A$5:$A$48,0),MATCH(L$5,'[25]AFA-E_ANTC'!$J$3:$O$3,0)),"")</f>
        <v>0.33706878442068333</v>
      </c>
      <c r="M37" s="274">
        <f>IFERROR(INDEX('[25]AFA-E_ANTC'!$J$5:$O$48,MATCH($B37,'[25]AFA-E_ANTC'!$A$5:$A$48,0),MATCH(M$5,'[25]AFA-E_ANTC'!$J$3:$O$3,0)),"")</f>
        <v>0.15171434294469499</v>
      </c>
      <c r="N37" s="274">
        <f>IFERROR(INDEX('[25]AFA-E_ANTC'!$J$5:$O$48,MATCH($B37,'[25]AFA-E_ANTC'!$A$5:$A$48,0),MATCH(N$5,'[25]AFA-E_ANTC'!$J$3:$O$3,0)),"")</f>
        <v>6.6477490540613332E-2</v>
      </c>
      <c r="O37" s="274">
        <f>IFERROR(INDEX('[25]AFA-E_ANTC'!$J$5:$O$48,MATCH($B37,'[25]AFA-E_ANTC'!$A$5:$A$48,0),MATCH(O$5,'[25]AFA-E_ANTC'!$J$3:$O$3,0)),"")</f>
        <v>2.8637041139474666E-2</v>
      </c>
      <c r="P37" s="274">
        <f>IFERROR(INDEX('[25]AFA-E_ANTC'!$P$5:$P$48,MATCH($B37,'[25]AFA-E_ANTC'!$A$5:$A$48,0)),"")</f>
        <v>0.06</v>
      </c>
      <c r="Q37" s="276">
        <f>IFERROR(INDEX('[25]RESID-E_ANTC'!$M$5:$T$48,MATCH($B37,'[25]RESID-E_ANTC'!$A$5:$A$48,0),MATCH(Q$5,'[25]RESID-E_ANTC'!$M$3:$T$3,0)),"")</f>
        <v>25.1952522652347</v>
      </c>
      <c r="R37" s="276">
        <f>IFERROR(INDEX('[25]RESID-E_ANTC'!$M$5:$T$48,MATCH($B37,'[25]RESID-E_ANTC'!$A$5:$A$48,0),MATCH(R$5,'[25]RESID-E_ANTC'!$M$3:$T$3,0)),"")</f>
        <v>23.083651962362801</v>
      </c>
      <c r="S37" s="276">
        <f>IFERROR(INDEX('[25]RESID-E_ANTC'!$M$5:$T$48,MATCH($B37,'[25]RESID-E_ANTC'!$A$5:$A$48,0),MATCH(S$5,'[25]RESID-E_ANTC'!$M$3:$T$3,0)),"")</f>
        <v>15.5161252325553</v>
      </c>
      <c r="T37" s="276">
        <f>IFERROR(INDEX('[25]RESID-E_ANTC'!$M$5:$T$48,MATCH($B37,'[25]RESID-E_ANTC'!$A$5:$A$48,0),MATCH(T$5,'[25]RESID-E_ANTC'!$M$3:$T$3,0)),"")</f>
        <v>0</v>
      </c>
      <c r="U37" s="276">
        <f>IFERROR(INDEX('[25]RESID-E_ANTC'!$M$5:$T$48,MATCH($B37,'[25]RESID-E_ANTC'!$A$5:$A$48,0),MATCH(U$5,'[25]RESID-E_ANTC'!$M$3:$T$3,0)),"")</f>
        <v>0</v>
      </c>
      <c r="V37" s="279"/>
      <c r="W37" s="279"/>
    </row>
    <row r="38" spans="2:23">
      <c r="B38" s="270" t="str">
        <f>IF([25]ITEMS_Tech_E!D38="","",[25]ITEMS_Tech_E!D38)</f>
        <v>*</v>
      </c>
      <c r="C38" s="271" t="str">
        <f>IF([25]ITEMS_Tech_E!E38="","",[25]ITEMS_Tech_E!E38)</f>
        <v>Public Metrorail</v>
      </c>
      <c r="D38" s="272"/>
      <c r="E38" s="272"/>
      <c r="F38" s="278">
        <f>IFERROR(INDEX('[25]EFF-E_ANTC'!$C$4:$H$47,MATCH($B38,'[25]EFF-E_ANTC'!$A$4:$A$47,0),MATCH(F$5,'[25]EFF-E_ANTC'!$C$3:$H$3,0)),"")</f>
        <v>6.4348339348895098E-2</v>
      </c>
      <c r="G38" s="278">
        <f>IFERROR(INDEX('[25]EFF-E_ANTC'!$C$4:$H$47,MATCH($B38,'[25]EFF-E_ANTC'!$A$4:$A$47,0),MATCH(G$5,'[25]EFF-E_ANTC'!$C$3:$H$3,0)),"")</f>
        <v>6.4532835825940396E-2</v>
      </c>
      <c r="H38" s="278">
        <f>IFERROR(INDEX('[25]EFF-E_ANTC'!$C$4:$H$47,MATCH($B38,'[25]EFF-E_ANTC'!$A$4:$A$47,0),MATCH(H$5,'[25]EFF-E_ANTC'!$C$3:$H$3,0)),"")</f>
        <v>6.5227894002483106E-2</v>
      </c>
      <c r="I38" s="278">
        <f>IFERROR(INDEX('[25]EFF-E_ANTC'!$C$4:$H$47,MATCH($B38,'[25]EFF-E_ANTC'!$A$4:$A$47,0),MATCH(I$5,'[25]EFF-E_ANTC'!$C$3:$H$3,0)),"")</f>
        <v>6.6011283101863896E-2</v>
      </c>
      <c r="J38" s="278">
        <f>IFERROR(INDEX('[25]EFF-E_ANTC'!$C$4:$H$47,MATCH($B38,'[25]EFF-E_ANTC'!$A$4:$A$47,0),MATCH(J$5,'[25]EFF-E_ANTC'!$C$3:$H$3,0)),"")</f>
        <v>6.6777008175099004E-2</v>
      </c>
      <c r="K38" s="274">
        <f>IFERROR(INDEX('[25]AFA-E_ANTC'!$J$5:$O$48,MATCH($B38,'[25]AFA-E_ANTC'!$A$5:$A$48,0),MATCH(K$5,'[25]AFA-E_ANTC'!$J$3:$O$3,0)),"")</f>
        <v>0.42532283795650333</v>
      </c>
      <c r="L38" s="274">
        <f>IFERROR(INDEX('[25]AFA-E_ANTC'!$J$5:$O$48,MATCH($B38,'[25]AFA-E_ANTC'!$A$5:$A$48,0),MATCH(L$5,'[25]AFA-E_ANTC'!$J$3:$O$3,0)),"")</f>
        <v>0.33706878442068333</v>
      </c>
      <c r="M38" s="274">
        <f>IFERROR(INDEX('[25]AFA-E_ANTC'!$J$5:$O$48,MATCH($B38,'[25]AFA-E_ANTC'!$A$5:$A$48,0),MATCH(M$5,'[25]AFA-E_ANTC'!$J$3:$O$3,0)),"")</f>
        <v>0.15171434294469499</v>
      </c>
      <c r="N38" s="274">
        <f>IFERROR(INDEX('[25]AFA-E_ANTC'!$J$5:$O$48,MATCH($B38,'[25]AFA-E_ANTC'!$A$5:$A$48,0),MATCH(N$5,'[25]AFA-E_ANTC'!$J$3:$O$3,0)),"")</f>
        <v>6.6477490540613332E-2</v>
      </c>
      <c r="O38" s="274">
        <f>IFERROR(INDEX('[25]AFA-E_ANTC'!$J$5:$O$48,MATCH($B38,'[25]AFA-E_ANTC'!$A$5:$A$48,0),MATCH(O$5,'[25]AFA-E_ANTC'!$J$3:$O$3,0)),"")</f>
        <v>2.8637041139474666E-2</v>
      </c>
      <c r="P38" s="274">
        <f>IFERROR(INDEX('[25]AFA-E_ANTC'!$P$5:$P$48,MATCH($B38,'[25]AFA-E_ANTC'!$A$5:$A$48,0)),"")</f>
        <v>0.06</v>
      </c>
      <c r="Q38" s="276">
        <f>IFERROR(INDEX('[25]RESID-E_ANTC'!$M$5:$T$48,MATCH($B38,'[25]RESID-E_ANTC'!$A$5:$A$48,0),MATCH(Q$5,'[25]RESID-E_ANTC'!$M$3:$T$3,0)),"")</f>
        <v>25.1952522652347</v>
      </c>
      <c r="R38" s="276">
        <f>IFERROR(INDEX('[25]RESID-E_ANTC'!$M$5:$T$48,MATCH($B38,'[25]RESID-E_ANTC'!$A$5:$A$48,0),MATCH(R$5,'[25]RESID-E_ANTC'!$M$3:$T$3,0)),"")</f>
        <v>23.083651962362801</v>
      </c>
      <c r="S38" s="276">
        <f>IFERROR(INDEX('[25]RESID-E_ANTC'!$M$5:$T$48,MATCH($B38,'[25]RESID-E_ANTC'!$A$5:$A$48,0),MATCH(S$5,'[25]RESID-E_ANTC'!$M$3:$T$3,0)),"")</f>
        <v>15.5161252325553</v>
      </c>
      <c r="T38" s="276">
        <f>IFERROR(INDEX('[25]RESID-E_ANTC'!$M$5:$T$48,MATCH($B38,'[25]RESID-E_ANTC'!$A$5:$A$48,0),MATCH(T$5,'[25]RESID-E_ANTC'!$M$3:$T$3,0)),"")</f>
        <v>0</v>
      </c>
      <c r="U38" s="276">
        <f>IFERROR(INDEX('[25]RESID-E_ANTC'!$M$5:$T$48,MATCH($B38,'[25]RESID-E_ANTC'!$A$5:$A$48,0),MATCH(U$5,'[25]RESID-E_ANTC'!$M$3:$T$3,0)),"")</f>
        <v>0</v>
      </c>
      <c r="V38" s="279"/>
      <c r="W38" s="279"/>
    </row>
    <row r="39" spans="2:23">
      <c r="B39" s="270" t="str">
        <f>IF([25]ITEMS_Tech_E!D39="","",[25]ITEMS_Tech_E!D39)</f>
        <v>TPPUMERELC-E</v>
      </c>
      <c r="C39" s="271" t="str">
        <f>IF([25]ITEMS_Tech_E!E39="","",[25]ITEMS_Tech_E!E39)</f>
        <v>Transport Passenger Metro Rail Electricity-Existing</v>
      </c>
      <c r="D39" s="277" t="s">
        <v>744</v>
      </c>
      <c r="E39" s="277" t="s">
        <v>750</v>
      </c>
      <c r="F39" s="280">
        <f>IFERROR(INDEX('[25]EFF-E_ANTC'!$C$4:$H$47,MATCH($B39,'[25]EFF-E_ANTC'!$A$4:$A$47,0),MATCH(F$5,'[25]EFF-E_ANTC'!$C$3:$H$3,0)),"")</f>
        <v>3.858057479967961</v>
      </c>
      <c r="G39" s="278">
        <f>IFERROR(INDEX('[25]EFF-E_ANTC'!$C$4:$H$47,MATCH($B39,'[25]EFF-E_ANTC'!$A$4:$A$47,0),MATCH(G$5,'[25]EFF-E_ANTC'!$C$3:$H$3,0)),"")</f>
        <v>1</v>
      </c>
      <c r="H39" s="278">
        <f>IFERROR(INDEX('[25]EFF-E_ANTC'!$C$4:$H$47,MATCH($B39,'[25]EFF-E_ANTC'!$A$4:$A$47,0),MATCH(H$5,'[25]EFF-E_ANTC'!$C$3:$H$3,0)),"")</f>
        <v>1</v>
      </c>
      <c r="I39" s="278">
        <f>IFERROR(INDEX('[25]EFF-E_ANTC'!$C$4:$H$47,MATCH($B39,'[25]EFF-E_ANTC'!$A$4:$A$47,0),MATCH(I$5,'[25]EFF-E_ANTC'!$C$3:$H$3,0)),"")</f>
        <v>1</v>
      </c>
      <c r="J39" s="278">
        <f>IFERROR(INDEX('[25]EFF-E_ANTC'!$C$4:$H$47,MATCH($B39,'[25]EFF-E_ANTC'!$A$4:$A$47,0),MATCH(J$5,'[25]EFF-E_ANTC'!$C$3:$H$3,0)),"")</f>
        <v>1</v>
      </c>
      <c r="K39" s="274">
        <f>IFERROR(INDEX('[25]AFA-E_ANTC'!$J$5:$O$48,MATCH($B39,'[25]AFA-E_ANTC'!$A$5:$A$48,0),MATCH(K$5,'[25]AFA-E_ANTC'!$J$3:$O$3,0)),"")</f>
        <v>1</v>
      </c>
      <c r="L39" s="274">
        <f>IFERROR(INDEX('[25]AFA-E_ANTC'!$J$5:$O$48,MATCH($B39,'[25]AFA-E_ANTC'!$A$5:$A$48,0),MATCH(L$5,'[25]AFA-E_ANTC'!$J$3:$O$3,0)),"")</f>
        <v>1</v>
      </c>
      <c r="M39" s="274">
        <f>IFERROR(INDEX('[25]AFA-E_ANTC'!$J$5:$O$48,MATCH($B39,'[25]AFA-E_ANTC'!$A$5:$A$48,0),MATCH(M$5,'[25]AFA-E_ANTC'!$J$3:$O$3,0)),"")</f>
        <v>1</v>
      </c>
      <c r="N39" s="274">
        <f>IFERROR(INDEX('[25]AFA-E_ANTC'!$J$5:$O$48,MATCH($B39,'[25]AFA-E_ANTC'!$A$5:$A$48,0),MATCH(N$5,'[25]AFA-E_ANTC'!$J$3:$O$3,0)),"")</f>
        <v>1</v>
      </c>
      <c r="O39" s="274">
        <f>IFERROR(INDEX('[25]AFA-E_ANTC'!$J$5:$O$48,MATCH($B39,'[25]AFA-E_ANTC'!$A$5:$A$48,0),MATCH(O$5,'[25]AFA-E_ANTC'!$J$3:$O$3,0)),"")</f>
        <v>1</v>
      </c>
      <c r="P39" s="274">
        <f>IFERROR(INDEX('[25]AFA-E_ANTC'!$P$5:$P$48,MATCH($B39,'[25]AFA-E_ANTC'!$A$5:$A$48,0)),"")</f>
        <v>1</v>
      </c>
      <c r="Q39" s="276">
        <f>IFERROR(INDEX('[25]RESID-E_ANTC'!$M$5:$T$48,MATCH($B39,'[25]RESID-E_ANTC'!$A$5:$A$48,0),MATCH(Q$5,'[25]RESID-E_ANTC'!$M$3:$T$3,0)),"")</f>
        <v>15.8</v>
      </c>
      <c r="R39" s="276">
        <f>IFERROR(INDEX('[25]RESID-E_ANTC'!$M$5:$T$48,MATCH($B39,'[25]RESID-E_ANTC'!$A$5:$A$48,0),MATCH(R$5,'[25]RESID-E_ANTC'!$M$3:$T$3,0)),"")</f>
        <v>15.8</v>
      </c>
      <c r="S39" s="276">
        <f>IFERROR(INDEX('[25]RESID-E_ANTC'!$M$5:$T$48,MATCH($B39,'[25]RESID-E_ANTC'!$A$5:$A$48,0),MATCH(S$5,'[25]RESID-E_ANTC'!$M$3:$T$3,0)),"")</f>
        <v>12.64</v>
      </c>
      <c r="T39" s="276">
        <f>IFERROR(INDEX('[25]RESID-E_ANTC'!$M$5:$T$48,MATCH($B39,'[25]RESID-E_ANTC'!$A$5:$A$48,0),MATCH(T$5,'[25]RESID-E_ANTC'!$M$3:$T$3,0)),"")</f>
        <v>0</v>
      </c>
      <c r="U39" s="276">
        <f>IFERROR(INDEX('[25]RESID-E_ANTC'!$M$5:$T$48,MATCH($B39,'[25]RESID-E_ANTC'!$A$5:$A$48,0),MATCH(U$5,'[25]RESID-E_ANTC'!$M$3:$T$3,0)),"")</f>
        <v>0</v>
      </c>
      <c r="V39" s="279">
        <v>3</v>
      </c>
      <c r="W39" s="279">
        <v>0</v>
      </c>
    </row>
    <row r="40" spans="2:23">
      <c r="B40" s="270" t="str">
        <f>IF([25]ITEMS_Tech_E!D40="","",[25]ITEMS_Tech_E!D40)</f>
        <v>*</v>
      </c>
      <c r="C40" s="271" t="str">
        <f>IF([25]ITEMS_Tech_E!E40="","",[25]ITEMS_Tech_E!E40)</f>
        <v/>
      </c>
      <c r="D40" s="272"/>
      <c r="E40" s="272"/>
      <c r="F40" s="278">
        <f>IFERROR(INDEX('[25]EFF-E_ANTC'!$C$4:$H$47,MATCH($B40,'[25]EFF-E_ANTC'!$A$4:$A$47,0),MATCH(F$5,'[25]EFF-E_ANTC'!$C$3:$H$3,0)),"")</f>
        <v>6.4348339348895098E-2</v>
      </c>
      <c r="G40" s="278">
        <f>IFERROR(INDEX('[25]EFF-E_ANTC'!$C$4:$H$47,MATCH($B40,'[25]EFF-E_ANTC'!$A$4:$A$47,0),MATCH(G$5,'[25]EFF-E_ANTC'!$C$3:$H$3,0)),"")</f>
        <v>6.4532835825940396E-2</v>
      </c>
      <c r="H40" s="278">
        <f>IFERROR(INDEX('[25]EFF-E_ANTC'!$C$4:$H$47,MATCH($B40,'[25]EFF-E_ANTC'!$A$4:$A$47,0),MATCH(H$5,'[25]EFF-E_ANTC'!$C$3:$H$3,0)),"")</f>
        <v>6.5227894002483106E-2</v>
      </c>
      <c r="I40" s="278">
        <f>IFERROR(INDEX('[25]EFF-E_ANTC'!$C$4:$H$47,MATCH($B40,'[25]EFF-E_ANTC'!$A$4:$A$47,0),MATCH(I$5,'[25]EFF-E_ANTC'!$C$3:$H$3,0)),"")</f>
        <v>6.6011283101863896E-2</v>
      </c>
      <c r="J40" s="278">
        <f>IFERROR(INDEX('[25]EFF-E_ANTC'!$C$4:$H$47,MATCH($B40,'[25]EFF-E_ANTC'!$A$4:$A$47,0),MATCH(J$5,'[25]EFF-E_ANTC'!$C$3:$H$3,0)),"")</f>
        <v>6.6777008175099004E-2</v>
      </c>
      <c r="K40" s="274">
        <f>IFERROR(INDEX('[25]AFA-E_ANTC'!$J$5:$O$48,MATCH($B40,'[25]AFA-E_ANTC'!$A$5:$A$48,0),MATCH(K$5,'[25]AFA-E_ANTC'!$J$3:$O$3,0)),"")</f>
        <v>0.42532283795650333</v>
      </c>
      <c r="L40" s="274">
        <f>IFERROR(INDEX('[25]AFA-E_ANTC'!$J$5:$O$48,MATCH($B40,'[25]AFA-E_ANTC'!$A$5:$A$48,0),MATCH(L$5,'[25]AFA-E_ANTC'!$J$3:$O$3,0)),"")</f>
        <v>0.33706878442068333</v>
      </c>
      <c r="M40" s="274">
        <f>IFERROR(INDEX('[25]AFA-E_ANTC'!$J$5:$O$48,MATCH($B40,'[25]AFA-E_ANTC'!$A$5:$A$48,0),MATCH(M$5,'[25]AFA-E_ANTC'!$J$3:$O$3,0)),"")</f>
        <v>0.15171434294469499</v>
      </c>
      <c r="N40" s="274">
        <f>IFERROR(INDEX('[25]AFA-E_ANTC'!$J$5:$O$48,MATCH($B40,'[25]AFA-E_ANTC'!$A$5:$A$48,0),MATCH(N$5,'[25]AFA-E_ANTC'!$J$3:$O$3,0)),"")</f>
        <v>6.6477490540613332E-2</v>
      </c>
      <c r="O40" s="274">
        <f>IFERROR(INDEX('[25]AFA-E_ANTC'!$J$5:$O$48,MATCH($B40,'[25]AFA-E_ANTC'!$A$5:$A$48,0),MATCH(O$5,'[25]AFA-E_ANTC'!$J$3:$O$3,0)),"")</f>
        <v>2.8637041139474666E-2</v>
      </c>
      <c r="P40" s="274">
        <f>IFERROR(INDEX('[25]AFA-E_ANTC'!$P$5:$P$48,MATCH($B40,'[25]AFA-E_ANTC'!$A$5:$A$48,0)),"")</f>
        <v>0.06</v>
      </c>
      <c r="Q40" s="276">
        <f>IFERROR(INDEX('[25]RESID-E_ANTC'!$M$5:$T$48,MATCH($B40,'[25]RESID-E_ANTC'!$A$5:$A$48,0),MATCH(Q$5,'[25]RESID-E_ANTC'!$M$3:$T$3,0)),"")</f>
        <v>25.1952522652347</v>
      </c>
      <c r="R40" s="276">
        <f>IFERROR(INDEX('[25]RESID-E_ANTC'!$M$5:$T$48,MATCH($B40,'[25]RESID-E_ANTC'!$A$5:$A$48,0),MATCH(R$5,'[25]RESID-E_ANTC'!$M$3:$T$3,0)),"")</f>
        <v>23.083651962362801</v>
      </c>
      <c r="S40" s="276">
        <f>IFERROR(INDEX('[25]RESID-E_ANTC'!$M$5:$T$48,MATCH($B40,'[25]RESID-E_ANTC'!$A$5:$A$48,0),MATCH(S$5,'[25]RESID-E_ANTC'!$M$3:$T$3,0)),"")</f>
        <v>15.5161252325553</v>
      </c>
      <c r="T40" s="276">
        <f>IFERROR(INDEX('[25]RESID-E_ANTC'!$M$5:$T$48,MATCH($B40,'[25]RESID-E_ANTC'!$A$5:$A$48,0),MATCH(T$5,'[25]RESID-E_ANTC'!$M$3:$T$3,0)),"")</f>
        <v>0</v>
      </c>
      <c r="U40" s="276">
        <f>IFERROR(INDEX('[25]RESID-E_ANTC'!$M$5:$T$48,MATCH($B40,'[25]RESID-E_ANTC'!$A$5:$A$48,0),MATCH(U$5,'[25]RESID-E_ANTC'!$M$3:$T$3,0)),"")</f>
        <v>0</v>
      </c>
      <c r="V40" s="279"/>
      <c r="W40" s="279"/>
    </row>
    <row r="41" spans="2:23">
      <c r="B41" s="270" t="str">
        <f>IF([25]ITEMS_Tech_E!D41="","",[25]ITEMS_Tech_E!D41)</f>
        <v>*</v>
      </c>
      <c r="C41" s="271" t="str">
        <f>IF([25]ITEMS_Tech_E!E41="","",[25]ITEMS_Tech_E!E41)</f>
        <v/>
      </c>
      <c r="D41" s="272"/>
      <c r="E41" s="272"/>
      <c r="F41" s="278">
        <f>IFERROR(INDEX('[25]EFF-E_ANTC'!$C$4:$H$47,MATCH($B41,'[25]EFF-E_ANTC'!$A$4:$A$47,0),MATCH(F$5,'[25]EFF-E_ANTC'!$C$3:$H$3,0)),"")</f>
        <v>6.4348339348895098E-2</v>
      </c>
      <c r="G41" s="278">
        <f>IFERROR(INDEX('[25]EFF-E_ANTC'!$C$4:$H$47,MATCH($B41,'[25]EFF-E_ANTC'!$A$4:$A$47,0),MATCH(G$5,'[25]EFF-E_ANTC'!$C$3:$H$3,0)),"")</f>
        <v>6.4532835825940396E-2</v>
      </c>
      <c r="H41" s="278">
        <f>IFERROR(INDEX('[25]EFF-E_ANTC'!$C$4:$H$47,MATCH($B41,'[25]EFF-E_ANTC'!$A$4:$A$47,0),MATCH(H$5,'[25]EFF-E_ANTC'!$C$3:$H$3,0)),"")</f>
        <v>6.5227894002483106E-2</v>
      </c>
      <c r="I41" s="278">
        <f>IFERROR(INDEX('[25]EFF-E_ANTC'!$C$4:$H$47,MATCH($B41,'[25]EFF-E_ANTC'!$A$4:$A$47,0),MATCH(I$5,'[25]EFF-E_ANTC'!$C$3:$H$3,0)),"")</f>
        <v>6.6011283101863896E-2</v>
      </c>
      <c r="J41" s="278">
        <f>IFERROR(INDEX('[25]EFF-E_ANTC'!$C$4:$H$47,MATCH($B41,'[25]EFF-E_ANTC'!$A$4:$A$47,0),MATCH(J$5,'[25]EFF-E_ANTC'!$C$3:$H$3,0)),"")</f>
        <v>6.6777008175099004E-2</v>
      </c>
      <c r="K41" s="274">
        <f>IFERROR(INDEX('[25]AFA-E_ANTC'!$J$5:$O$48,MATCH($B41,'[25]AFA-E_ANTC'!$A$5:$A$48,0),MATCH(K$5,'[25]AFA-E_ANTC'!$J$3:$O$3,0)),"")</f>
        <v>0.42532283795650333</v>
      </c>
      <c r="L41" s="274">
        <f>IFERROR(INDEX('[25]AFA-E_ANTC'!$J$5:$O$48,MATCH($B41,'[25]AFA-E_ANTC'!$A$5:$A$48,0),MATCH(L$5,'[25]AFA-E_ANTC'!$J$3:$O$3,0)),"")</f>
        <v>0.33706878442068333</v>
      </c>
      <c r="M41" s="274">
        <f>IFERROR(INDEX('[25]AFA-E_ANTC'!$J$5:$O$48,MATCH($B41,'[25]AFA-E_ANTC'!$A$5:$A$48,0),MATCH(M$5,'[25]AFA-E_ANTC'!$J$3:$O$3,0)),"")</f>
        <v>0.15171434294469499</v>
      </c>
      <c r="N41" s="274">
        <f>IFERROR(INDEX('[25]AFA-E_ANTC'!$J$5:$O$48,MATCH($B41,'[25]AFA-E_ANTC'!$A$5:$A$48,0),MATCH(N$5,'[25]AFA-E_ANTC'!$J$3:$O$3,0)),"")</f>
        <v>6.6477490540613332E-2</v>
      </c>
      <c r="O41" s="274">
        <f>IFERROR(INDEX('[25]AFA-E_ANTC'!$J$5:$O$48,MATCH($B41,'[25]AFA-E_ANTC'!$A$5:$A$48,0),MATCH(O$5,'[25]AFA-E_ANTC'!$J$3:$O$3,0)),"")</f>
        <v>2.8637041139474666E-2</v>
      </c>
      <c r="P41" s="274">
        <f>IFERROR(INDEX('[25]AFA-E_ANTC'!$P$5:$P$48,MATCH($B41,'[25]AFA-E_ANTC'!$A$5:$A$48,0)),"")</f>
        <v>0.06</v>
      </c>
      <c r="Q41" s="276">
        <f>IFERROR(INDEX('[25]RESID-E_ANTC'!$M$5:$T$48,MATCH($B41,'[25]RESID-E_ANTC'!$A$5:$A$48,0),MATCH(Q$5,'[25]RESID-E_ANTC'!$M$3:$T$3,0)),"")</f>
        <v>25.1952522652347</v>
      </c>
      <c r="R41" s="276">
        <f>IFERROR(INDEX('[25]RESID-E_ANTC'!$M$5:$T$48,MATCH($B41,'[25]RESID-E_ANTC'!$A$5:$A$48,0),MATCH(R$5,'[25]RESID-E_ANTC'!$M$3:$T$3,0)),"")</f>
        <v>23.083651962362801</v>
      </c>
      <c r="S41" s="276">
        <f>IFERROR(INDEX('[25]RESID-E_ANTC'!$M$5:$T$48,MATCH($B41,'[25]RESID-E_ANTC'!$A$5:$A$48,0),MATCH(S$5,'[25]RESID-E_ANTC'!$M$3:$T$3,0)),"")</f>
        <v>15.5161252325553</v>
      </c>
      <c r="T41" s="276">
        <f>IFERROR(INDEX('[25]RESID-E_ANTC'!$M$5:$T$48,MATCH($B41,'[25]RESID-E_ANTC'!$A$5:$A$48,0),MATCH(T$5,'[25]RESID-E_ANTC'!$M$3:$T$3,0)),"")</f>
        <v>0</v>
      </c>
      <c r="U41" s="276">
        <f>IFERROR(INDEX('[25]RESID-E_ANTC'!$M$5:$T$48,MATCH($B41,'[25]RESID-E_ANTC'!$A$5:$A$48,0),MATCH(U$5,'[25]RESID-E_ANTC'!$M$3:$T$3,0)),"")</f>
        <v>0</v>
      </c>
      <c r="V41" s="279"/>
      <c r="W41" s="279"/>
    </row>
    <row r="42" spans="2:23">
      <c r="B42" s="270" t="str">
        <f>IF([25]ITEMS_Tech_E!D42="","",[25]ITEMS_Tech_E!D42)</f>
        <v>*</v>
      </c>
      <c r="C42" s="271" t="str">
        <f>IF([25]ITEMS_Tech_E!E42="","",[25]ITEMS_Tech_E!E42)</f>
        <v/>
      </c>
      <c r="D42" s="272"/>
      <c r="E42" s="272"/>
      <c r="F42" s="278">
        <f>IFERROR(INDEX('[25]EFF-E_ANTC'!$C$4:$H$47,MATCH($B42,'[25]EFF-E_ANTC'!$A$4:$A$47,0),MATCH(F$5,'[25]EFF-E_ANTC'!$C$3:$H$3,0)),"")</f>
        <v>6.4348339348895098E-2</v>
      </c>
      <c r="G42" s="278">
        <f>IFERROR(INDEX('[25]EFF-E_ANTC'!$C$4:$H$47,MATCH($B42,'[25]EFF-E_ANTC'!$A$4:$A$47,0),MATCH(G$5,'[25]EFF-E_ANTC'!$C$3:$H$3,0)),"")</f>
        <v>6.4532835825940396E-2</v>
      </c>
      <c r="H42" s="278">
        <f>IFERROR(INDEX('[25]EFF-E_ANTC'!$C$4:$H$47,MATCH($B42,'[25]EFF-E_ANTC'!$A$4:$A$47,0),MATCH(H$5,'[25]EFF-E_ANTC'!$C$3:$H$3,0)),"")</f>
        <v>6.5227894002483106E-2</v>
      </c>
      <c r="I42" s="278">
        <f>IFERROR(INDEX('[25]EFF-E_ANTC'!$C$4:$H$47,MATCH($B42,'[25]EFF-E_ANTC'!$A$4:$A$47,0),MATCH(I$5,'[25]EFF-E_ANTC'!$C$3:$H$3,0)),"")</f>
        <v>6.6011283101863896E-2</v>
      </c>
      <c r="J42" s="278">
        <f>IFERROR(INDEX('[25]EFF-E_ANTC'!$C$4:$H$47,MATCH($B42,'[25]EFF-E_ANTC'!$A$4:$A$47,0),MATCH(J$5,'[25]EFF-E_ANTC'!$C$3:$H$3,0)),"")</f>
        <v>6.6777008175099004E-2</v>
      </c>
      <c r="K42" s="274">
        <f>IFERROR(INDEX('[25]AFA-E_ANTC'!$J$5:$O$48,MATCH($B42,'[25]AFA-E_ANTC'!$A$5:$A$48,0),MATCH(K$5,'[25]AFA-E_ANTC'!$J$3:$O$3,0)),"")</f>
        <v>0.42532283795650333</v>
      </c>
      <c r="L42" s="274">
        <f>IFERROR(INDEX('[25]AFA-E_ANTC'!$J$5:$O$48,MATCH($B42,'[25]AFA-E_ANTC'!$A$5:$A$48,0),MATCH(L$5,'[25]AFA-E_ANTC'!$J$3:$O$3,0)),"")</f>
        <v>0.33706878442068333</v>
      </c>
      <c r="M42" s="274">
        <f>IFERROR(INDEX('[25]AFA-E_ANTC'!$J$5:$O$48,MATCH($B42,'[25]AFA-E_ANTC'!$A$5:$A$48,0),MATCH(M$5,'[25]AFA-E_ANTC'!$J$3:$O$3,0)),"")</f>
        <v>0.15171434294469499</v>
      </c>
      <c r="N42" s="274">
        <f>IFERROR(INDEX('[25]AFA-E_ANTC'!$J$5:$O$48,MATCH($B42,'[25]AFA-E_ANTC'!$A$5:$A$48,0),MATCH(N$5,'[25]AFA-E_ANTC'!$J$3:$O$3,0)),"")</f>
        <v>6.6477490540613332E-2</v>
      </c>
      <c r="O42" s="274">
        <f>IFERROR(INDEX('[25]AFA-E_ANTC'!$J$5:$O$48,MATCH($B42,'[25]AFA-E_ANTC'!$A$5:$A$48,0),MATCH(O$5,'[25]AFA-E_ANTC'!$J$3:$O$3,0)),"")</f>
        <v>2.8637041139474666E-2</v>
      </c>
      <c r="P42" s="274">
        <f>IFERROR(INDEX('[25]AFA-E_ANTC'!$P$5:$P$48,MATCH($B42,'[25]AFA-E_ANTC'!$A$5:$A$48,0)),"")</f>
        <v>0.06</v>
      </c>
      <c r="Q42" s="276">
        <f>IFERROR(INDEX('[25]RESID-E_ANTC'!$M$5:$T$48,MATCH($B42,'[25]RESID-E_ANTC'!$A$5:$A$48,0),MATCH(Q$5,'[25]RESID-E_ANTC'!$M$3:$T$3,0)),"")</f>
        <v>25.1952522652347</v>
      </c>
      <c r="R42" s="276">
        <f>IFERROR(INDEX('[25]RESID-E_ANTC'!$M$5:$T$48,MATCH($B42,'[25]RESID-E_ANTC'!$A$5:$A$48,0),MATCH(R$5,'[25]RESID-E_ANTC'!$M$3:$T$3,0)),"")</f>
        <v>23.083651962362801</v>
      </c>
      <c r="S42" s="276">
        <f>IFERROR(INDEX('[25]RESID-E_ANTC'!$M$5:$T$48,MATCH($B42,'[25]RESID-E_ANTC'!$A$5:$A$48,0),MATCH(S$5,'[25]RESID-E_ANTC'!$M$3:$T$3,0)),"")</f>
        <v>15.5161252325553</v>
      </c>
      <c r="T42" s="276">
        <f>IFERROR(INDEX('[25]RESID-E_ANTC'!$M$5:$T$48,MATCH($B42,'[25]RESID-E_ANTC'!$A$5:$A$48,0),MATCH(T$5,'[25]RESID-E_ANTC'!$M$3:$T$3,0)),"")</f>
        <v>0</v>
      </c>
      <c r="U42" s="276">
        <f>IFERROR(INDEX('[25]RESID-E_ANTC'!$M$5:$T$48,MATCH($B42,'[25]RESID-E_ANTC'!$A$5:$A$48,0),MATCH(U$5,'[25]RESID-E_ANTC'!$M$3:$T$3,0)),"")</f>
        <v>0</v>
      </c>
      <c r="V42" s="279"/>
      <c r="W42" s="279"/>
    </row>
    <row r="43" spans="2:23">
      <c r="B43" s="270" t="str">
        <f>IF([25]ITEMS_Tech_E!D43="","",[25]ITEMS_Tech_E!D43)</f>
        <v>*</v>
      </c>
      <c r="C43" s="271" t="str">
        <f>IF([25]ITEMS_Tech_E!E43="","",[25]ITEMS_Tech_E!E43)</f>
        <v>Light Commercial Vehicles</v>
      </c>
      <c r="D43" s="272"/>
      <c r="E43" s="272"/>
      <c r="F43" s="278">
        <f>IFERROR(INDEX('[25]EFF-E_ANTC'!$C$4:$H$47,MATCH($B43,'[25]EFF-E_ANTC'!$A$4:$A$47,0),MATCH(F$5,'[25]EFF-E_ANTC'!$C$3:$H$3,0)),"")</f>
        <v>6.4348339348895098E-2</v>
      </c>
      <c r="G43" s="278">
        <f>IFERROR(INDEX('[25]EFF-E_ANTC'!$C$4:$H$47,MATCH($B43,'[25]EFF-E_ANTC'!$A$4:$A$47,0),MATCH(G$5,'[25]EFF-E_ANTC'!$C$3:$H$3,0)),"")</f>
        <v>6.4532835825940396E-2</v>
      </c>
      <c r="H43" s="278">
        <f>IFERROR(INDEX('[25]EFF-E_ANTC'!$C$4:$H$47,MATCH($B43,'[25]EFF-E_ANTC'!$A$4:$A$47,0),MATCH(H$5,'[25]EFF-E_ANTC'!$C$3:$H$3,0)),"")</f>
        <v>6.5227894002483106E-2</v>
      </c>
      <c r="I43" s="278">
        <f>IFERROR(INDEX('[25]EFF-E_ANTC'!$C$4:$H$47,MATCH($B43,'[25]EFF-E_ANTC'!$A$4:$A$47,0),MATCH(I$5,'[25]EFF-E_ANTC'!$C$3:$H$3,0)),"")</f>
        <v>6.6011283101863896E-2</v>
      </c>
      <c r="J43" s="278">
        <f>IFERROR(INDEX('[25]EFF-E_ANTC'!$C$4:$H$47,MATCH($B43,'[25]EFF-E_ANTC'!$A$4:$A$47,0),MATCH(J$5,'[25]EFF-E_ANTC'!$C$3:$H$3,0)),"")</f>
        <v>6.6777008175099004E-2</v>
      </c>
      <c r="K43" s="274">
        <f>IFERROR(INDEX('[25]AFA-E_ANTC'!$J$5:$O$48,MATCH($B43,'[25]AFA-E_ANTC'!$A$5:$A$48,0),MATCH(K$5,'[25]AFA-E_ANTC'!$J$3:$O$3,0)),"")</f>
        <v>0.42532283795650333</v>
      </c>
      <c r="L43" s="274">
        <f>IFERROR(INDEX('[25]AFA-E_ANTC'!$J$5:$O$48,MATCH($B43,'[25]AFA-E_ANTC'!$A$5:$A$48,0),MATCH(L$5,'[25]AFA-E_ANTC'!$J$3:$O$3,0)),"")</f>
        <v>0.33706878442068333</v>
      </c>
      <c r="M43" s="274">
        <f>IFERROR(INDEX('[25]AFA-E_ANTC'!$J$5:$O$48,MATCH($B43,'[25]AFA-E_ANTC'!$A$5:$A$48,0),MATCH(M$5,'[25]AFA-E_ANTC'!$J$3:$O$3,0)),"")</f>
        <v>0.15171434294469499</v>
      </c>
      <c r="N43" s="274">
        <f>IFERROR(INDEX('[25]AFA-E_ANTC'!$J$5:$O$48,MATCH($B43,'[25]AFA-E_ANTC'!$A$5:$A$48,0),MATCH(N$5,'[25]AFA-E_ANTC'!$J$3:$O$3,0)),"")</f>
        <v>6.6477490540613332E-2</v>
      </c>
      <c r="O43" s="274">
        <f>IFERROR(INDEX('[25]AFA-E_ANTC'!$J$5:$O$48,MATCH($B43,'[25]AFA-E_ANTC'!$A$5:$A$48,0),MATCH(O$5,'[25]AFA-E_ANTC'!$J$3:$O$3,0)),"")</f>
        <v>2.8637041139474666E-2</v>
      </c>
      <c r="P43" s="274">
        <f>IFERROR(INDEX('[25]AFA-E_ANTC'!$P$5:$P$48,MATCH($B43,'[25]AFA-E_ANTC'!$A$5:$A$48,0)),"")</f>
        <v>0.06</v>
      </c>
      <c r="Q43" s="276">
        <f>IFERROR(INDEX('[25]RESID-E_ANTC'!$M$5:$T$48,MATCH($B43,'[25]RESID-E_ANTC'!$A$5:$A$48,0),MATCH(Q$5,'[25]RESID-E_ANTC'!$M$3:$T$3,0)),"")</f>
        <v>25.1952522652347</v>
      </c>
      <c r="R43" s="276">
        <f>IFERROR(INDEX('[25]RESID-E_ANTC'!$M$5:$T$48,MATCH($B43,'[25]RESID-E_ANTC'!$A$5:$A$48,0),MATCH(R$5,'[25]RESID-E_ANTC'!$M$3:$T$3,0)),"")</f>
        <v>23.083651962362801</v>
      </c>
      <c r="S43" s="276">
        <f>IFERROR(INDEX('[25]RESID-E_ANTC'!$M$5:$T$48,MATCH($B43,'[25]RESID-E_ANTC'!$A$5:$A$48,0),MATCH(S$5,'[25]RESID-E_ANTC'!$M$3:$T$3,0)),"")</f>
        <v>15.5161252325553</v>
      </c>
      <c r="T43" s="276">
        <f>IFERROR(INDEX('[25]RESID-E_ANTC'!$M$5:$T$48,MATCH($B43,'[25]RESID-E_ANTC'!$A$5:$A$48,0),MATCH(T$5,'[25]RESID-E_ANTC'!$M$3:$T$3,0)),"")</f>
        <v>0</v>
      </c>
      <c r="U43" s="276">
        <f>IFERROR(INDEX('[25]RESID-E_ANTC'!$M$5:$T$48,MATCH($B43,'[25]RESID-E_ANTC'!$A$5:$A$48,0),MATCH(U$5,'[25]RESID-E_ANTC'!$M$3:$T$3,0)),"")</f>
        <v>0</v>
      </c>
      <c r="V43" s="279"/>
      <c r="W43" s="279"/>
    </row>
    <row r="44" spans="2:23">
      <c r="B44" s="270" t="str">
        <f>IF([25]ITEMS_Tech_E!D44="","",[25]ITEMS_Tech_E!D44)</f>
        <v>TFLCVODS-E</v>
      </c>
      <c r="C44" s="271" t="str">
        <f>IF([25]ITEMS_Tech_E!E44="","",[25]ITEMS_Tech_E!E44)</f>
        <v>Transport Freight - LCV Oil Diesel-E</v>
      </c>
      <c r="D44" s="277" t="s">
        <v>741</v>
      </c>
      <c r="E44" s="277" t="s">
        <v>751</v>
      </c>
      <c r="F44" s="278">
        <f>IFERROR(INDEX('[25]EFF-E_ANTC'!$C$4:$H$47,MATCH($B44,'[25]EFF-E_ANTC'!$A$4:$A$47,0),MATCH(F$5,'[25]EFF-E_ANTC'!$C$3:$H$3,0)),"")</f>
        <v>0.23594563867169499</v>
      </c>
      <c r="G44" s="278">
        <f>IFERROR(INDEX('[25]EFF-E_ANTC'!$C$4:$H$47,MATCH($B44,'[25]EFF-E_ANTC'!$A$4:$A$47,0),MATCH(G$5,'[25]EFF-E_ANTC'!$C$3:$H$3,0)),"")</f>
        <v>0.236416891901715</v>
      </c>
      <c r="H44" s="278">
        <f>IFERROR(INDEX('[25]EFF-E_ANTC'!$C$4:$H$47,MATCH($B44,'[25]EFF-E_ANTC'!$A$4:$A$47,0),MATCH(H$5,'[25]EFF-E_ANTC'!$C$3:$H$3,0)),"")</f>
        <v>0.237476755649043</v>
      </c>
      <c r="I44" s="278">
        <f>IFERROR(INDEX('[25]EFF-E_ANTC'!$C$4:$H$47,MATCH($B44,'[25]EFF-E_ANTC'!$A$4:$A$47,0),MATCH(I$5,'[25]EFF-E_ANTC'!$C$3:$H$3,0)),"")</f>
        <v>0.23820734864530901</v>
      </c>
      <c r="J44" s="278">
        <f>IFERROR(INDEX('[25]EFF-E_ANTC'!$C$4:$H$47,MATCH($B44,'[25]EFF-E_ANTC'!$A$4:$A$47,0),MATCH(J$5,'[25]EFF-E_ANTC'!$C$3:$H$3,0)),"")</f>
        <v>0.238773147737598</v>
      </c>
      <c r="K44" s="274">
        <f>IFERROR(INDEX('[25]AFA-E_ANTC'!$J$5:$O$48,MATCH($B44,'[25]AFA-E_ANTC'!$A$5:$A$48,0),MATCH(K$5,'[25]AFA-E_ANTC'!$J$3:$O$3,0)),"")</f>
        <v>0.61072362441792005</v>
      </c>
      <c r="L44" s="274">
        <f>IFERROR(INDEX('[25]AFA-E_ANTC'!$J$5:$O$48,MATCH($B44,'[25]AFA-E_ANTC'!$A$5:$A$48,0),MATCH(L$5,'[25]AFA-E_ANTC'!$J$3:$O$3,0)),"")</f>
        <v>0.49702259134711502</v>
      </c>
      <c r="M44" s="274">
        <f>IFERROR(INDEX('[25]AFA-E_ANTC'!$J$5:$O$48,MATCH($B44,'[25]AFA-E_ANTC'!$A$5:$A$48,0),MATCH(M$5,'[25]AFA-E_ANTC'!$J$3:$O$3,0)),"")</f>
        <v>0.245271759217078</v>
      </c>
      <c r="N44" s="274">
        <f>IFERROR(INDEX('[25]AFA-E_ANTC'!$J$5:$O$48,MATCH($B44,'[25]AFA-E_ANTC'!$A$5:$A$48,0),MATCH(N$5,'[25]AFA-E_ANTC'!$J$3:$O$3,0)),"")</f>
        <v>0.11943096485546</v>
      </c>
      <c r="O44" s="274">
        <f>IFERROR(INDEX('[25]AFA-E_ANTC'!$J$5:$O$48,MATCH($B44,'[25]AFA-E_ANTC'!$A$5:$A$48,0),MATCH(O$5,'[25]AFA-E_ANTC'!$J$3:$O$3,0)),"")</f>
        <v>5.7755469331756251E-2</v>
      </c>
      <c r="P44" s="274">
        <f>IFERROR(INDEX('[25]AFA-E_ANTC'!$P$5:$P$48,MATCH($B44,'[25]AFA-E_ANTC'!$A$5:$A$48,0)),"")</f>
        <v>0.04</v>
      </c>
      <c r="Q44" s="276">
        <f>IFERROR(INDEX('[25]RESID-E_ANTC'!$M$5:$T$48,MATCH($B44,'[25]RESID-E_ANTC'!$A$5:$A$48,0),MATCH(Q$5,'[25]RESID-E_ANTC'!$M$3:$T$3,0)),"")</f>
        <v>1151.5302002553699</v>
      </c>
      <c r="R44" s="276">
        <f>IFERROR(INDEX('[25]RESID-E_ANTC'!$M$5:$T$48,MATCH($B44,'[25]RESID-E_ANTC'!$A$5:$A$48,0),MATCH(R$5,'[25]RESID-E_ANTC'!$M$3:$T$3,0)),"")</f>
        <v>1024.6176041897099</v>
      </c>
      <c r="S44" s="276">
        <f>IFERROR(INDEX('[25]RESID-E_ANTC'!$M$5:$T$48,MATCH($B44,'[25]RESID-E_ANTC'!$A$5:$A$48,0),MATCH(S$5,'[25]RESID-E_ANTC'!$M$3:$T$3,0)),"")</f>
        <v>609.23289367381597</v>
      </c>
      <c r="T44" s="276">
        <f>IFERROR(INDEX('[25]RESID-E_ANTC'!$M$5:$T$48,MATCH($B44,'[25]RESID-E_ANTC'!$A$5:$A$48,0),MATCH(T$5,'[25]RESID-E_ANTC'!$M$3:$T$3,0)),"")</f>
        <v>0</v>
      </c>
      <c r="U44" s="276">
        <f>IFERROR(INDEX('[25]RESID-E_ANTC'!$M$5:$T$48,MATCH($B44,'[25]RESID-E_ANTC'!$A$5:$A$48,0),MATCH(U$5,'[25]RESID-E_ANTC'!$M$3:$T$3,0)),"")</f>
        <v>0</v>
      </c>
      <c r="V44" s="279">
        <v>3</v>
      </c>
      <c r="W44" s="279">
        <v>0</v>
      </c>
    </row>
    <row r="45" spans="2:23">
      <c r="B45" s="270" t="str">
        <f>IF([25]ITEMS_Tech_E!D45="","",[25]ITEMS_Tech_E!D45)</f>
        <v>TFLCVOGS-E</v>
      </c>
      <c r="C45" s="271" t="str">
        <f>IF([25]ITEMS_Tech_E!E45="","",[25]ITEMS_Tech_E!E45)</f>
        <v>Transport Freight - LCV Oil Gasoline-E</v>
      </c>
      <c r="D45" s="277" t="s">
        <v>743</v>
      </c>
      <c r="E45" s="277" t="s">
        <v>751</v>
      </c>
      <c r="F45" s="278">
        <f>IFERROR(INDEX('[25]EFF-E_ANTC'!$C$4:$H$47,MATCH($B45,'[25]EFF-E_ANTC'!$A$4:$A$47,0),MATCH(F$5,'[25]EFF-E_ANTC'!$C$3:$H$3,0)),"")</f>
        <v>0.206254237709705</v>
      </c>
      <c r="G45" s="278">
        <f>IFERROR(INDEX('[25]EFF-E_ANTC'!$C$4:$H$47,MATCH($B45,'[25]EFF-E_ANTC'!$A$4:$A$47,0),MATCH(G$5,'[25]EFF-E_ANTC'!$C$3:$H$3,0)),"")</f>
        <v>0.206726097108171</v>
      </c>
      <c r="H45" s="278">
        <f>IFERROR(INDEX('[25]EFF-E_ANTC'!$C$4:$H$47,MATCH($B45,'[25]EFF-E_ANTC'!$A$4:$A$47,0),MATCH(H$5,'[25]EFF-E_ANTC'!$C$3:$H$3,0)),"")</f>
        <v>0.20785170508495199</v>
      </c>
      <c r="I45" s="278">
        <f>IFERROR(INDEX('[25]EFF-E_ANTC'!$C$4:$H$47,MATCH($B45,'[25]EFF-E_ANTC'!$A$4:$A$47,0),MATCH(I$5,'[25]EFF-E_ANTC'!$C$3:$H$3,0)),"")</f>
        <v>0.20866460609364401</v>
      </c>
      <c r="J45" s="278">
        <f>IFERROR(INDEX('[25]EFF-E_ANTC'!$C$4:$H$47,MATCH($B45,'[25]EFF-E_ANTC'!$A$4:$A$47,0),MATCH(J$5,'[25]EFF-E_ANTC'!$C$3:$H$3,0)),"")</f>
        <v>0.209312603622752</v>
      </c>
      <c r="K45" s="274">
        <f>IFERROR(INDEX('[25]AFA-E_ANTC'!$J$5:$O$48,MATCH($B45,'[25]AFA-E_ANTC'!$A$5:$A$48,0),MATCH(K$5,'[25]AFA-E_ANTC'!$J$3:$O$3,0)),"")</f>
        <v>0.42864819562748002</v>
      </c>
      <c r="L45" s="274">
        <f>IFERROR(INDEX('[25]AFA-E_ANTC'!$J$5:$O$48,MATCH($B45,'[25]AFA-E_ANTC'!$A$5:$A$48,0),MATCH(L$5,'[25]AFA-E_ANTC'!$J$3:$O$3,0)),"")</f>
        <v>0.35290243326157716</v>
      </c>
      <c r="M45" s="274">
        <f>IFERROR(INDEX('[25]AFA-E_ANTC'!$J$5:$O$48,MATCH($B45,'[25]AFA-E_ANTC'!$A$5:$A$48,0),MATCH(M$5,'[25]AFA-E_ANTC'!$J$3:$O$3,0)),"")</f>
        <v>0.18153971605538344</v>
      </c>
      <c r="N45" s="274">
        <f>IFERROR(INDEX('[25]AFA-E_ANTC'!$J$5:$O$48,MATCH($B45,'[25]AFA-E_ANTC'!$A$5:$A$48,0),MATCH(N$5,'[25]AFA-E_ANTC'!$J$3:$O$3,0)),"")</f>
        <v>9.2245263435742852E-2</v>
      </c>
      <c r="O45" s="274">
        <f>IFERROR(INDEX('[25]AFA-E_ANTC'!$J$5:$O$48,MATCH($B45,'[25]AFA-E_ANTC'!$A$5:$A$48,0),MATCH(O$5,'[25]AFA-E_ANTC'!$J$3:$O$3,0)),"")</f>
        <v>4.6556841701712572E-2</v>
      </c>
      <c r="P45" s="274">
        <f>IFERROR(INDEX('[25]AFA-E_ANTC'!$P$5:$P$48,MATCH($B45,'[25]AFA-E_ANTC'!$A$5:$A$48,0)),"")</f>
        <v>3.4999999999999996E-2</v>
      </c>
      <c r="Q45" s="276">
        <f>IFERROR(INDEX('[25]RESID-E_ANTC'!$M$5:$T$48,MATCH($B45,'[25]RESID-E_ANTC'!$A$5:$A$48,0),MATCH(Q$5,'[25]RESID-E_ANTC'!$M$3:$T$3,0)),"")</f>
        <v>1296.7112413349801</v>
      </c>
      <c r="R45" s="276">
        <f>IFERROR(INDEX('[25]RESID-E_ANTC'!$M$5:$T$48,MATCH($B45,'[25]RESID-E_ANTC'!$A$5:$A$48,0),MATCH(R$5,'[25]RESID-E_ANTC'!$M$3:$T$3,0)),"")</f>
        <v>1149.83638939547</v>
      </c>
      <c r="S45" s="276">
        <f>IFERROR(INDEX('[25]RESID-E_ANTC'!$M$5:$T$48,MATCH($B45,'[25]RESID-E_ANTC'!$A$5:$A$48,0),MATCH(S$5,'[25]RESID-E_ANTC'!$M$3:$T$3,0)),"")</f>
        <v>721.33104862899097</v>
      </c>
      <c r="T45" s="276">
        <f>IFERROR(INDEX('[25]RESID-E_ANTC'!$M$5:$T$48,MATCH($B45,'[25]RESID-E_ANTC'!$A$5:$A$48,0),MATCH(T$5,'[25]RESID-E_ANTC'!$M$3:$T$3,0)),"")</f>
        <v>0</v>
      </c>
      <c r="U45" s="276">
        <f>IFERROR(INDEX('[25]RESID-E_ANTC'!$M$5:$T$48,MATCH($B45,'[25]RESID-E_ANTC'!$A$5:$A$48,0),MATCH(U$5,'[25]RESID-E_ANTC'!$M$3:$T$3,0)),"")</f>
        <v>0</v>
      </c>
      <c r="V45" s="279">
        <v>3</v>
      </c>
      <c r="W45" s="279">
        <v>0</v>
      </c>
    </row>
    <row r="46" spans="2:23">
      <c r="B46" s="270" t="str">
        <f>IF([25]ITEMS_Tech_E!D46="","",[25]ITEMS_Tech_E!D46)</f>
        <v>TFLCVGAS-E</v>
      </c>
      <c r="C46" s="271" t="str">
        <f>IF([25]ITEMS_Tech_E!E46="","",[25]ITEMS_Tech_E!E46)</f>
        <v>Transport Freight - LCV Gas-E</v>
      </c>
      <c r="D46" s="277" t="s">
        <v>745</v>
      </c>
      <c r="E46" s="277" t="s">
        <v>751</v>
      </c>
      <c r="F46" s="278">
        <f>IFERROR(INDEX('[25]EFF-E_ANTC'!$C$4:$H$47,MATCH($B46,'[25]EFF-E_ANTC'!$A$4:$A$47,0),MATCH(F$5,'[25]EFF-E_ANTC'!$C$3:$H$3,0)),"")</f>
        <v>0.21887575620523803</v>
      </c>
      <c r="G46" s="278">
        <f>IFERROR(INDEX('[25]EFF-E_ANTC'!$C$4:$H$47,MATCH($B46,'[25]EFF-E_ANTC'!$A$4:$A$47,0),MATCH(G$5,'[25]EFF-E_ANTC'!$C$3:$H$3,0)),"")</f>
        <v>0.21887575620523803</v>
      </c>
      <c r="H46" s="278">
        <f>IFERROR(INDEX('[25]EFF-E_ANTC'!$C$4:$H$47,MATCH($B46,'[25]EFF-E_ANTC'!$A$4:$A$47,0),MATCH(H$5,'[25]EFF-E_ANTC'!$C$3:$H$3,0)),"")</f>
        <v>0.21887575620523803</v>
      </c>
      <c r="I46" s="278">
        <f>IFERROR(INDEX('[25]EFF-E_ANTC'!$C$4:$H$47,MATCH($B46,'[25]EFF-E_ANTC'!$A$4:$A$47,0),MATCH(I$5,'[25]EFF-E_ANTC'!$C$3:$H$3,0)),"")</f>
        <v>0.21887575620523803</v>
      </c>
      <c r="J46" s="278">
        <f>IFERROR(INDEX('[25]EFF-E_ANTC'!$C$4:$H$47,MATCH($B46,'[25]EFF-E_ANTC'!$A$4:$A$47,0),MATCH(J$5,'[25]EFF-E_ANTC'!$C$3:$H$3,0)),"")</f>
        <v>0.21887575620523803</v>
      </c>
      <c r="K46" s="274">
        <f>IFERROR(INDEX('[25]AFA-E_ANTC'!$J$5:$O$48,MATCH($B46,'[25]AFA-E_ANTC'!$A$5:$A$48,0),MATCH(K$5,'[25]AFA-E_ANTC'!$J$3:$O$3,0)),"")</f>
        <v>0</v>
      </c>
      <c r="L46" s="274">
        <f>IFERROR(INDEX('[25]AFA-E_ANTC'!$J$5:$O$48,MATCH($B46,'[25]AFA-E_ANTC'!$A$5:$A$48,0),MATCH(L$5,'[25]AFA-E_ANTC'!$J$3:$O$3,0)),"")</f>
        <v>0.72724824852912129</v>
      </c>
      <c r="M46" s="274">
        <f>IFERROR(INDEX('[25]AFA-E_ANTC'!$J$5:$O$48,MATCH($B46,'[25]AFA-E_ANTC'!$A$5:$A$48,0),MATCH(M$5,'[25]AFA-E_ANTC'!$J$3:$O$3,0)),"")</f>
        <v>0.3741103151926779</v>
      </c>
      <c r="N46" s="274">
        <f>IFERROR(INDEX('[25]AFA-E_ANTC'!$J$5:$O$48,MATCH($B46,'[25]AFA-E_ANTC'!$A$5:$A$48,0),MATCH(N$5,'[25]AFA-E_ANTC'!$J$3:$O$3,0)),"")</f>
        <v>0.19009561835190497</v>
      </c>
      <c r="O46" s="274">
        <f>IFERROR(INDEX('[25]AFA-E_ANTC'!$J$5:$O$48,MATCH($B46,'[25]AFA-E_ANTC'!$A$5:$A$48,0),MATCH(O$5,'[25]AFA-E_ANTC'!$J$3:$O$3,0)),"")</f>
        <v>9.5942613009759634E-2</v>
      </c>
      <c r="P46" s="274">
        <f>IFERROR(INDEX('[25]AFA-E_ANTC'!$P$5:$P$48,MATCH($B46,'[25]AFA-E_ANTC'!$A$5:$A$48,0)),"")</f>
        <v>1.6984001252854999E-2</v>
      </c>
      <c r="Q46" s="276">
        <f>IFERROR(INDEX('[25]RESID-E_ANTC'!$M$5:$T$48,MATCH($B46,'[25]RESID-E_ANTC'!$A$5:$A$48,0),MATCH(Q$5,'[25]RESID-E_ANTC'!$M$3:$T$3,0)),"")</f>
        <v>12.967112413349801</v>
      </c>
      <c r="R46" s="276">
        <f>IFERROR(INDEX('[25]RESID-E_ANTC'!$M$5:$T$48,MATCH($B46,'[25]RESID-E_ANTC'!$A$5:$A$48,0),MATCH(R$5,'[25]RESID-E_ANTC'!$M$3:$T$3,0)),"")</f>
        <v>11.4983638939547</v>
      </c>
      <c r="S46" s="276">
        <f>IFERROR(INDEX('[25]RESID-E_ANTC'!$M$5:$T$48,MATCH($B46,'[25]RESID-E_ANTC'!$A$5:$A$48,0),MATCH(S$5,'[25]RESID-E_ANTC'!$M$3:$T$3,0)),"")</f>
        <v>7.2133104862899096</v>
      </c>
      <c r="T46" s="276">
        <f>IFERROR(INDEX('[25]RESID-E_ANTC'!$M$5:$T$48,MATCH($B46,'[25]RESID-E_ANTC'!$A$5:$A$48,0),MATCH(T$5,'[25]RESID-E_ANTC'!$M$3:$T$3,0)),"")</f>
        <v>0</v>
      </c>
      <c r="U46" s="276">
        <f>IFERROR(INDEX('[25]RESID-E_ANTC'!$M$5:$T$48,MATCH($B46,'[25]RESID-E_ANTC'!$A$5:$A$48,0),MATCH(U$5,'[25]RESID-E_ANTC'!$M$3:$T$3,0)),"")</f>
        <v>0</v>
      </c>
      <c r="V46" s="279">
        <v>3</v>
      </c>
      <c r="W46" s="279">
        <v>0</v>
      </c>
    </row>
    <row r="47" spans="2:23">
      <c r="B47" s="270" t="str">
        <f>IF([25]ITEMS_Tech_E!D47="","",[25]ITEMS_Tech_E!D47)</f>
        <v>*</v>
      </c>
      <c r="C47" s="271" t="str">
        <f>IF([25]ITEMS_Tech_E!E47="","",[25]ITEMS_Tech_E!E47)</f>
        <v/>
      </c>
      <c r="D47" s="272"/>
      <c r="E47" s="272"/>
      <c r="F47" s="278">
        <f>IFERROR(INDEX('[25]EFF-E_ANTC'!$C$4:$H$47,MATCH($B47,'[25]EFF-E_ANTC'!$A$4:$A$47,0),MATCH(F$5,'[25]EFF-E_ANTC'!$C$3:$H$3,0)),"")</f>
        <v>6.4348339348895098E-2</v>
      </c>
      <c r="G47" s="278">
        <f>IFERROR(INDEX('[25]EFF-E_ANTC'!$C$4:$H$47,MATCH($B47,'[25]EFF-E_ANTC'!$A$4:$A$47,0),MATCH(G$5,'[25]EFF-E_ANTC'!$C$3:$H$3,0)),"")</f>
        <v>6.4532835825940396E-2</v>
      </c>
      <c r="H47" s="278">
        <f>IFERROR(INDEX('[25]EFF-E_ANTC'!$C$4:$H$47,MATCH($B47,'[25]EFF-E_ANTC'!$A$4:$A$47,0),MATCH(H$5,'[25]EFF-E_ANTC'!$C$3:$H$3,0)),"")</f>
        <v>6.5227894002483106E-2</v>
      </c>
      <c r="I47" s="278">
        <f>IFERROR(INDEX('[25]EFF-E_ANTC'!$C$4:$H$47,MATCH($B47,'[25]EFF-E_ANTC'!$A$4:$A$47,0),MATCH(I$5,'[25]EFF-E_ANTC'!$C$3:$H$3,0)),"")</f>
        <v>6.6011283101863896E-2</v>
      </c>
      <c r="J47" s="278">
        <f>IFERROR(INDEX('[25]EFF-E_ANTC'!$C$4:$H$47,MATCH($B47,'[25]EFF-E_ANTC'!$A$4:$A$47,0),MATCH(J$5,'[25]EFF-E_ANTC'!$C$3:$H$3,0)),"")</f>
        <v>6.6777008175099004E-2</v>
      </c>
      <c r="K47" s="274">
        <f>IFERROR(INDEX('[25]AFA-E_ANTC'!$J$5:$O$48,MATCH($B47,'[25]AFA-E_ANTC'!$A$5:$A$48,0),MATCH(K$5,'[25]AFA-E_ANTC'!$J$3:$O$3,0)),"")</f>
        <v>0.42532283795650333</v>
      </c>
      <c r="L47" s="274">
        <f>IFERROR(INDEX('[25]AFA-E_ANTC'!$J$5:$O$48,MATCH($B47,'[25]AFA-E_ANTC'!$A$5:$A$48,0),MATCH(L$5,'[25]AFA-E_ANTC'!$J$3:$O$3,0)),"")</f>
        <v>0.33706878442068333</v>
      </c>
      <c r="M47" s="274">
        <f>IFERROR(INDEX('[25]AFA-E_ANTC'!$J$5:$O$48,MATCH($B47,'[25]AFA-E_ANTC'!$A$5:$A$48,0),MATCH(M$5,'[25]AFA-E_ANTC'!$J$3:$O$3,0)),"")</f>
        <v>0.15171434294469499</v>
      </c>
      <c r="N47" s="274">
        <f>IFERROR(INDEX('[25]AFA-E_ANTC'!$J$5:$O$48,MATCH($B47,'[25]AFA-E_ANTC'!$A$5:$A$48,0),MATCH(N$5,'[25]AFA-E_ANTC'!$J$3:$O$3,0)),"")</f>
        <v>6.6477490540613332E-2</v>
      </c>
      <c r="O47" s="274">
        <f>IFERROR(INDEX('[25]AFA-E_ANTC'!$J$5:$O$48,MATCH($B47,'[25]AFA-E_ANTC'!$A$5:$A$48,0),MATCH(O$5,'[25]AFA-E_ANTC'!$J$3:$O$3,0)),"")</f>
        <v>2.8637041139474666E-2</v>
      </c>
      <c r="P47" s="274">
        <f>IFERROR(INDEX('[25]AFA-E_ANTC'!$P$5:$P$48,MATCH($B47,'[25]AFA-E_ANTC'!$A$5:$A$48,0)),"")</f>
        <v>0.06</v>
      </c>
      <c r="Q47" s="276">
        <f>IFERROR(INDEX('[25]RESID-E_ANTC'!$M$5:$T$48,MATCH($B47,'[25]RESID-E_ANTC'!$A$5:$A$48,0),MATCH(Q$5,'[25]RESID-E_ANTC'!$M$3:$T$3,0)),"")</f>
        <v>25.1952522652347</v>
      </c>
      <c r="R47" s="276">
        <f>IFERROR(INDEX('[25]RESID-E_ANTC'!$M$5:$T$48,MATCH($B47,'[25]RESID-E_ANTC'!$A$5:$A$48,0),MATCH(R$5,'[25]RESID-E_ANTC'!$M$3:$T$3,0)),"")</f>
        <v>23.083651962362801</v>
      </c>
      <c r="S47" s="276">
        <f>IFERROR(INDEX('[25]RESID-E_ANTC'!$M$5:$T$48,MATCH($B47,'[25]RESID-E_ANTC'!$A$5:$A$48,0),MATCH(S$5,'[25]RESID-E_ANTC'!$M$3:$T$3,0)),"")</f>
        <v>15.5161252325553</v>
      </c>
      <c r="T47" s="276">
        <f>IFERROR(INDEX('[25]RESID-E_ANTC'!$M$5:$T$48,MATCH($B47,'[25]RESID-E_ANTC'!$A$5:$A$48,0),MATCH(T$5,'[25]RESID-E_ANTC'!$M$3:$T$3,0)),"")</f>
        <v>0</v>
      </c>
      <c r="U47" s="276">
        <f>IFERROR(INDEX('[25]RESID-E_ANTC'!$M$5:$T$48,MATCH($B47,'[25]RESID-E_ANTC'!$A$5:$A$48,0),MATCH(U$5,'[25]RESID-E_ANTC'!$M$3:$T$3,0)),"")</f>
        <v>0</v>
      </c>
      <c r="V47" s="279"/>
      <c r="W47" s="279"/>
    </row>
    <row r="48" spans="2:23">
      <c r="B48" s="270" t="str">
        <f>IF([25]ITEMS_Tech_E!D48="","",[25]ITEMS_Tech_E!D48)</f>
        <v>*</v>
      </c>
      <c r="C48" s="271" t="str">
        <f>IF([25]ITEMS_Tech_E!E48="","",[25]ITEMS_Tech_E!E48)</f>
        <v>Heavy Commercial Vehicles</v>
      </c>
      <c r="D48" s="272"/>
      <c r="E48" s="272"/>
      <c r="F48" s="278">
        <f>IFERROR(INDEX('[25]EFF-E_ANTC'!$C$4:$H$47,MATCH($B48,'[25]EFF-E_ANTC'!$A$4:$A$47,0),MATCH(F$5,'[25]EFF-E_ANTC'!$C$3:$H$3,0)),"")</f>
        <v>6.4348339348895098E-2</v>
      </c>
      <c r="G48" s="278">
        <f>IFERROR(INDEX('[25]EFF-E_ANTC'!$C$4:$H$47,MATCH($B48,'[25]EFF-E_ANTC'!$A$4:$A$47,0),MATCH(G$5,'[25]EFF-E_ANTC'!$C$3:$H$3,0)),"")</f>
        <v>6.4532835825940396E-2</v>
      </c>
      <c r="H48" s="278">
        <f>IFERROR(INDEX('[25]EFF-E_ANTC'!$C$4:$H$47,MATCH($B48,'[25]EFF-E_ANTC'!$A$4:$A$47,0),MATCH(H$5,'[25]EFF-E_ANTC'!$C$3:$H$3,0)),"")</f>
        <v>6.5227894002483106E-2</v>
      </c>
      <c r="I48" s="278">
        <f>IFERROR(INDEX('[25]EFF-E_ANTC'!$C$4:$H$47,MATCH($B48,'[25]EFF-E_ANTC'!$A$4:$A$47,0),MATCH(I$5,'[25]EFF-E_ANTC'!$C$3:$H$3,0)),"")</f>
        <v>6.6011283101863896E-2</v>
      </c>
      <c r="J48" s="278">
        <f>IFERROR(INDEX('[25]EFF-E_ANTC'!$C$4:$H$47,MATCH($B48,'[25]EFF-E_ANTC'!$A$4:$A$47,0),MATCH(J$5,'[25]EFF-E_ANTC'!$C$3:$H$3,0)),"")</f>
        <v>6.6777008175099004E-2</v>
      </c>
      <c r="K48" s="274">
        <f>IFERROR(INDEX('[25]AFA-E_ANTC'!$J$5:$O$48,MATCH($B48,'[25]AFA-E_ANTC'!$A$5:$A$48,0),MATCH(K$5,'[25]AFA-E_ANTC'!$J$3:$O$3,0)),"")</f>
        <v>0.42532283795650333</v>
      </c>
      <c r="L48" s="274">
        <f>IFERROR(INDEX('[25]AFA-E_ANTC'!$J$5:$O$48,MATCH($B48,'[25]AFA-E_ANTC'!$A$5:$A$48,0),MATCH(L$5,'[25]AFA-E_ANTC'!$J$3:$O$3,0)),"")</f>
        <v>0.33706878442068333</v>
      </c>
      <c r="M48" s="274">
        <f>IFERROR(INDEX('[25]AFA-E_ANTC'!$J$5:$O$48,MATCH($B48,'[25]AFA-E_ANTC'!$A$5:$A$48,0),MATCH(M$5,'[25]AFA-E_ANTC'!$J$3:$O$3,0)),"")</f>
        <v>0.15171434294469499</v>
      </c>
      <c r="N48" s="274">
        <f>IFERROR(INDEX('[25]AFA-E_ANTC'!$J$5:$O$48,MATCH($B48,'[25]AFA-E_ANTC'!$A$5:$A$48,0),MATCH(N$5,'[25]AFA-E_ANTC'!$J$3:$O$3,0)),"")</f>
        <v>6.6477490540613332E-2</v>
      </c>
      <c r="O48" s="274">
        <f>IFERROR(INDEX('[25]AFA-E_ANTC'!$J$5:$O$48,MATCH($B48,'[25]AFA-E_ANTC'!$A$5:$A$48,0),MATCH(O$5,'[25]AFA-E_ANTC'!$J$3:$O$3,0)),"")</f>
        <v>2.8637041139474666E-2</v>
      </c>
      <c r="P48" s="274">
        <f>IFERROR(INDEX('[25]AFA-E_ANTC'!$P$5:$P$48,MATCH($B48,'[25]AFA-E_ANTC'!$A$5:$A$48,0)),"")</f>
        <v>0.06</v>
      </c>
      <c r="Q48" s="276">
        <f>IFERROR(INDEX('[25]RESID-E_ANTC'!$M$5:$T$48,MATCH($B48,'[25]RESID-E_ANTC'!$A$5:$A$48,0),MATCH(Q$5,'[25]RESID-E_ANTC'!$M$3:$T$3,0)),"")</f>
        <v>25.1952522652347</v>
      </c>
      <c r="R48" s="276">
        <f>IFERROR(INDEX('[25]RESID-E_ANTC'!$M$5:$T$48,MATCH($B48,'[25]RESID-E_ANTC'!$A$5:$A$48,0),MATCH(R$5,'[25]RESID-E_ANTC'!$M$3:$T$3,0)),"")</f>
        <v>23.083651962362801</v>
      </c>
      <c r="S48" s="276">
        <f>IFERROR(INDEX('[25]RESID-E_ANTC'!$M$5:$T$48,MATCH($B48,'[25]RESID-E_ANTC'!$A$5:$A$48,0),MATCH(S$5,'[25]RESID-E_ANTC'!$M$3:$T$3,0)),"")</f>
        <v>15.5161252325553</v>
      </c>
      <c r="T48" s="276">
        <f>IFERROR(INDEX('[25]RESID-E_ANTC'!$M$5:$T$48,MATCH($B48,'[25]RESID-E_ANTC'!$A$5:$A$48,0),MATCH(T$5,'[25]RESID-E_ANTC'!$M$3:$T$3,0)),"")</f>
        <v>0</v>
      </c>
      <c r="U48" s="276">
        <f>IFERROR(INDEX('[25]RESID-E_ANTC'!$M$5:$T$48,MATCH($B48,'[25]RESID-E_ANTC'!$A$5:$A$48,0),MATCH(U$5,'[25]RESID-E_ANTC'!$M$3:$T$3,0)),"")</f>
        <v>0</v>
      </c>
      <c r="V48" s="279"/>
      <c r="W48" s="279"/>
    </row>
    <row r="49" spans="2:23">
      <c r="B49" s="270" t="str">
        <f>IF([25]ITEMS_Tech_E!D49="","",[25]ITEMS_Tech_E!D49)</f>
        <v>TFHCV1ODS-E</v>
      </c>
      <c r="C49" s="271" t="str">
        <f>IF([25]ITEMS_Tech_E!E49="","",[25]ITEMS_Tech_E!E49)</f>
        <v>Transport Freight - HCV1 Oil Diesel-E</v>
      </c>
      <c r="D49" s="277" t="s">
        <v>741</v>
      </c>
      <c r="E49" s="277" t="s">
        <v>752</v>
      </c>
      <c r="F49" s="278">
        <f>IFERROR(INDEX('[25]EFF-E_ANTC'!$C$4:$H$47,MATCH($B49,'[25]EFF-E_ANTC'!$A$4:$A$47,0),MATCH(F$5,'[25]EFF-E_ANTC'!$C$3:$H$3,0)),"")</f>
        <v>0.170324176066042</v>
      </c>
      <c r="G49" s="278">
        <f>IFERROR(INDEX('[25]EFF-E_ANTC'!$C$4:$H$47,MATCH($B49,'[25]EFF-E_ANTC'!$A$4:$A$47,0),MATCH(G$5,'[25]EFF-E_ANTC'!$C$3:$H$3,0)),"")</f>
        <v>0.17019984843924499</v>
      </c>
      <c r="H49" s="278">
        <f>IFERROR(INDEX('[25]EFF-E_ANTC'!$C$4:$H$47,MATCH($B49,'[25]EFF-E_ANTC'!$A$4:$A$47,0),MATCH(H$5,'[25]EFF-E_ANTC'!$C$3:$H$3,0)),"")</f>
        <v>0.17409813013726</v>
      </c>
      <c r="I49" s="278">
        <f>IFERROR(INDEX('[25]EFF-E_ANTC'!$C$4:$H$47,MATCH($B49,'[25]EFF-E_ANTC'!$A$4:$A$47,0),MATCH(I$5,'[25]EFF-E_ANTC'!$C$3:$H$3,0)),"")</f>
        <v>0.17789366131389001</v>
      </c>
      <c r="J49" s="278">
        <f>IFERROR(INDEX('[25]EFF-E_ANTC'!$C$4:$H$47,MATCH($B49,'[25]EFF-E_ANTC'!$A$4:$A$47,0),MATCH(J$5,'[25]EFF-E_ANTC'!$C$3:$H$3,0)),"")</f>
        <v>0.18082625096775001</v>
      </c>
      <c r="K49" s="274">
        <f>IFERROR(INDEX('[25]AFA-E_ANTC'!$J$5:$O$48,MATCH($B49,'[25]AFA-E_ANTC'!$A$5:$A$48,0),MATCH(K$5,'[25]AFA-E_ANTC'!$J$3:$O$3,0)),"")</f>
        <v>0.52132555079955811</v>
      </c>
      <c r="L49" s="274">
        <f>IFERROR(INDEX('[25]AFA-E_ANTC'!$J$5:$O$48,MATCH($B49,'[25]AFA-E_ANTC'!$A$5:$A$48,0),MATCH(L$5,'[25]AFA-E_ANTC'!$J$3:$O$3,0)),"")</f>
        <v>0.40159996318135815</v>
      </c>
      <c r="M49" s="274">
        <f>IFERROR(INDEX('[25]AFA-E_ANTC'!$J$5:$O$48,MATCH($B49,'[25]AFA-E_ANTC'!$A$5:$A$48,0),MATCH(M$5,'[25]AFA-E_ANTC'!$J$3:$O$3,0)),"")</f>
        <v>0.19583030977494909</v>
      </c>
      <c r="N49" s="274">
        <f>IFERROR(INDEX('[25]AFA-E_ANTC'!$J$5:$O$48,MATCH($B49,'[25]AFA-E_ANTC'!$A$5:$A$48,0),MATCH(N$5,'[25]AFA-E_ANTC'!$J$3:$O$3,0)),"")</f>
        <v>9.3886552828972181E-2</v>
      </c>
      <c r="O49" s="274">
        <f>IFERROR(INDEX('[25]AFA-E_ANTC'!$J$5:$O$48,MATCH($B49,'[25]AFA-E_ANTC'!$A$5:$A$48,0),MATCH(O$5,'[25]AFA-E_ANTC'!$J$3:$O$3,0)),"")</f>
        <v>4.3288169440531814E-2</v>
      </c>
      <c r="P49" s="274">
        <f>IFERROR(INDEX('[25]AFA-E_ANTC'!$P$5:$P$48,MATCH($B49,'[25]AFA-E_ANTC'!$A$5:$A$48,0)),"")</f>
        <v>5.5E-2</v>
      </c>
      <c r="Q49" s="276">
        <f>IFERROR(INDEX('[25]RESID-E_ANTC'!$M$5:$T$48,MATCH($B49,'[25]RESID-E_ANTC'!$A$5:$A$48,0),MATCH(Q$5,'[25]RESID-E_ANTC'!$M$3:$T$3,0)),"")</f>
        <v>126.227705550552</v>
      </c>
      <c r="R49" s="276">
        <f>IFERROR(INDEX('[25]RESID-E_ANTC'!$M$5:$T$48,MATCH($B49,'[25]RESID-E_ANTC'!$A$5:$A$48,0),MATCH(R$5,'[25]RESID-E_ANTC'!$M$3:$T$3,0)),"")</f>
        <v>128.85669585561601</v>
      </c>
      <c r="S49" s="276">
        <f>IFERROR(INDEX('[25]RESID-E_ANTC'!$M$5:$T$48,MATCH($B49,'[25]RESID-E_ANTC'!$A$5:$A$48,0),MATCH(S$5,'[25]RESID-E_ANTC'!$M$3:$T$3,0)),"")</f>
        <v>65.904742901988897</v>
      </c>
      <c r="T49" s="276">
        <f>IFERROR(INDEX('[25]RESID-E_ANTC'!$M$5:$T$48,MATCH($B49,'[25]RESID-E_ANTC'!$A$5:$A$48,0),MATCH(T$5,'[25]RESID-E_ANTC'!$M$3:$T$3,0)),"")</f>
        <v>0</v>
      </c>
      <c r="U49" s="276">
        <f>IFERROR(INDEX('[25]RESID-E_ANTC'!$M$5:$T$48,MATCH($B49,'[25]RESID-E_ANTC'!$A$5:$A$48,0),MATCH(U$5,'[25]RESID-E_ANTC'!$M$3:$T$3,0)),"")</f>
        <v>0</v>
      </c>
      <c r="V49" s="279">
        <v>3</v>
      </c>
      <c r="W49" s="279">
        <v>0</v>
      </c>
    </row>
    <row r="50" spans="2:23">
      <c r="B50" s="270" t="str">
        <f>IF([25]ITEMS_Tech_E!D50="","",[25]ITEMS_Tech_E!D50)</f>
        <v>TFHCV1OGS-E</v>
      </c>
      <c r="C50" s="271" t="str">
        <f>IF([25]ITEMS_Tech_E!E50="","",[25]ITEMS_Tech_E!E50)</f>
        <v>Transport Freight - HCV1 Oil Gasoline-E</v>
      </c>
      <c r="D50" s="277" t="s">
        <v>743</v>
      </c>
      <c r="E50" s="277" t="s">
        <v>752</v>
      </c>
      <c r="F50" s="278">
        <f>IFERROR(INDEX('[25]EFF-E_ANTC'!$C$4:$H$47,MATCH($B50,'[25]EFF-E_ANTC'!$A$4:$A$47,0),MATCH(F$5,'[25]EFF-E_ANTC'!$C$3:$H$3,0)),"")</f>
        <v>0.14896435210389899</v>
      </c>
      <c r="G50" s="278">
        <f>IFERROR(INDEX('[25]EFF-E_ANTC'!$C$4:$H$47,MATCH($B50,'[25]EFF-E_ANTC'!$A$4:$A$47,0),MATCH(G$5,'[25]EFF-E_ANTC'!$C$3:$H$3,0)),"")</f>
        <v>0.152765483769921</v>
      </c>
      <c r="H50" s="278">
        <f>IFERROR(INDEX('[25]EFF-E_ANTC'!$C$4:$H$47,MATCH($B50,'[25]EFF-E_ANTC'!$A$4:$A$47,0),MATCH(H$5,'[25]EFF-E_ANTC'!$C$3:$H$3,0)),"")</f>
        <v>0.16609404654853699</v>
      </c>
      <c r="I50" s="278">
        <f>IFERROR(INDEX('[25]EFF-E_ANTC'!$C$4:$H$47,MATCH($B50,'[25]EFF-E_ANTC'!$A$4:$A$47,0),MATCH(I$5,'[25]EFF-E_ANTC'!$C$3:$H$3,0)),"")</f>
        <v>0.17211134514717899</v>
      </c>
      <c r="J50" s="278">
        <f>IFERROR(INDEX('[25]EFF-E_ANTC'!$C$4:$H$47,MATCH($B50,'[25]EFF-E_ANTC'!$A$4:$A$47,0),MATCH(J$5,'[25]EFF-E_ANTC'!$C$3:$H$3,0)),"")</f>
        <v>0.173986340906439</v>
      </c>
      <c r="K50" s="274">
        <f>IFERROR(INDEX('[25]AFA-E_ANTC'!$J$5:$O$48,MATCH($B50,'[25]AFA-E_ANTC'!$A$5:$A$48,0),MATCH(K$5,'[25]AFA-E_ANTC'!$J$3:$O$3,0)),"")</f>
        <v>0.28714519727711668</v>
      </c>
      <c r="L50" s="274">
        <f>IFERROR(INDEX('[25]AFA-E_ANTC'!$J$5:$O$48,MATCH($B50,'[25]AFA-E_ANTC'!$A$5:$A$48,0),MATCH(L$5,'[25]AFA-E_ANTC'!$J$3:$O$3,0)),"")</f>
        <v>0.26658873343393336</v>
      </c>
      <c r="M50" s="274">
        <f>IFERROR(INDEX('[25]AFA-E_ANTC'!$J$5:$O$48,MATCH($B50,'[25]AFA-E_ANTC'!$A$5:$A$48,0),MATCH(M$5,'[25]AFA-E_ANTC'!$J$3:$O$3,0)),"")</f>
        <v>0.21139702280495623</v>
      </c>
      <c r="N50" s="274">
        <f>IFERROR(INDEX('[25]AFA-E_ANTC'!$J$5:$O$48,MATCH($B50,'[25]AFA-E_ANTC'!$A$5:$A$48,0),MATCH(N$5,'[25]AFA-E_ANTC'!$J$3:$O$3,0)),"")</f>
        <v>0.13721446538439605</v>
      </c>
      <c r="O50" s="274">
        <f>IFERROR(INDEX('[25]AFA-E_ANTC'!$J$5:$O$48,MATCH($B50,'[25]AFA-E_ANTC'!$A$5:$A$48,0),MATCH(O$5,'[25]AFA-E_ANTC'!$J$3:$O$3,0)),"")</f>
        <v>7.793049325921042E-2</v>
      </c>
      <c r="P50" s="274">
        <f>IFERROR(INDEX('[25]AFA-E_ANTC'!$P$5:$P$48,MATCH($B50,'[25]AFA-E_ANTC'!$A$5:$A$48,0)),"")</f>
        <v>4.8000000000000001E-2</v>
      </c>
      <c r="Q50" s="276">
        <f>IFERROR(INDEX('[25]RESID-E_ANTC'!$M$5:$T$48,MATCH($B50,'[25]RESID-E_ANTC'!$A$5:$A$48,0),MATCH(Q$5,'[25]RESID-E_ANTC'!$M$3:$T$3,0)),"")</f>
        <v>2.3335554859995198</v>
      </c>
      <c r="R50" s="276">
        <f>IFERROR(INDEX('[25]RESID-E_ANTC'!$M$5:$T$48,MATCH($B50,'[25]RESID-E_ANTC'!$A$5:$A$48,0),MATCH(R$5,'[25]RESID-E_ANTC'!$M$3:$T$3,0)),"")</f>
        <v>1.87929418014928</v>
      </c>
      <c r="S50" s="276">
        <f>IFERROR(INDEX('[25]RESID-E_ANTC'!$M$5:$T$48,MATCH($B50,'[25]RESID-E_ANTC'!$A$5:$A$48,0),MATCH(S$5,'[25]RESID-E_ANTC'!$M$3:$T$3,0)),"")</f>
        <v>0.35865569412206</v>
      </c>
      <c r="T50" s="276">
        <f>IFERROR(INDEX('[25]RESID-E_ANTC'!$M$5:$T$48,MATCH($B50,'[25]RESID-E_ANTC'!$A$5:$A$48,0),MATCH(T$5,'[25]RESID-E_ANTC'!$M$3:$T$3,0)),"")</f>
        <v>0</v>
      </c>
      <c r="U50" s="276">
        <f>IFERROR(INDEX('[25]RESID-E_ANTC'!$M$5:$T$48,MATCH($B50,'[25]RESID-E_ANTC'!$A$5:$A$48,0),MATCH(U$5,'[25]RESID-E_ANTC'!$M$3:$T$3,0)),"")</f>
        <v>0</v>
      </c>
      <c r="V50" s="279">
        <v>3</v>
      </c>
      <c r="W50" s="279">
        <v>0</v>
      </c>
    </row>
    <row r="51" spans="2:23">
      <c r="B51" s="270" t="str">
        <f>IF([25]ITEMS_Tech_E!D51="","",[25]ITEMS_Tech_E!D51)</f>
        <v>TFHCV2ODS-E</v>
      </c>
      <c r="C51" s="271" t="str">
        <f>IF([25]ITEMS_Tech_E!E51="","",[25]ITEMS_Tech_E!E51)</f>
        <v>Transport Freight - HCV2 Oil Diesel-E</v>
      </c>
      <c r="D51" s="277" t="s">
        <v>741</v>
      </c>
      <c r="E51" s="277" t="s">
        <v>753</v>
      </c>
      <c r="F51" s="278">
        <f>IFERROR(INDEX('[25]EFF-E_ANTC'!$C$4:$H$47,MATCH($B51,'[25]EFF-E_ANTC'!$A$4:$A$47,0),MATCH(F$5,'[25]EFF-E_ANTC'!$C$3:$H$3,0)),"")</f>
        <v>0.13643182834537301</v>
      </c>
      <c r="G51" s="278">
        <f>IFERROR(INDEX('[25]EFF-E_ANTC'!$C$4:$H$47,MATCH($B51,'[25]EFF-E_ANTC'!$A$4:$A$47,0),MATCH(G$5,'[25]EFF-E_ANTC'!$C$3:$H$3,0)),"")</f>
        <v>0.136459139072411</v>
      </c>
      <c r="H51" s="278">
        <f>IFERROR(INDEX('[25]EFF-E_ANTC'!$C$4:$H$47,MATCH($B51,'[25]EFF-E_ANTC'!$A$4:$A$47,0),MATCH(H$5,'[25]EFF-E_ANTC'!$C$3:$H$3,0)),"")</f>
        <v>0.14013799688852099</v>
      </c>
      <c r="I51" s="278">
        <f>IFERROR(INDEX('[25]EFF-E_ANTC'!$C$4:$H$47,MATCH($B51,'[25]EFF-E_ANTC'!$A$4:$A$47,0),MATCH(I$5,'[25]EFF-E_ANTC'!$C$3:$H$3,0)),"")</f>
        <v>0.143519603118716</v>
      </c>
      <c r="J51" s="278">
        <f>IFERROR(INDEX('[25]EFF-E_ANTC'!$C$4:$H$47,MATCH($B51,'[25]EFF-E_ANTC'!$A$4:$A$47,0),MATCH(J$5,'[25]EFF-E_ANTC'!$C$3:$H$3,0)),"")</f>
        <v>0.14596983768762201</v>
      </c>
      <c r="K51" s="274">
        <f>IFERROR(INDEX('[25]AFA-E_ANTC'!$J$5:$O$48,MATCH($B51,'[25]AFA-E_ANTC'!$A$5:$A$48,0),MATCH(K$5,'[25]AFA-E_ANTC'!$J$3:$O$3,0)),"")</f>
        <v>0.61587499088696462</v>
      </c>
      <c r="L51" s="274">
        <f>IFERROR(INDEX('[25]AFA-E_ANTC'!$J$5:$O$48,MATCH($B51,'[25]AFA-E_ANTC'!$A$5:$A$48,0),MATCH(L$5,'[25]AFA-E_ANTC'!$J$3:$O$3,0)),"")</f>
        <v>0.51036950900891664</v>
      </c>
      <c r="M51" s="274">
        <f>IFERROR(INDEX('[25]AFA-E_ANTC'!$J$5:$O$48,MATCH($B51,'[25]AFA-E_ANTC'!$A$5:$A$48,0),MATCH(M$5,'[25]AFA-E_ANTC'!$J$3:$O$3,0)),"")</f>
        <v>0.30439437240066253</v>
      </c>
      <c r="N51" s="274">
        <f>IFERROR(INDEX('[25]AFA-E_ANTC'!$J$5:$O$48,MATCH($B51,'[25]AFA-E_ANTC'!$A$5:$A$48,0),MATCH(N$5,'[25]AFA-E_ANTC'!$J$3:$O$3,0)),"")</f>
        <v>0.17798386054857626</v>
      </c>
      <c r="O51" s="274">
        <f>IFERROR(INDEX('[25]AFA-E_ANTC'!$J$5:$O$48,MATCH($B51,'[25]AFA-E_ANTC'!$A$5:$A$48,0),MATCH(O$5,'[25]AFA-E_ANTC'!$J$3:$O$3,0)),"")</f>
        <v>0.10044967598579917</v>
      </c>
      <c r="P51" s="274">
        <f>IFERROR(INDEX('[25]AFA-E_ANTC'!$P$5:$P$48,MATCH($B51,'[25]AFA-E_ANTC'!$A$5:$A$48,0)),"")</f>
        <v>4.8000000000000001E-2</v>
      </c>
      <c r="Q51" s="276">
        <f>IFERROR(INDEX('[25]RESID-E_ANTC'!$M$5:$T$48,MATCH($B51,'[25]RESID-E_ANTC'!$A$5:$A$48,0),MATCH(Q$5,'[25]RESID-E_ANTC'!$M$3:$T$3,0)),"")</f>
        <v>33.929342714939402</v>
      </c>
      <c r="R51" s="276">
        <f>IFERROR(INDEX('[25]RESID-E_ANTC'!$M$5:$T$48,MATCH($B51,'[25]RESID-E_ANTC'!$A$5:$A$48,0),MATCH(R$5,'[25]RESID-E_ANTC'!$M$3:$T$3,0)),"")</f>
        <v>34.442063385055299</v>
      </c>
      <c r="S51" s="276">
        <f>IFERROR(INDEX('[25]RESID-E_ANTC'!$M$5:$T$48,MATCH($B51,'[25]RESID-E_ANTC'!$A$5:$A$48,0),MATCH(S$5,'[25]RESID-E_ANTC'!$M$3:$T$3,0)),"")</f>
        <v>18.009652806729299</v>
      </c>
      <c r="T51" s="276">
        <f>IFERROR(INDEX('[25]RESID-E_ANTC'!$M$5:$T$48,MATCH($B51,'[25]RESID-E_ANTC'!$A$5:$A$48,0),MATCH(T$5,'[25]RESID-E_ANTC'!$M$3:$T$3,0)),"")</f>
        <v>0</v>
      </c>
      <c r="U51" s="276">
        <f>IFERROR(INDEX('[25]RESID-E_ANTC'!$M$5:$T$48,MATCH($B51,'[25]RESID-E_ANTC'!$A$5:$A$48,0),MATCH(U$5,'[25]RESID-E_ANTC'!$M$3:$T$3,0)),"")</f>
        <v>0</v>
      </c>
      <c r="V51" s="279">
        <v>3</v>
      </c>
      <c r="W51" s="279">
        <v>0</v>
      </c>
    </row>
    <row r="52" spans="2:23">
      <c r="B52" s="270" t="str">
        <f>IF([25]ITEMS_Tech_E!D52="","",[25]ITEMS_Tech_E!D52)</f>
        <v>TFHCV3ODS-E</v>
      </c>
      <c r="C52" s="271" t="str">
        <f>IF([25]ITEMS_Tech_E!E52="","",[25]ITEMS_Tech_E!E52)</f>
        <v>Transport Freight - HCV3 Oil Diesel-E</v>
      </c>
      <c r="D52" s="277" t="s">
        <v>741</v>
      </c>
      <c r="E52" s="277" t="s">
        <v>754</v>
      </c>
      <c r="F52" s="278">
        <f>IFERROR(INDEX('[25]EFF-E_ANTC'!$C$4:$H$47,MATCH($B52,'[25]EFF-E_ANTC'!$A$4:$A$47,0),MATCH(F$5,'[25]EFF-E_ANTC'!$C$3:$H$3,0)),"")</f>
        <v>0.119281768417066</v>
      </c>
      <c r="G52" s="278">
        <f>IFERROR(INDEX('[25]EFF-E_ANTC'!$C$4:$H$47,MATCH($B52,'[25]EFF-E_ANTC'!$A$4:$A$47,0),MATCH(G$5,'[25]EFF-E_ANTC'!$C$3:$H$3,0)),"")</f>
        <v>0.11931868717182099</v>
      </c>
      <c r="H52" s="278">
        <f>IFERROR(INDEX('[25]EFF-E_ANTC'!$C$4:$H$47,MATCH($B52,'[25]EFF-E_ANTC'!$A$4:$A$47,0),MATCH(H$5,'[25]EFF-E_ANTC'!$C$3:$H$3,0)),"")</f>
        <v>0.12232153623233299</v>
      </c>
      <c r="I52" s="278">
        <f>IFERROR(INDEX('[25]EFF-E_ANTC'!$C$4:$H$47,MATCH($B52,'[25]EFF-E_ANTC'!$A$4:$A$47,0),MATCH(I$5,'[25]EFF-E_ANTC'!$C$3:$H$3,0)),"")</f>
        <v>0.12509253733459699</v>
      </c>
      <c r="J52" s="278">
        <f>IFERROR(INDEX('[25]EFF-E_ANTC'!$C$4:$H$47,MATCH($B52,'[25]EFF-E_ANTC'!$A$4:$A$47,0),MATCH(J$5,'[25]EFF-E_ANTC'!$C$3:$H$3,0)),"")</f>
        <v>0.12724056107916601</v>
      </c>
      <c r="K52" s="274">
        <f>IFERROR(INDEX('[25]AFA-E_ANTC'!$J$5:$O$48,MATCH($B52,'[25]AFA-E_ANTC'!$A$5:$A$48,0),MATCH(K$5,'[25]AFA-E_ANTC'!$J$3:$O$3,0)),"")</f>
        <v>0.61905509360465294</v>
      </c>
      <c r="L52" s="274">
        <f>IFERROR(INDEX('[25]AFA-E_ANTC'!$J$5:$O$48,MATCH($B52,'[25]AFA-E_ANTC'!$A$5:$A$48,0),MATCH(L$5,'[25]AFA-E_ANTC'!$J$3:$O$3,0)),"")</f>
        <v>0.51314017761153419</v>
      </c>
      <c r="M52" s="274">
        <f>IFERROR(INDEX('[25]AFA-E_ANTC'!$J$5:$O$48,MATCH($B52,'[25]AFA-E_ANTC'!$A$5:$A$48,0),MATCH(M$5,'[25]AFA-E_ANTC'!$J$3:$O$3,0)),"")</f>
        <v>0.30359332888790824</v>
      </c>
      <c r="N52" s="274">
        <f>IFERROR(INDEX('[25]AFA-E_ANTC'!$J$5:$O$48,MATCH($B52,'[25]AFA-E_ANTC'!$A$5:$A$48,0),MATCH(N$5,'[25]AFA-E_ANTC'!$J$3:$O$3,0)),"")</f>
        <v>0.17608516721814588</v>
      </c>
      <c r="O52" s="274">
        <f>IFERROR(INDEX('[25]AFA-E_ANTC'!$J$5:$O$48,MATCH($B52,'[25]AFA-E_ANTC'!$A$5:$A$48,0),MATCH(O$5,'[25]AFA-E_ANTC'!$J$3:$O$3,0)),"")</f>
        <v>9.9310384156559073E-2</v>
      </c>
      <c r="P52" s="274">
        <f>IFERROR(INDEX('[25]AFA-E_ANTC'!$P$5:$P$48,MATCH($B52,'[25]AFA-E_ANTC'!$A$5:$A$48,0)),"")</f>
        <v>8.4999999999999992E-2</v>
      </c>
      <c r="Q52" s="276">
        <f>IFERROR(INDEX('[25]RESID-E_ANTC'!$M$5:$T$48,MATCH($B52,'[25]RESID-E_ANTC'!$A$5:$A$48,0),MATCH(Q$5,'[25]RESID-E_ANTC'!$M$3:$T$3,0)),"")</f>
        <v>62.7019053147121</v>
      </c>
      <c r="R52" s="276">
        <f>IFERROR(INDEX('[25]RESID-E_ANTC'!$M$5:$T$48,MATCH($B52,'[25]RESID-E_ANTC'!$A$5:$A$48,0),MATCH(R$5,'[25]RESID-E_ANTC'!$M$3:$T$3,0)),"")</f>
        <v>63.616850519339202</v>
      </c>
      <c r="S52" s="276">
        <f>IFERROR(INDEX('[25]RESID-E_ANTC'!$M$5:$T$48,MATCH($B52,'[25]RESID-E_ANTC'!$A$5:$A$48,0),MATCH(S$5,'[25]RESID-E_ANTC'!$M$3:$T$3,0)),"")</f>
        <v>33.590395028435502</v>
      </c>
      <c r="T52" s="276">
        <f>IFERROR(INDEX('[25]RESID-E_ANTC'!$M$5:$T$48,MATCH($B52,'[25]RESID-E_ANTC'!$A$5:$A$48,0),MATCH(T$5,'[25]RESID-E_ANTC'!$M$3:$T$3,0)),"")</f>
        <v>0</v>
      </c>
      <c r="U52" s="276">
        <f>IFERROR(INDEX('[25]RESID-E_ANTC'!$M$5:$T$48,MATCH($B52,'[25]RESID-E_ANTC'!$A$5:$A$48,0),MATCH(U$5,'[25]RESID-E_ANTC'!$M$3:$T$3,0)),"")</f>
        <v>0</v>
      </c>
      <c r="V52" s="279">
        <v>3</v>
      </c>
      <c r="W52" s="279">
        <v>0</v>
      </c>
    </row>
    <row r="53" spans="2:23">
      <c r="B53" s="270" t="str">
        <f>IF([25]ITEMS_Tech_E!D53="","",[25]ITEMS_Tech_E!D53)</f>
        <v>TFHCV4ODS-E</v>
      </c>
      <c r="C53" s="271" t="str">
        <f>IF([25]ITEMS_Tech_E!E53="","",[25]ITEMS_Tech_E!E53)</f>
        <v>Transport Freight - HCV4 Oil Diesel-E</v>
      </c>
      <c r="D53" s="277" t="s">
        <v>741</v>
      </c>
      <c r="E53" s="277" t="s">
        <v>755</v>
      </c>
      <c r="F53" s="278">
        <f>IFERROR(INDEX('[25]EFF-E_ANTC'!$C$4:$H$47,MATCH($B53,'[25]EFF-E_ANTC'!$A$4:$A$47,0),MATCH(F$5,'[25]EFF-E_ANTC'!$C$3:$H$3,0)),"")</f>
        <v>0.102511485821615</v>
      </c>
      <c r="G53" s="278">
        <f>IFERROR(INDEX('[25]EFF-E_ANTC'!$C$4:$H$47,MATCH($B53,'[25]EFF-E_ANTC'!$A$4:$A$47,0),MATCH(G$5,'[25]EFF-E_ANTC'!$C$3:$H$3,0)),"")</f>
        <v>0.10254809996583</v>
      </c>
      <c r="H53" s="278">
        <f>IFERROR(INDEX('[25]EFF-E_ANTC'!$C$4:$H$47,MATCH($B53,'[25]EFF-E_ANTC'!$A$4:$A$47,0),MATCH(H$5,'[25]EFF-E_ANTC'!$C$3:$H$3,0)),"")</f>
        <v>0.105418203184048</v>
      </c>
      <c r="I53" s="278">
        <f>IFERROR(INDEX('[25]EFF-E_ANTC'!$C$4:$H$47,MATCH($B53,'[25]EFF-E_ANTC'!$A$4:$A$47,0),MATCH(I$5,'[25]EFF-E_ANTC'!$C$3:$H$3,0)),"")</f>
        <v>0.108304805407653</v>
      </c>
      <c r="J53" s="278">
        <f>IFERROR(INDEX('[25]EFF-E_ANTC'!$C$4:$H$47,MATCH($B53,'[25]EFF-E_ANTC'!$A$4:$A$47,0),MATCH(J$5,'[25]EFF-E_ANTC'!$C$3:$H$3,0)),"")</f>
        <v>0.110554573148034</v>
      </c>
      <c r="K53" s="274">
        <f>IFERROR(INDEX('[25]AFA-E_ANTC'!$J$5:$O$48,MATCH($B53,'[25]AFA-E_ANTC'!$A$5:$A$48,0),MATCH(K$5,'[25]AFA-E_ANTC'!$J$3:$O$3,0)),"")</f>
        <v>0.58392433243894237</v>
      </c>
      <c r="L53" s="274">
        <f>IFERROR(INDEX('[25]AFA-E_ANTC'!$J$5:$O$48,MATCH($B53,'[25]AFA-E_ANTC'!$A$5:$A$48,0),MATCH(L$5,'[25]AFA-E_ANTC'!$J$3:$O$3,0)),"")</f>
        <v>0.48445079931167884</v>
      </c>
      <c r="M53" s="274">
        <f>IFERROR(INDEX('[25]AFA-E_ANTC'!$J$5:$O$48,MATCH($B53,'[25]AFA-E_ANTC'!$A$5:$A$48,0),MATCH(M$5,'[25]AFA-E_ANTC'!$J$3:$O$3,0)),"")</f>
        <v>0.28918714533314122</v>
      </c>
      <c r="N53" s="274">
        <f>IFERROR(INDEX('[25]AFA-E_ANTC'!$J$5:$O$48,MATCH($B53,'[25]AFA-E_ANTC'!$A$5:$A$48,0),MATCH(N$5,'[25]AFA-E_ANTC'!$J$3:$O$3,0)),"")</f>
        <v>0.17123597116851411</v>
      </c>
      <c r="O53" s="274">
        <f>IFERROR(INDEX('[25]AFA-E_ANTC'!$J$5:$O$48,MATCH($B53,'[25]AFA-E_ANTC'!$A$5:$A$48,0),MATCH(O$5,'[25]AFA-E_ANTC'!$J$3:$O$3,0)),"")</f>
        <v>9.8290097907955287E-2</v>
      </c>
      <c r="P53" s="274">
        <f>IFERROR(INDEX('[25]AFA-E_ANTC'!$P$5:$P$48,MATCH($B53,'[25]AFA-E_ANTC'!$A$5:$A$48,0)),"")</f>
        <v>8.4999999999999992E-2</v>
      </c>
      <c r="Q53" s="276">
        <f>IFERROR(INDEX('[25]RESID-E_ANTC'!$M$5:$T$48,MATCH($B53,'[25]RESID-E_ANTC'!$A$5:$A$48,0),MATCH(Q$5,'[25]RESID-E_ANTC'!$M$3:$T$3,0)),"")</f>
        <v>12.056497449546701</v>
      </c>
      <c r="R53" s="276">
        <f>IFERROR(INDEX('[25]RESID-E_ANTC'!$M$5:$T$48,MATCH($B53,'[25]RESID-E_ANTC'!$A$5:$A$48,0),MATCH(R$5,'[25]RESID-E_ANTC'!$M$3:$T$3,0)),"")</f>
        <v>12.2894367454119</v>
      </c>
      <c r="S53" s="276">
        <f>IFERROR(INDEX('[25]RESID-E_ANTC'!$M$5:$T$48,MATCH($B53,'[25]RESID-E_ANTC'!$A$5:$A$48,0),MATCH(S$5,'[25]RESID-E_ANTC'!$M$3:$T$3,0)),"")</f>
        <v>6.0737110439854698</v>
      </c>
      <c r="T53" s="276">
        <f>IFERROR(INDEX('[25]RESID-E_ANTC'!$M$5:$T$48,MATCH($B53,'[25]RESID-E_ANTC'!$A$5:$A$48,0),MATCH(T$5,'[25]RESID-E_ANTC'!$M$3:$T$3,0)),"")</f>
        <v>0</v>
      </c>
      <c r="U53" s="276">
        <f>IFERROR(INDEX('[25]RESID-E_ANTC'!$M$5:$T$48,MATCH($B53,'[25]RESID-E_ANTC'!$A$5:$A$48,0),MATCH(U$5,'[25]RESID-E_ANTC'!$M$3:$T$3,0)),"")</f>
        <v>0</v>
      </c>
      <c r="V53" s="279">
        <v>3</v>
      </c>
      <c r="W53" s="279">
        <v>0</v>
      </c>
    </row>
    <row r="54" spans="2:23">
      <c r="B54" s="270" t="str">
        <f>IF([25]ITEMS_Tech_E!D54="","",[25]ITEMS_Tech_E!D54)</f>
        <v>TFHCV5ODS-E</v>
      </c>
      <c r="C54" s="271" t="str">
        <f>IF([25]ITEMS_Tech_E!E54="","",[25]ITEMS_Tech_E!E54)</f>
        <v>Transport Freight - HCV5 Oil Diesel-E</v>
      </c>
      <c r="D54" s="277" t="s">
        <v>741</v>
      </c>
      <c r="E54" s="277" t="s">
        <v>756</v>
      </c>
      <c r="F54" s="278">
        <f>IFERROR(INDEX('[25]EFF-E_ANTC'!$C$4:$H$47,MATCH($B54,'[25]EFF-E_ANTC'!$A$4:$A$47,0),MATCH(F$5,'[25]EFF-E_ANTC'!$C$3:$H$3,0)),"")</f>
        <v>9.4439576839910805E-2</v>
      </c>
      <c r="G54" s="278">
        <f>IFERROR(INDEX('[25]EFF-E_ANTC'!$C$4:$H$47,MATCH($B54,'[25]EFF-E_ANTC'!$A$4:$A$47,0),MATCH(G$5,'[25]EFF-E_ANTC'!$C$3:$H$3,0)),"")</f>
        <v>9.4370120075289193E-2</v>
      </c>
      <c r="H54" s="278">
        <f>IFERROR(INDEX('[25]EFF-E_ANTC'!$C$4:$H$47,MATCH($B54,'[25]EFF-E_ANTC'!$A$4:$A$47,0),MATCH(H$5,'[25]EFF-E_ANTC'!$C$3:$H$3,0)),"")</f>
        <v>9.6441406801161797E-2</v>
      </c>
      <c r="I54" s="278">
        <f>IFERROR(INDEX('[25]EFF-E_ANTC'!$C$4:$H$47,MATCH($B54,'[25]EFF-E_ANTC'!$A$4:$A$47,0),MATCH(I$5,'[25]EFF-E_ANTC'!$C$3:$H$3,0)),"")</f>
        <v>9.8419663807944702E-2</v>
      </c>
      <c r="J54" s="278">
        <f>IFERROR(INDEX('[25]EFF-E_ANTC'!$C$4:$H$47,MATCH($B54,'[25]EFF-E_ANTC'!$A$4:$A$47,0),MATCH(J$5,'[25]EFF-E_ANTC'!$C$3:$H$3,0)),"")</f>
        <v>9.9889600984333304E-2</v>
      </c>
      <c r="K54" s="274">
        <f>IFERROR(INDEX('[25]AFA-E_ANTC'!$J$5:$O$48,MATCH($B54,'[25]AFA-E_ANTC'!$A$5:$A$48,0),MATCH(K$5,'[25]AFA-E_ANTC'!$J$3:$O$3,0)),"")</f>
        <v>0.49666887732492726</v>
      </c>
      <c r="L54" s="274">
        <f>IFERROR(INDEX('[25]AFA-E_ANTC'!$J$5:$O$48,MATCH($B54,'[25]AFA-E_ANTC'!$A$5:$A$48,0),MATCH(L$5,'[25]AFA-E_ANTC'!$J$3:$O$3,0)),"")</f>
        <v>0.37311307638456365</v>
      </c>
      <c r="M54" s="274">
        <f>IFERROR(INDEX('[25]AFA-E_ANTC'!$J$5:$O$48,MATCH($B54,'[25]AFA-E_ANTC'!$A$5:$A$48,0),MATCH(M$5,'[25]AFA-E_ANTC'!$J$3:$O$3,0)),"")</f>
        <v>0.16868898482817002</v>
      </c>
      <c r="N54" s="274">
        <f>IFERROR(INDEX('[25]AFA-E_ANTC'!$J$5:$O$48,MATCH($B54,'[25]AFA-E_ANTC'!$A$5:$A$48,0),MATCH(N$5,'[25]AFA-E_ANTC'!$J$3:$O$3,0)),"")</f>
        <v>7.4466556660093372E-2</v>
      </c>
      <c r="O54" s="274">
        <f>IFERROR(INDEX('[25]AFA-E_ANTC'!$J$5:$O$48,MATCH($B54,'[25]AFA-E_ANTC'!$A$5:$A$48,0),MATCH(O$5,'[25]AFA-E_ANTC'!$J$3:$O$3,0)),"")</f>
        <v>3.1359007692890725E-2</v>
      </c>
      <c r="P54" s="274">
        <f>IFERROR(INDEX('[25]AFA-E_ANTC'!$P$5:$P$48,MATCH($B54,'[25]AFA-E_ANTC'!$A$5:$A$48,0)),"")</f>
        <v>0.11</v>
      </c>
      <c r="Q54" s="276">
        <f>IFERROR(INDEX('[25]RESID-E_ANTC'!$M$5:$T$48,MATCH($B54,'[25]RESID-E_ANTC'!$A$5:$A$48,0),MATCH(Q$5,'[25]RESID-E_ANTC'!$M$3:$T$3,0)),"")</f>
        <v>5.4543032895166199</v>
      </c>
      <c r="R54" s="276">
        <f>IFERROR(INDEX('[25]RESID-E_ANTC'!$M$5:$T$48,MATCH($B54,'[25]RESID-E_ANTC'!$A$5:$A$48,0),MATCH(R$5,'[25]RESID-E_ANTC'!$M$3:$T$3,0)),"")</f>
        <v>5.5364181807125403</v>
      </c>
      <c r="S54" s="276">
        <f>IFERROR(INDEX('[25]RESID-E_ANTC'!$M$5:$T$48,MATCH($B54,'[25]RESID-E_ANTC'!$A$5:$A$48,0),MATCH(S$5,'[25]RESID-E_ANTC'!$M$3:$T$3,0)),"")</f>
        <v>2.8461230389806702</v>
      </c>
      <c r="T54" s="276">
        <f>IFERROR(INDEX('[25]RESID-E_ANTC'!$M$5:$T$48,MATCH($B54,'[25]RESID-E_ANTC'!$A$5:$A$48,0),MATCH(T$5,'[25]RESID-E_ANTC'!$M$3:$T$3,0)),"")</f>
        <v>0</v>
      </c>
      <c r="U54" s="276">
        <f>IFERROR(INDEX('[25]RESID-E_ANTC'!$M$5:$T$48,MATCH($B54,'[25]RESID-E_ANTC'!$A$5:$A$48,0),MATCH(U$5,'[25]RESID-E_ANTC'!$M$3:$T$3,0)),"")</f>
        <v>0</v>
      </c>
      <c r="V54" s="279">
        <v>3</v>
      </c>
      <c r="W54" s="279">
        <v>0</v>
      </c>
    </row>
    <row r="55" spans="2:23">
      <c r="B55" s="270" t="str">
        <f>IF([25]ITEMS_Tech_E!D55="","",[25]ITEMS_Tech_E!D55)</f>
        <v>TFHCV6ODS-E</v>
      </c>
      <c r="C55" s="271" t="str">
        <f>IF([25]ITEMS_Tech_E!E55="","",[25]ITEMS_Tech_E!E55)</f>
        <v>Transport Freight - HCV6 Oil Diesel-E</v>
      </c>
      <c r="D55" s="277" t="s">
        <v>741</v>
      </c>
      <c r="E55" s="277" t="s">
        <v>757</v>
      </c>
      <c r="F55" s="278">
        <f>IFERROR(INDEX('[25]EFF-E_ANTC'!$C$4:$H$47,MATCH($B55,'[25]EFF-E_ANTC'!$A$4:$A$47,0),MATCH(F$5,'[25]EFF-E_ANTC'!$C$3:$H$3,0)),"")</f>
        <v>6.5140074152247901E-2</v>
      </c>
      <c r="G55" s="278">
        <f>IFERROR(INDEX('[25]EFF-E_ANTC'!$C$4:$H$47,MATCH($B55,'[25]EFF-E_ANTC'!$A$4:$A$47,0),MATCH(G$5,'[25]EFF-E_ANTC'!$C$3:$H$3,0)),"")</f>
        <v>6.5086835525467304E-2</v>
      </c>
      <c r="H55" s="278">
        <f>IFERROR(INDEX('[25]EFF-E_ANTC'!$C$4:$H$47,MATCH($B55,'[25]EFF-E_ANTC'!$A$4:$A$47,0),MATCH(H$5,'[25]EFF-E_ANTC'!$C$3:$H$3,0)),"")</f>
        <v>6.6124396909204006E-2</v>
      </c>
      <c r="I55" s="278">
        <f>IFERROR(INDEX('[25]EFF-E_ANTC'!$C$4:$H$47,MATCH($B55,'[25]EFF-E_ANTC'!$A$4:$A$47,0),MATCH(I$5,'[25]EFF-E_ANTC'!$C$3:$H$3,0)),"")</f>
        <v>6.7166260047415702E-2</v>
      </c>
      <c r="J55" s="278">
        <f>IFERROR(INDEX('[25]EFF-E_ANTC'!$C$4:$H$47,MATCH($B55,'[25]EFF-E_ANTC'!$A$4:$A$47,0),MATCH(J$5,'[25]EFF-E_ANTC'!$C$3:$H$3,0)),"")</f>
        <v>6.8012622129019304E-2</v>
      </c>
      <c r="K55" s="274">
        <f>IFERROR(INDEX('[25]AFA-E_ANTC'!$J$5:$O$48,MATCH($B55,'[25]AFA-E_ANTC'!$A$5:$A$48,0),MATCH(K$5,'[25]AFA-E_ANTC'!$J$3:$O$3,0)),"")</f>
        <v>0.57071749864109456</v>
      </c>
      <c r="L55" s="274">
        <f>IFERROR(INDEX('[25]AFA-E_ANTC'!$J$5:$O$48,MATCH($B55,'[25]AFA-E_ANTC'!$A$5:$A$48,0),MATCH(L$5,'[25]AFA-E_ANTC'!$J$3:$O$3,0)),"")</f>
        <v>0.42687257745772184</v>
      </c>
      <c r="M55" s="274">
        <f>IFERROR(INDEX('[25]AFA-E_ANTC'!$J$5:$O$48,MATCH($B55,'[25]AFA-E_ANTC'!$A$5:$A$48,0),MATCH(M$5,'[25]AFA-E_ANTC'!$J$3:$O$3,0)),"")</f>
        <v>0.18441407223283274</v>
      </c>
      <c r="N55" s="274">
        <f>IFERROR(INDEX('[25]AFA-E_ANTC'!$J$5:$O$48,MATCH($B55,'[25]AFA-E_ANTC'!$A$5:$A$48,0),MATCH(N$5,'[25]AFA-E_ANTC'!$J$3:$O$3,0)),"")</f>
        <v>7.847209305148109E-2</v>
      </c>
      <c r="O55" s="274">
        <f>IFERROR(INDEX('[25]AFA-E_ANTC'!$J$5:$O$48,MATCH($B55,'[25]AFA-E_ANTC'!$A$5:$A$48,0),MATCH(O$5,'[25]AFA-E_ANTC'!$J$3:$O$3,0)),"")</f>
        <v>3.245534059134618E-2</v>
      </c>
      <c r="P55" s="274">
        <f>IFERROR(INDEX('[25]AFA-E_ANTC'!$P$5:$P$48,MATCH($B55,'[25]AFA-E_ANTC'!$A$5:$A$48,0)),"")</f>
        <v>0.11</v>
      </c>
      <c r="Q55" s="276">
        <f>IFERROR(INDEX('[25]RESID-E_ANTC'!$M$5:$T$48,MATCH($B55,'[25]RESID-E_ANTC'!$A$5:$A$48,0),MATCH(Q$5,'[25]RESID-E_ANTC'!$M$3:$T$3,0)),"")</f>
        <v>106.12140587784999</v>
      </c>
      <c r="R55" s="276">
        <f>IFERROR(INDEX('[25]RESID-E_ANTC'!$M$5:$T$48,MATCH($B55,'[25]RESID-E_ANTC'!$A$5:$A$48,0),MATCH(R$5,'[25]RESID-E_ANTC'!$M$3:$T$3,0)),"")</f>
        <v>107.749502594289</v>
      </c>
      <c r="S55" s="276">
        <f>IFERROR(INDEX('[25]RESID-E_ANTC'!$M$5:$T$48,MATCH($B55,'[25]RESID-E_ANTC'!$A$5:$A$48,0),MATCH(S$5,'[25]RESID-E_ANTC'!$M$3:$T$3,0)),"")</f>
        <v>61.863142535247199</v>
      </c>
      <c r="T55" s="276">
        <f>IFERROR(INDEX('[25]RESID-E_ANTC'!$M$5:$T$48,MATCH($B55,'[25]RESID-E_ANTC'!$A$5:$A$48,0),MATCH(T$5,'[25]RESID-E_ANTC'!$M$3:$T$3,0)),"")</f>
        <v>0</v>
      </c>
      <c r="U55" s="276">
        <f>IFERROR(INDEX('[25]RESID-E_ANTC'!$M$5:$T$48,MATCH($B55,'[25]RESID-E_ANTC'!$A$5:$A$48,0),MATCH(U$5,'[25]RESID-E_ANTC'!$M$3:$T$3,0)),"")</f>
        <v>0</v>
      </c>
      <c r="V55" s="279">
        <v>3</v>
      </c>
      <c r="W55" s="279">
        <v>0</v>
      </c>
    </row>
    <row r="56" spans="2:23">
      <c r="B56" s="270" t="str">
        <f>IF([25]ITEMS_Tech_E!D56="","",[25]ITEMS_Tech_E!D56)</f>
        <v>TFHCV7ODS-E</v>
      </c>
      <c r="C56" s="271" t="str">
        <f>IF([25]ITEMS_Tech_E!E56="","",[25]ITEMS_Tech_E!E56)</f>
        <v>Transport Freight - HCV7 Oil Diesel-E</v>
      </c>
      <c r="D56" s="277" t="s">
        <v>741</v>
      </c>
      <c r="E56" s="277" t="s">
        <v>758</v>
      </c>
      <c r="F56" s="278">
        <f>IFERROR(INDEX('[25]EFF-E_ANTC'!$C$4:$H$47,MATCH($B56,'[25]EFF-E_ANTC'!$A$4:$A$47,0),MATCH(F$5,'[25]EFF-E_ANTC'!$C$3:$H$3,0)),"")</f>
        <v>7.0317841528990704E-2</v>
      </c>
      <c r="G56" s="278">
        <f>IFERROR(INDEX('[25]EFF-E_ANTC'!$C$4:$H$47,MATCH($B56,'[25]EFF-E_ANTC'!$A$4:$A$47,0),MATCH(G$5,'[25]EFF-E_ANTC'!$C$3:$H$3,0)),"")</f>
        <v>7.0234604805822207E-2</v>
      </c>
      <c r="H56" s="278">
        <f>IFERROR(INDEX('[25]EFF-E_ANTC'!$C$4:$H$47,MATCH($B56,'[25]EFF-E_ANTC'!$A$4:$A$47,0),MATCH(H$5,'[25]EFF-E_ANTC'!$C$3:$H$3,0)),"")</f>
        <v>7.1524983519216004E-2</v>
      </c>
      <c r="I56" s="278">
        <f>IFERROR(INDEX('[25]EFF-E_ANTC'!$C$4:$H$47,MATCH($B56,'[25]EFF-E_ANTC'!$A$4:$A$47,0),MATCH(I$5,'[25]EFF-E_ANTC'!$C$3:$H$3,0)),"")</f>
        <v>7.2864914411162496E-2</v>
      </c>
      <c r="J56" s="278">
        <f>IFERROR(INDEX('[25]EFF-E_ANTC'!$C$4:$H$47,MATCH($B56,'[25]EFF-E_ANTC'!$A$4:$A$47,0),MATCH(J$5,'[25]EFF-E_ANTC'!$C$3:$H$3,0)),"")</f>
        <v>7.39190120279309E-2</v>
      </c>
      <c r="K56" s="274">
        <f>IFERROR(INDEX('[25]AFA-E_ANTC'!$J$5:$O$48,MATCH($B56,'[25]AFA-E_ANTC'!$A$5:$A$48,0),MATCH(K$5,'[25]AFA-E_ANTC'!$J$3:$O$3,0)),"")</f>
        <v>0.5377339456060668</v>
      </c>
      <c r="L56" s="274">
        <f>IFERROR(INDEX('[25]AFA-E_ANTC'!$J$5:$O$48,MATCH($B56,'[25]AFA-E_ANTC'!$A$5:$A$48,0),MATCH(L$5,'[25]AFA-E_ANTC'!$J$3:$O$3,0)),"")</f>
        <v>0.40097131317651941</v>
      </c>
      <c r="M56" s="274">
        <f>IFERROR(INDEX('[25]AFA-E_ANTC'!$J$5:$O$48,MATCH($B56,'[25]AFA-E_ANTC'!$A$5:$A$48,0),MATCH(M$5,'[25]AFA-E_ANTC'!$J$3:$O$3,0)),"")</f>
        <v>0.17515402018271126</v>
      </c>
      <c r="N56" s="274">
        <f>IFERROR(INDEX('[25]AFA-E_ANTC'!$J$5:$O$48,MATCH($B56,'[25]AFA-E_ANTC'!$A$5:$A$48,0),MATCH(N$5,'[25]AFA-E_ANTC'!$J$3:$O$3,0)),"")</f>
        <v>7.6221070320468751E-2</v>
      </c>
      <c r="O56" s="274">
        <f>IFERROR(INDEX('[25]AFA-E_ANTC'!$J$5:$O$48,MATCH($B56,'[25]AFA-E_ANTC'!$A$5:$A$48,0),MATCH(O$5,'[25]AFA-E_ANTC'!$J$3:$O$3,0)),"")</f>
        <v>3.2008878592661688E-2</v>
      </c>
      <c r="P56" s="274">
        <f>IFERROR(INDEX('[25]AFA-E_ANTC'!$P$5:$P$48,MATCH($B56,'[25]AFA-E_ANTC'!$A$5:$A$48,0)),"")</f>
        <v>0.16</v>
      </c>
      <c r="Q56" s="276">
        <f>IFERROR(INDEX('[25]RESID-E_ANTC'!$M$5:$T$48,MATCH($B56,'[25]RESID-E_ANTC'!$A$5:$A$48,0),MATCH(Q$5,'[25]RESID-E_ANTC'!$M$3:$T$3,0)),"")</f>
        <v>25.874280497520701</v>
      </c>
      <c r="R56" s="276">
        <f>IFERROR(INDEX('[25]RESID-E_ANTC'!$M$5:$T$48,MATCH($B56,'[25]RESID-E_ANTC'!$A$5:$A$48,0),MATCH(R$5,'[25]RESID-E_ANTC'!$M$3:$T$3,0)),"")</f>
        <v>26.4741570116765</v>
      </c>
      <c r="S56" s="276">
        <f>IFERROR(INDEX('[25]RESID-E_ANTC'!$M$5:$T$48,MATCH($B56,'[25]RESID-E_ANTC'!$A$5:$A$48,0),MATCH(S$5,'[25]RESID-E_ANTC'!$M$3:$T$3,0)),"")</f>
        <v>14.5024186740093</v>
      </c>
      <c r="T56" s="276">
        <f>IFERROR(INDEX('[25]RESID-E_ANTC'!$M$5:$T$48,MATCH($B56,'[25]RESID-E_ANTC'!$A$5:$A$48,0),MATCH(T$5,'[25]RESID-E_ANTC'!$M$3:$T$3,0)),"")</f>
        <v>0</v>
      </c>
      <c r="U56" s="276">
        <f>IFERROR(INDEX('[25]RESID-E_ANTC'!$M$5:$T$48,MATCH($B56,'[25]RESID-E_ANTC'!$A$5:$A$48,0),MATCH(U$5,'[25]RESID-E_ANTC'!$M$3:$T$3,0)),"")</f>
        <v>0</v>
      </c>
      <c r="V56" s="279">
        <v>3</v>
      </c>
      <c r="W56" s="279">
        <v>0</v>
      </c>
    </row>
    <row r="57" spans="2:23">
      <c r="B57" s="270" t="str">
        <f>IF([25]ITEMS_Tech_E!D57="","",[25]ITEMS_Tech_E!D57)</f>
        <v>TFHCV8ODS-E</v>
      </c>
      <c r="C57" s="271" t="str">
        <f>IF([25]ITEMS_Tech_E!E57="","",[25]ITEMS_Tech_E!E57)</f>
        <v>Transport Freight - HCV8 Oil Diesel-E</v>
      </c>
      <c r="D57" s="277" t="s">
        <v>741</v>
      </c>
      <c r="E57" s="277" t="s">
        <v>759</v>
      </c>
      <c r="F57" s="278">
        <f>IFERROR(INDEX('[25]EFF-E_ANTC'!$C$4:$H$47,MATCH($B57,'[25]EFF-E_ANTC'!$A$4:$A$47,0),MATCH(F$5,'[25]EFF-E_ANTC'!$C$3:$H$3,0)),"")</f>
        <v>6.9193607941341495E-2</v>
      </c>
      <c r="G57" s="278">
        <f>IFERROR(INDEX('[25]EFF-E_ANTC'!$C$4:$H$47,MATCH($B57,'[25]EFF-E_ANTC'!$A$4:$A$47,0),MATCH(G$5,'[25]EFF-E_ANTC'!$C$3:$H$3,0)),"")</f>
        <v>6.9134613553873694E-2</v>
      </c>
      <c r="H57" s="278">
        <f>IFERROR(INDEX('[25]EFF-E_ANTC'!$C$4:$H$47,MATCH($B57,'[25]EFF-E_ANTC'!$A$4:$A$47,0),MATCH(H$5,'[25]EFF-E_ANTC'!$C$3:$H$3,0)),"")</f>
        <v>6.9756638806478602E-2</v>
      </c>
      <c r="I57" s="278">
        <f>IFERROR(INDEX('[25]EFF-E_ANTC'!$C$4:$H$47,MATCH($B57,'[25]EFF-E_ANTC'!$A$4:$A$47,0),MATCH(I$5,'[25]EFF-E_ANTC'!$C$3:$H$3,0)),"")</f>
        <v>7.0539322337285895E-2</v>
      </c>
      <c r="J57" s="278">
        <f>IFERROR(INDEX('[25]EFF-E_ANTC'!$C$4:$H$47,MATCH($B57,'[25]EFF-E_ANTC'!$A$4:$A$47,0),MATCH(J$5,'[25]EFF-E_ANTC'!$C$3:$H$3,0)),"")</f>
        <v>7.1239826934415704E-2</v>
      </c>
      <c r="K57" s="274">
        <f>IFERROR(INDEX('[25]AFA-E_ANTC'!$J$5:$O$48,MATCH($B57,'[25]AFA-E_ANTC'!$A$5:$A$48,0),MATCH(K$5,'[25]AFA-E_ANTC'!$J$3:$O$3,0)),"")</f>
        <v>0.67700715609301876</v>
      </c>
      <c r="L57" s="274">
        <f>IFERROR(INDEX('[25]AFA-E_ANTC'!$J$5:$O$48,MATCH($B57,'[25]AFA-E_ANTC'!$A$5:$A$48,0),MATCH(L$5,'[25]AFA-E_ANTC'!$J$3:$O$3,0)),"")</f>
        <v>0.50325549202134368</v>
      </c>
      <c r="M57" s="274">
        <f>IFERROR(INDEX('[25]AFA-E_ANTC'!$J$5:$O$48,MATCH($B57,'[25]AFA-E_ANTC'!$A$5:$A$48,0),MATCH(M$5,'[25]AFA-E_ANTC'!$J$3:$O$3,0)),"")</f>
        <v>0.20297641470000749</v>
      </c>
      <c r="N57" s="274">
        <f>IFERROR(INDEX('[25]AFA-E_ANTC'!$J$5:$O$48,MATCH($B57,'[25]AFA-E_ANTC'!$A$5:$A$48,0),MATCH(N$5,'[25]AFA-E_ANTC'!$J$3:$O$3,0)),"")</f>
        <v>8.2989891398502505E-2</v>
      </c>
      <c r="O57" s="274">
        <f>IFERROR(INDEX('[25]AFA-E_ANTC'!$J$5:$O$48,MATCH($B57,'[25]AFA-E_ANTC'!$A$5:$A$48,0),MATCH(O$5,'[25]AFA-E_ANTC'!$J$3:$O$3,0)),"")</f>
        <v>3.3595291432656688E-2</v>
      </c>
      <c r="P57" s="274">
        <f>IFERROR(INDEX('[25]AFA-E_ANTC'!$P$5:$P$48,MATCH($B57,'[25]AFA-E_ANTC'!$A$5:$A$48,0)),"")</f>
        <v>0.16</v>
      </c>
      <c r="Q57" s="276">
        <f>IFERROR(INDEX('[25]RESID-E_ANTC'!$M$5:$T$48,MATCH($B57,'[25]RESID-E_ANTC'!$A$5:$A$48,0),MATCH(Q$5,'[25]RESID-E_ANTC'!$M$3:$T$3,0)),"")</f>
        <v>1.1282532037320601</v>
      </c>
      <c r="R57" s="276">
        <f>IFERROR(INDEX('[25]RESID-E_ANTC'!$M$5:$T$48,MATCH($B57,'[25]RESID-E_ANTC'!$A$5:$A$48,0),MATCH(R$5,'[25]RESID-E_ANTC'!$M$3:$T$3,0)),"")</f>
        <v>1.1464635873024001</v>
      </c>
      <c r="S57" s="276">
        <f>IFERROR(INDEX('[25]RESID-E_ANTC'!$M$5:$T$48,MATCH($B57,'[25]RESID-E_ANTC'!$A$5:$A$48,0),MATCH(S$5,'[25]RESID-E_ANTC'!$M$3:$T$3,0)),"")</f>
        <v>0.75373569008702301</v>
      </c>
      <c r="T57" s="276">
        <f>IFERROR(INDEX('[25]RESID-E_ANTC'!$M$5:$T$48,MATCH($B57,'[25]RESID-E_ANTC'!$A$5:$A$48,0),MATCH(T$5,'[25]RESID-E_ANTC'!$M$3:$T$3,0)),"")</f>
        <v>0</v>
      </c>
      <c r="U57" s="276">
        <f>IFERROR(INDEX('[25]RESID-E_ANTC'!$M$5:$T$48,MATCH($B57,'[25]RESID-E_ANTC'!$A$5:$A$48,0),MATCH(U$5,'[25]RESID-E_ANTC'!$M$3:$T$3,0)),"")</f>
        <v>0</v>
      </c>
      <c r="V57" s="279">
        <v>3</v>
      </c>
      <c r="W57" s="279">
        <v>0</v>
      </c>
    </row>
    <row r="58" spans="2:23">
      <c r="B58" s="270" t="str">
        <f>IF([25]ITEMS_Tech_E!D58="","",[25]ITEMS_Tech_E!D58)</f>
        <v>TFHCV9ODS-E</v>
      </c>
      <c r="C58" s="271" t="str">
        <f>IF([25]ITEMS_Tech_E!E58="","",[25]ITEMS_Tech_E!E58)</f>
        <v>Transport Freight - HCV9 Oil Diesel-E</v>
      </c>
      <c r="D58" s="277" t="s">
        <v>741</v>
      </c>
      <c r="E58" s="277" t="s">
        <v>760</v>
      </c>
      <c r="F58" s="278">
        <f>IFERROR(INDEX('[25]EFF-E_ANTC'!$C$4:$H$47,MATCH($B58,'[25]EFF-E_ANTC'!$A$4:$A$47,0),MATCH(F$5,'[25]EFF-E_ANTC'!$C$3:$H$3,0)),"")</f>
        <v>5.4371364101907703E-2</v>
      </c>
      <c r="G58" s="278">
        <f>IFERROR(INDEX('[25]EFF-E_ANTC'!$C$4:$H$47,MATCH($B58,'[25]EFF-E_ANTC'!$A$4:$A$47,0),MATCH(G$5,'[25]EFF-E_ANTC'!$C$3:$H$3,0)),"")</f>
        <v>5.4374543331148002E-2</v>
      </c>
      <c r="H58" s="278">
        <f>IFERROR(INDEX('[25]EFF-E_ANTC'!$C$4:$H$47,MATCH($B58,'[25]EFF-E_ANTC'!$A$4:$A$47,0),MATCH(H$5,'[25]EFF-E_ANTC'!$C$3:$H$3,0)),"")</f>
        <v>5.4895435674524602E-2</v>
      </c>
      <c r="I58" s="278">
        <f>IFERROR(INDEX('[25]EFF-E_ANTC'!$C$4:$H$47,MATCH($B58,'[25]EFF-E_ANTC'!$A$4:$A$47,0),MATCH(I$5,'[25]EFF-E_ANTC'!$C$3:$H$3,0)),"")</f>
        <v>5.5820318048132901E-2</v>
      </c>
      <c r="J58" s="278">
        <f>IFERROR(INDEX('[25]EFF-E_ANTC'!$C$4:$H$47,MATCH($B58,'[25]EFF-E_ANTC'!$A$4:$A$47,0),MATCH(J$5,'[25]EFF-E_ANTC'!$C$3:$H$3,0)),"")</f>
        <v>5.7192352651667E-2</v>
      </c>
      <c r="K58" s="274">
        <f>IFERROR(INDEX('[25]AFA-E_ANTC'!$J$5:$O$48,MATCH($B58,'[25]AFA-E_ANTC'!$A$5:$A$48,0),MATCH(K$5,'[25]AFA-E_ANTC'!$J$3:$O$3,0)),"")</f>
        <v>0.3854073688786</v>
      </c>
      <c r="L58" s="274">
        <f>IFERROR(INDEX('[25]AFA-E_ANTC'!$J$5:$O$48,MATCH($B58,'[25]AFA-E_ANTC'!$A$5:$A$48,0),MATCH(L$5,'[25]AFA-E_ANTC'!$J$3:$O$3,0)),"")</f>
        <v>0.29044833906206613</v>
      </c>
      <c r="M58" s="274">
        <f>IFERROR(INDEX('[25]AFA-E_ANTC'!$J$5:$O$48,MATCH($B58,'[25]AFA-E_ANTC'!$A$5:$A$48,0),MATCH(M$5,'[25]AFA-E_ANTC'!$J$3:$O$3,0)),"")</f>
        <v>0.11637498864141833</v>
      </c>
      <c r="N58" s="274">
        <f>IFERROR(INDEX('[25]AFA-E_ANTC'!$J$5:$O$48,MATCH($B58,'[25]AFA-E_ANTC'!$A$5:$A$48,0),MATCH(N$5,'[25]AFA-E_ANTC'!$J$3:$O$3,0)),"")</f>
        <v>4.8355376514288277E-2</v>
      </c>
      <c r="O58" s="274">
        <f>IFERROR(INDEX('[25]AFA-E_ANTC'!$J$5:$O$48,MATCH($B58,'[25]AFA-E_ANTC'!$A$5:$A$48,0),MATCH(O$5,'[25]AFA-E_ANTC'!$J$3:$O$3,0)),"")</f>
        <v>2.1275930948661221E-2</v>
      </c>
      <c r="P58" s="274">
        <f>IFERROR(INDEX('[25]AFA-E_ANTC'!$P$5:$P$48,MATCH($B58,'[25]AFA-E_ANTC'!$A$5:$A$48,0)),"")</f>
        <v>0.18</v>
      </c>
      <c r="Q58" s="276">
        <f>IFERROR(INDEX('[25]RESID-E_ANTC'!$M$5:$T$48,MATCH($B58,'[25]RESID-E_ANTC'!$A$5:$A$48,0),MATCH(Q$5,'[25]RESID-E_ANTC'!$M$3:$T$3,0)),"")</f>
        <v>0.42396796687300597</v>
      </c>
      <c r="R58" s="276">
        <f>IFERROR(INDEX('[25]RESID-E_ANTC'!$M$5:$T$48,MATCH($B58,'[25]RESID-E_ANTC'!$A$5:$A$48,0),MATCH(R$5,'[25]RESID-E_ANTC'!$M$3:$T$3,0)),"")</f>
        <v>0.44340231551193199</v>
      </c>
      <c r="S58" s="276">
        <f>IFERROR(INDEX('[25]RESID-E_ANTC'!$M$5:$T$48,MATCH($B58,'[25]RESID-E_ANTC'!$A$5:$A$48,0),MATCH(S$5,'[25]RESID-E_ANTC'!$M$3:$T$3,0)),"")</f>
        <v>0.19789597907123299</v>
      </c>
      <c r="T58" s="276">
        <f>IFERROR(INDEX('[25]RESID-E_ANTC'!$M$5:$T$48,MATCH($B58,'[25]RESID-E_ANTC'!$A$5:$A$48,0),MATCH(T$5,'[25]RESID-E_ANTC'!$M$3:$T$3,0)),"")</f>
        <v>0</v>
      </c>
      <c r="U58" s="276">
        <f>IFERROR(INDEX('[25]RESID-E_ANTC'!$M$5:$T$48,MATCH($B58,'[25]RESID-E_ANTC'!$A$5:$A$48,0),MATCH(U$5,'[25]RESID-E_ANTC'!$M$3:$T$3,0)),"")</f>
        <v>0</v>
      </c>
      <c r="V58" s="279">
        <v>3</v>
      </c>
      <c r="W58" s="279">
        <v>0</v>
      </c>
    </row>
    <row r="59" spans="2:23">
      <c r="B59" s="270" t="str">
        <f>IF([25]ITEMS_Tech_E!D59="","",[25]ITEMS_Tech_E!D59)</f>
        <v>TFHCV1GAS-E</v>
      </c>
      <c r="C59" s="271" t="str">
        <f>IF([25]ITEMS_Tech_E!E59="","",[25]ITEMS_Tech_E!E59)</f>
        <v>Transport Freight - HCV1 Gas-E</v>
      </c>
      <c r="D59" s="277" t="s">
        <v>745</v>
      </c>
      <c r="E59" s="277" t="s">
        <v>752</v>
      </c>
      <c r="F59" s="278">
        <f>IFERROR(INDEX('[25]EFF-E_ANTC'!$C$4:$H$47,MATCH($B59,'[25]EFF-E_ANTC'!$A$4:$A$47,0),MATCH(F$5,'[25]EFF-E_ANTC'!$C$3:$H$3,0)),"")</f>
        <v>0.15980018435060239</v>
      </c>
      <c r="G59" s="278">
        <f>IFERROR(INDEX('[25]EFF-E_ANTC'!$C$4:$H$47,MATCH($B59,'[25]EFF-E_ANTC'!$A$4:$A$47,0),MATCH(G$5,'[25]EFF-E_ANTC'!$C$3:$H$3,0)),"")</f>
        <v>0.15980018435060239</v>
      </c>
      <c r="H59" s="278">
        <f>IFERROR(INDEX('[25]EFF-E_ANTC'!$C$4:$H$47,MATCH($B59,'[25]EFF-E_ANTC'!$A$4:$A$47,0),MATCH(H$5,'[25]EFF-E_ANTC'!$C$3:$H$3,0)),"")</f>
        <v>0.15980018435060239</v>
      </c>
      <c r="I59" s="278">
        <f>IFERROR(INDEX('[25]EFF-E_ANTC'!$C$4:$H$47,MATCH($B59,'[25]EFF-E_ANTC'!$A$4:$A$47,0),MATCH(I$5,'[25]EFF-E_ANTC'!$C$3:$H$3,0)),"")</f>
        <v>0.15980018435060239</v>
      </c>
      <c r="J59" s="278">
        <f>IFERROR(INDEX('[25]EFF-E_ANTC'!$C$4:$H$47,MATCH($B59,'[25]EFF-E_ANTC'!$A$4:$A$47,0),MATCH(J$5,'[25]EFF-E_ANTC'!$C$3:$H$3,0)),"")</f>
        <v>0.15980018435060239</v>
      </c>
      <c r="K59" s="274">
        <f>IFERROR(INDEX('[25]AFA-E_ANTC'!$J$5:$O$48,MATCH($B59,'[25]AFA-E_ANTC'!$A$5:$A$48,0),MATCH(K$5,'[25]AFA-E_ANTC'!$J$3:$O$3,0)),"")</f>
        <v>0</v>
      </c>
      <c r="L59" s="274">
        <f>IFERROR(INDEX('[25]AFA-E_ANTC'!$J$5:$O$48,MATCH($B59,'[25]AFA-E_ANTC'!$A$5:$A$48,0),MATCH(L$5,'[25]AFA-E_ANTC'!$J$3:$O$3,0)),"")</f>
        <v>0.74830699328737704</v>
      </c>
      <c r="M59" s="274">
        <f>IFERROR(INDEX('[25]AFA-E_ANTC'!$J$5:$O$48,MATCH($B59,'[25]AFA-E_ANTC'!$A$5:$A$48,0),MATCH(M$5,'[25]AFA-E_ANTC'!$J$3:$O$3,0)),"")</f>
        <v>0.5933854311374448</v>
      </c>
      <c r="N59" s="274">
        <f>IFERROR(INDEX('[25]AFA-E_ANTC'!$J$5:$O$48,MATCH($B59,'[25]AFA-E_ANTC'!$A$5:$A$48,0),MATCH(N$5,'[25]AFA-E_ANTC'!$J$3:$O$3,0)),"")</f>
        <v>0.3851571021202902</v>
      </c>
      <c r="O59" s="274">
        <f>IFERROR(INDEX('[25]AFA-E_ANTC'!$J$5:$O$48,MATCH($B59,'[25]AFA-E_ANTC'!$A$5:$A$48,0),MATCH(O$5,'[25]AFA-E_ANTC'!$J$3:$O$3,0)),"")</f>
        <v>0.21874867832947617</v>
      </c>
      <c r="P59" s="274">
        <f>IFERROR(INDEX('[25]AFA-E_ANTC'!$P$5:$P$48,MATCH($B59,'[25]AFA-E_ANTC'!$A$5:$A$48,0)),"")</f>
        <v>1.71002801251579E-2</v>
      </c>
      <c r="Q59" s="276">
        <f>IFERROR(INDEX('[25]RESID-E_ANTC'!$M$5:$T$48,MATCH($B59,'[25]RESID-E_ANTC'!$A$5:$A$48,0),MATCH(Q$5,'[25]RESID-E_ANTC'!$M$3:$T$3,0)),"")</f>
        <v>0.116677774299976</v>
      </c>
      <c r="R59" s="276">
        <f>IFERROR(INDEX('[25]RESID-E_ANTC'!$M$5:$T$48,MATCH($B59,'[25]RESID-E_ANTC'!$A$5:$A$48,0),MATCH(R$5,'[25]RESID-E_ANTC'!$M$3:$T$3,0)),"")</f>
        <v>9.3964709007464009E-2</v>
      </c>
      <c r="S59" s="276">
        <f>IFERROR(INDEX('[25]RESID-E_ANTC'!$M$5:$T$48,MATCH($B59,'[25]RESID-E_ANTC'!$A$5:$A$48,0),MATCH(S$5,'[25]RESID-E_ANTC'!$M$3:$T$3,0)),"")</f>
        <v>1.7932784706102999E-2</v>
      </c>
      <c r="T59" s="276">
        <f>IFERROR(INDEX('[25]RESID-E_ANTC'!$M$5:$T$48,MATCH($B59,'[25]RESID-E_ANTC'!$A$5:$A$48,0),MATCH(T$5,'[25]RESID-E_ANTC'!$M$3:$T$3,0)),"")</f>
        <v>0</v>
      </c>
      <c r="U59" s="276">
        <f>IFERROR(INDEX('[25]RESID-E_ANTC'!$M$5:$T$48,MATCH($B59,'[25]RESID-E_ANTC'!$A$5:$A$48,0),MATCH(U$5,'[25]RESID-E_ANTC'!$M$3:$T$3,0)),"")</f>
        <v>0</v>
      </c>
      <c r="V59" s="279">
        <v>3</v>
      </c>
      <c r="W59" s="279">
        <v>0</v>
      </c>
    </row>
    <row r="60" spans="2:23">
      <c r="B60" s="270" t="str">
        <f>IF([25]ITEMS_Tech_E!D60="","",[25]ITEMS_Tech_E!D60)</f>
        <v>*</v>
      </c>
      <c r="C60" s="271" t="str">
        <f>IF([25]ITEMS_Tech_E!E60="","",[25]ITEMS_Tech_E!E60)</f>
        <v/>
      </c>
      <c r="D60" s="272"/>
      <c r="E60" s="272"/>
      <c r="F60" s="278">
        <f>IFERROR(INDEX('[25]EFF-E_ANTC'!$C$4:$H$47,MATCH($B60,'[25]EFF-E_ANTC'!$A$4:$A$47,0),MATCH(F$5,'[25]EFF-E_ANTC'!$C$3:$H$3,0)),"")</f>
        <v>6.4348339348895098E-2</v>
      </c>
      <c r="G60" s="278">
        <f>IFERROR(INDEX('[25]EFF-E_ANTC'!$C$4:$H$47,MATCH($B60,'[25]EFF-E_ANTC'!$A$4:$A$47,0),MATCH(G$5,'[25]EFF-E_ANTC'!$C$3:$H$3,0)),"")</f>
        <v>6.4532835825940396E-2</v>
      </c>
      <c r="H60" s="278">
        <f>IFERROR(INDEX('[25]EFF-E_ANTC'!$C$4:$H$47,MATCH($B60,'[25]EFF-E_ANTC'!$A$4:$A$47,0),MATCH(H$5,'[25]EFF-E_ANTC'!$C$3:$H$3,0)),"")</f>
        <v>6.5227894002483106E-2</v>
      </c>
      <c r="I60" s="278">
        <f>IFERROR(INDEX('[25]EFF-E_ANTC'!$C$4:$H$47,MATCH($B60,'[25]EFF-E_ANTC'!$A$4:$A$47,0),MATCH(I$5,'[25]EFF-E_ANTC'!$C$3:$H$3,0)),"")</f>
        <v>6.6011283101863896E-2</v>
      </c>
      <c r="J60" s="278">
        <f>IFERROR(INDEX('[25]EFF-E_ANTC'!$C$4:$H$47,MATCH($B60,'[25]EFF-E_ANTC'!$A$4:$A$47,0),MATCH(J$5,'[25]EFF-E_ANTC'!$C$3:$H$3,0)),"")</f>
        <v>6.6777008175099004E-2</v>
      </c>
      <c r="K60" s="274">
        <f>IFERROR(INDEX('[25]AFA-E_ANTC'!$J$5:$O$48,MATCH($B60,'[25]AFA-E_ANTC'!$A$5:$A$48,0),MATCH(K$5,'[25]AFA-E_ANTC'!$J$3:$O$3,0)),"")</f>
        <v>0.42532283795650333</v>
      </c>
      <c r="L60" s="274">
        <f>IFERROR(INDEX('[25]AFA-E_ANTC'!$J$5:$O$48,MATCH($B60,'[25]AFA-E_ANTC'!$A$5:$A$48,0),MATCH(L$5,'[25]AFA-E_ANTC'!$J$3:$O$3,0)),"")</f>
        <v>0.33706878442068333</v>
      </c>
      <c r="M60" s="274">
        <f>IFERROR(INDEX('[25]AFA-E_ANTC'!$J$5:$O$48,MATCH($B60,'[25]AFA-E_ANTC'!$A$5:$A$48,0),MATCH(M$5,'[25]AFA-E_ANTC'!$J$3:$O$3,0)),"")</f>
        <v>0.15171434294469499</v>
      </c>
      <c r="N60" s="274">
        <f>IFERROR(INDEX('[25]AFA-E_ANTC'!$J$5:$O$48,MATCH($B60,'[25]AFA-E_ANTC'!$A$5:$A$48,0),MATCH(N$5,'[25]AFA-E_ANTC'!$J$3:$O$3,0)),"")</f>
        <v>6.6477490540613332E-2</v>
      </c>
      <c r="O60" s="274">
        <f>IFERROR(INDEX('[25]AFA-E_ANTC'!$J$5:$O$48,MATCH($B60,'[25]AFA-E_ANTC'!$A$5:$A$48,0),MATCH(O$5,'[25]AFA-E_ANTC'!$J$3:$O$3,0)),"")</f>
        <v>2.8637041139474666E-2</v>
      </c>
      <c r="P60" s="274">
        <f>IFERROR(INDEX('[25]AFA-E_ANTC'!$P$5:$P$48,MATCH($B60,'[25]AFA-E_ANTC'!$A$5:$A$48,0)),"")</f>
        <v>0.06</v>
      </c>
      <c r="Q60" s="276">
        <f>IFERROR(INDEX('[25]RESID-E_ANTC'!$M$5:$T$48,MATCH($B60,'[25]RESID-E_ANTC'!$A$5:$A$48,0),MATCH(Q$5,'[25]RESID-E_ANTC'!$M$3:$T$3,0)),"")</f>
        <v>25.1952522652347</v>
      </c>
      <c r="R60" s="276">
        <f>IFERROR(INDEX('[25]RESID-E_ANTC'!$M$5:$T$48,MATCH($B60,'[25]RESID-E_ANTC'!$A$5:$A$48,0),MATCH(R$5,'[25]RESID-E_ANTC'!$M$3:$T$3,0)),"")</f>
        <v>23.083651962362801</v>
      </c>
      <c r="S60" s="276">
        <f>IFERROR(INDEX('[25]RESID-E_ANTC'!$M$5:$T$48,MATCH($B60,'[25]RESID-E_ANTC'!$A$5:$A$48,0),MATCH(S$5,'[25]RESID-E_ANTC'!$M$3:$T$3,0)),"")</f>
        <v>15.5161252325553</v>
      </c>
      <c r="T60" s="276">
        <f>IFERROR(INDEX('[25]RESID-E_ANTC'!$M$5:$T$48,MATCH($B60,'[25]RESID-E_ANTC'!$A$5:$A$48,0),MATCH(T$5,'[25]RESID-E_ANTC'!$M$3:$T$3,0)),"")</f>
        <v>0</v>
      </c>
      <c r="U60" s="276">
        <f>IFERROR(INDEX('[25]RESID-E_ANTC'!$M$5:$T$48,MATCH($B60,'[25]RESID-E_ANTC'!$A$5:$A$48,0),MATCH(U$5,'[25]RESID-E_ANTC'!$M$3:$T$3,0)),"")</f>
        <v>0</v>
      </c>
      <c r="V60" s="279"/>
      <c r="W60" s="279"/>
    </row>
    <row r="61" spans="2:23">
      <c r="B61" s="270" t="str">
        <f>IF([25]ITEMS_Tech_E!D61="","",[25]ITEMS_Tech_E!D61)</f>
        <v>*</v>
      </c>
      <c r="C61" s="271" t="str">
        <f>IF([25]ITEMS_Tech_E!E61="","",[25]ITEMS_Tech_E!E61)</f>
        <v/>
      </c>
      <c r="D61" s="272"/>
      <c r="E61" s="272"/>
      <c r="F61" s="278">
        <f>IFERROR(INDEX('[25]EFF-E_ANTC'!$C$4:$H$47,MATCH($B61,'[25]EFF-E_ANTC'!$A$4:$A$47,0),MATCH(F$5,'[25]EFF-E_ANTC'!$C$3:$H$3,0)),"")</f>
        <v>6.4348339348895098E-2</v>
      </c>
      <c r="G61" s="278">
        <f>IFERROR(INDEX('[25]EFF-E_ANTC'!$C$4:$H$47,MATCH($B61,'[25]EFF-E_ANTC'!$A$4:$A$47,0),MATCH(G$5,'[25]EFF-E_ANTC'!$C$3:$H$3,0)),"")</f>
        <v>6.4532835825940396E-2</v>
      </c>
      <c r="H61" s="278">
        <f>IFERROR(INDEX('[25]EFF-E_ANTC'!$C$4:$H$47,MATCH($B61,'[25]EFF-E_ANTC'!$A$4:$A$47,0),MATCH(H$5,'[25]EFF-E_ANTC'!$C$3:$H$3,0)),"")</f>
        <v>6.5227894002483106E-2</v>
      </c>
      <c r="I61" s="278">
        <f>IFERROR(INDEX('[25]EFF-E_ANTC'!$C$4:$H$47,MATCH($B61,'[25]EFF-E_ANTC'!$A$4:$A$47,0),MATCH(I$5,'[25]EFF-E_ANTC'!$C$3:$H$3,0)),"")</f>
        <v>6.6011283101863896E-2</v>
      </c>
      <c r="J61" s="278">
        <f>IFERROR(INDEX('[25]EFF-E_ANTC'!$C$4:$H$47,MATCH($B61,'[25]EFF-E_ANTC'!$A$4:$A$47,0),MATCH(J$5,'[25]EFF-E_ANTC'!$C$3:$H$3,0)),"")</f>
        <v>6.6777008175099004E-2</v>
      </c>
      <c r="K61" s="274">
        <f>IFERROR(INDEX('[25]AFA-E_ANTC'!$J$5:$O$48,MATCH($B61,'[25]AFA-E_ANTC'!$A$5:$A$48,0),MATCH(K$5,'[25]AFA-E_ANTC'!$J$3:$O$3,0)),"")</f>
        <v>0.42532283795650333</v>
      </c>
      <c r="L61" s="274">
        <f>IFERROR(INDEX('[25]AFA-E_ANTC'!$J$5:$O$48,MATCH($B61,'[25]AFA-E_ANTC'!$A$5:$A$48,0),MATCH(L$5,'[25]AFA-E_ANTC'!$J$3:$O$3,0)),"")</f>
        <v>0.33706878442068333</v>
      </c>
      <c r="M61" s="274">
        <f>IFERROR(INDEX('[25]AFA-E_ANTC'!$J$5:$O$48,MATCH($B61,'[25]AFA-E_ANTC'!$A$5:$A$48,0),MATCH(M$5,'[25]AFA-E_ANTC'!$J$3:$O$3,0)),"")</f>
        <v>0.15171434294469499</v>
      </c>
      <c r="N61" s="274">
        <f>IFERROR(INDEX('[25]AFA-E_ANTC'!$J$5:$O$48,MATCH($B61,'[25]AFA-E_ANTC'!$A$5:$A$48,0),MATCH(N$5,'[25]AFA-E_ANTC'!$J$3:$O$3,0)),"")</f>
        <v>6.6477490540613332E-2</v>
      </c>
      <c r="O61" s="274">
        <f>IFERROR(INDEX('[25]AFA-E_ANTC'!$J$5:$O$48,MATCH($B61,'[25]AFA-E_ANTC'!$A$5:$A$48,0),MATCH(O$5,'[25]AFA-E_ANTC'!$J$3:$O$3,0)),"")</f>
        <v>2.8637041139474666E-2</v>
      </c>
      <c r="P61" s="274">
        <f>IFERROR(INDEX('[25]AFA-E_ANTC'!$P$5:$P$48,MATCH($B61,'[25]AFA-E_ANTC'!$A$5:$A$48,0)),"")</f>
        <v>0.06</v>
      </c>
      <c r="Q61" s="276">
        <f>IFERROR(INDEX('[25]RESID-E_ANTC'!$M$5:$T$48,MATCH($B61,'[25]RESID-E_ANTC'!$A$5:$A$48,0),MATCH(Q$5,'[25]RESID-E_ANTC'!$M$3:$T$3,0)),"")</f>
        <v>25.1952522652347</v>
      </c>
      <c r="R61" s="276">
        <f>IFERROR(INDEX('[25]RESID-E_ANTC'!$M$5:$T$48,MATCH($B61,'[25]RESID-E_ANTC'!$A$5:$A$48,0),MATCH(R$5,'[25]RESID-E_ANTC'!$M$3:$T$3,0)),"")</f>
        <v>23.083651962362801</v>
      </c>
      <c r="S61" s="276">
        <f>IFERROR(INDEX('[25]RESID-E_ANTC'!$M$5:$T$48,MATCH($B61,'[25]RESID-E_ANTC'!$A$5:$A$48,0),MATCH(S$5,'[25]RESID-E_ANTC'!$M$3:$T$3,0)),"")</f>
        <v>15.5161252325553</v>
      </c>
      <c r="T61" s="276">
        <f>IFERROR(INDEX('[25]RESID-E_ANTC'!$M$5:$T$48,MATCH($B61,'[25]RESID-E_ANTC'!$A$5:$A$48,0),MATCH(T$5,'[25]RESID-E_ANTC'!$M$3:$T$3,0)),"")</f>
        <v>0</v>
      </c>
      <c r="U61" s="276">
        <f>IFERROR(INDEX('[25]RESID-E_ANTC'!$M$5:$T$48,MATCH($B61,'[25]RESID-E_ANTC'!$A$5:$A$48,0),MATCH(U$5,'[25]RESID-E_ANTC'!$M$3:$T$3,0)),"")</f>
        <v>0</v>
      </c>
      <c r="V61" s="279"/>
      <c r="W61" s="279"/>
    </row>
    <row r="62" spans="2:23">
      <c r="B62" s="270" t="str">
        <f>IF([25]ITEMS_Tech_E!D62="","",[25]ITEMS_Tech_E!D62)</f>
        <v>*</v>
      </c>
      <c r="C62" s="271" t="str">
        <f>IF([25]ITEMS_Tech_E!E62="","",[25]ITEMS_Tech_E!E62)</f>
        <v>Freight Rail</v>
      </c>
      <c r="D62" s="272"/>
      <c r="E62" s="272"/>
      <c r="F62" s="278">
        <f>IFERROR(INDEX('[25]EFF-E_ANTC'!$C$4:$H$47,MATCH($B62,'[25]EFF-E_ANTC'!$A$4:$A$47,0),MATCH(F$5,'[25]EFF-E_ANTC'!$C$3:$H$3,0)),"")</f>
        <v>6.4348339348895098E-2</v>
      </c>
      <c r="G62" s="278">
        <f>IFERROR(INDEX('[25]EFF-E_ANTC'!$C$4:$H$47,MATCH($B62,'[25]EFF-E_ANTC'!$A$4:$A$47,0),MATCH(G$5,'[25]EFF-E_ANTC'!$C$3:$H$3,0)),"")</f>
        <v>6.4532835825940396E-2</v>
      </c>
      <c r="H62" s="278">
        <f>IFERROR(INDEX('[25]EFF-E_ANTC'!$C$4:$H$47,MATCH($B62,'[25]EFF-E_ANTC'!$A$4:$A$47,0),MATCH(H$5,'[25]EFF-E_ANTC'!$C$3:$H$3,0)),"")</f>
        <v>6.5227894002483106E-2</v>
      </c>
      <c r="I62" s="278">
        <f>IFERROR(INDEX('[25]EFF-E_ANTC'!$C$4:$H$47,MATCH($B62,'[25]EFF-E_ANTC'!$A$4:$A$47,0),MATCH(I$5,'[25]EFF-E_ANTC'!$C$3:$H$3,0)),"")</f>
        <v>6.6011283101863896E-2</v>
      </c>
      <c r="J62" s="278">
        <f>IFERROR(INDEX('[25]EFF-E_ANTC'!$C$4:$H$47,MATCH($B62,'[25]EFF-E_ANTC'!$A$4:$A$47,0),MATCH(J$5,'[25]EFF-E_ANTC'!$C$3:$H$3,0)),"")</f>
        <v>6.6777008175099004E-2</v>
      </c>
      <c r="K62" s="274">
        <f>IFERROR(INDEX('[25]AFA-E_ANTC'!$J$5:$O$48,MATCH($B62,'[25]AFA-E_ANTC'!$A$5:$A$48,0),MATCH(K$5,'[25]AFA-E_ANTC'!$J$3:$O$3,0)),"")</f>
        <v>0.42532283795650333</v>
      </c>
      <c r="L62" s="274">
        <f>IFERROR(INDEX('[25]AFA-E_ANTC'!$J$5:$O$48,MATCH($B62,'[25]AFA-E_ANTC'!$A$5:$A$48,0),MATCH(L$5,'[25]AFA-E_ANTC'!$J$3:$O$3,0)),"")</f>
        <v>0.33706878442068333</v>
      </c>
      <c r="M62" s="274">
        <f>IFERROR(INDEX('[25]AFA-E_ANTC'!$J$5:$O$48,MATCH($B62,'[25]AFA-E_ANTC'!$A$5:$A$48,0),MATCH(M$5,'[25]AFA-E_ANTC'!$J$3:$O$3,0)),"")</f>
        <v>0.15171434294469499</v>
      </c>
      <c r="N62" s="274">
        <f>IFERROR(INDEX('[25]AFA-E_ANTC'!$J$5:$O$48,MATCH($B62,'[25]AFA-E_ANTC'!$A$5:$A$48,0),MATCH(N$5,'[25]AFA-E_ANTC'!$J$3:$O$3,0)),"")</f>
        <v>6.6477490540613332E-2</v>
      </c>
      <c r="O62" s="274">
        <f>IFERROR(INDEX('[25]AFA-E_ANTC'!$J$5:$O$48,MATCH($B62,'[25]AFA-E_ANTC'!$A$5:$A$48,0),MATCH(O$5,'[25]AFA-E_ANTC'!$J$3:$O$3,0)),"")</f>
        <v>2.8637041139474666E-2</v>
      </c>
      <c r="P62" s="274">
        <f>IFERROR(INDEX('[25]AFA-E_ANTC'!$P$5:$P$48,MATCH($B62,'[25]AFA-E_ANTC'!$A$5:$A$48,0)),"")</f>
        <v>0.06</v>
      </c>
      <c r="Q62" s="276">
        <f>IFERROR(INDEX('[25]RESID-E_ANTC'!$M$5:$T$48,MATCH($B62,'[25]RESID-E_ANTC'!$A$5:$A$48,0),MATCH(Q$5,'[25]RESID-E_ANTC'!$M$3:$T$3,0)),"")</f>
        <v>25.1952522652347</v>
      </c>
      <c r="R62" s="276">
        <f>IFERROR(INDEX('[25]RESID-E_ANTC'!$M$5:$T$48,MATCH($B62,'[25]RESID-E_ANTC'!$A$5:$A$48,0),MATCH(R$5,'[25]RESID-E_ANTC'!$M$3:$T$3,0)),"")</f>
        <v>23.083651962362801</v>
      </c>
      <c r="S62" s="276">
        <f>IFERROR(INDEX('[25]RESID-E_ANTC'!$M$5:$T$48,MATCH($B62,'[25]RESID-E_ANTC'!$A$5:$A$48,0),MATCH(S$5,'[25]RESID-E_ANTC'!$M$3:$T$3,0)),"")</f>
        <v>15.5161252325553</v>
      </c>
      <c r="T62" s="276">
        <f>IFERROR(INDEX('[25]RESID-E_ANTC'!$M$5:$T$48,MATCH($B62,'[25]RESID-E_ANTC'!$A$5:$A$48,0),MATCH(T$5,'[25]RESID-E_ANTC'!$M$3:$T$3,0)),"")</f>
        <v>0</v>
      </c>
      <c r="U62" s="276">
        <f>IFERROR(INDEX('[25]RESID-E_ANTC'!$M$5:$T$48,MATCH($B62,'[25]RESID-E_ANTC'!$A$5:$A$48,0),MATCH(U$5,'[25]RESID-E_ANTC'!$M$3:$T$3,0)),"")</f>
        <v>0</v>
      </c>
      <c r="V62" s="279"/>
      <c r="W62" s="279"/>
    </row>
    <row r="63" spans="2:23">
      <c r="B63" s="270" t="str">
        <f>IF([25]ITEMS_Tech_E!D63="","",[25]ITEMS_Tech_E!D63)</f>
        <v>TFRCOODS-E</v>
      </c>
      <c r="C63" s="271" t="str">
        <f>IF([25]ITEMS_Tech_E!E63="","",[25]ITEMS_Tech_E!E63)</f>
        <v>Transport Freight - Rail Corridor Oil Diesel-E</v>
      </c>
      <c r="D63" s="277" t="s">
        <v>741</v>
      </c>
      <c r="E63" s="277" t="s">
        <v>761</v>
      </c>
      <c r="F63" s="278">
        <f>IFERROR(INDEX('[25]EFF-E_ANTC'!$C$4:$H$47,MATCH($B63,'[25]EFF-E_ANTC'!$A$4:$A$47,0),MATCH(F$5,'[25]EFF-E_ANTC'!$C$3:$H$3,0)),"")</f>
        <v>2.8040417913534488</v>
      </c>
      <c r="G63" s="278">
        <f>IFERROR(INDEX('[25]EFF-E_ANTC'!$C$4:$H$47,MATCH($B63,'[25]EFF-E_ANTC'!$A$4:$A$47,0),MATCH(G$5,'[25]EFF-E_ANTC'!$C$3:$H$3,0)),"")</f>
        <v>2.8040417913534488</v>
      </c>
      <c r="H63" s="278">
        <f>IFERROR(INDEX('[25]EFF-E_ANTC'!$C$4:$H$47,MATCH($B63,'[25]EFF-E_ANTC'!$A$4:$A$47,0),MATCH(H$5,'[25]EFF-E_ANTC'!$C$3:$H$3,0)),"")</f>
        <v>2.8040417913534488</v>
      </c>
      <c r="I63" s="278">
        <f>IFERROR(INDEX('[25]EFF-E_ANTC'!$C$4:$H$47,MATCH($B63,'[25]EFF-E_ANTC'!$A$4:$A$47,0),MATCH(I$5,'[25]EFF-E_ANTC'!$C$3:$H$3,0)),"")</f>
        <v>2.8040417913534488</v>
      </c>
      <c r="J63" s="278">
        <f>IFERROR(INDEX('[25]EFF-E_ANTC'!$C$4:$H$47,MATCH($B63,'[25]EFF-E_ANTC'!$A$4:$A$47,0),MATCH(J$5,'[25]EFF-E_ANTC'!$C$3:$H$3,0)),"")</f>
        <v>2.8040417913534488</v>
      </c>
      <c r="K63" s="274">
        <f>IFERROR(INDEX('[25]AFA-E_ANTC'!$J$5:$O$48,MATCH($B63,'[25]AFA-E_ANTC'!$A$5:$A$48,0),MATCH(K$5,'[25]AFA-E_ANTC'!$J$3:$O$3,0)),"")</f>
        <v>1</v>
      </c>
      <c r="L63" s="274">
        <f>IFERROR(INDEX('[25]AFA-E_ANTC'!$J$5:$O$48,MATCH($B63,'[25]AFA-E_ANTC'!$A$5:$A$48,0),MATCH(L$5,'[25]AFA-E_ANTC'!$J$3:$O$3,0)),"")</f>
        <v>1</v>
      </c>
      <c r="M63" s="274">
        <f>IFERROR(INDEX('[25]AFA-E_ANTC'!$J$5:$O$48,MATCH($B63,'[25]AFA-E_ANTC'!$A$5:$A$48,0),MATCH(M$5,'[25]AFA-E_ANTC'!$J$3:$O$3,0)),"")</f>
        <v>1</v>
      </c>
      <c r="N63" s="274">
        <f>IFERROR(INDEX('[25]AFA-E_ANTC'!$J$5:$O$48,MATCH($B63,'[25]AFA-E_ANTC'!$A$5:$A$48,0),MATCH(N$5,'[25]AFA-E_ANTC'!$J$3:$O$3,0)),"")</f>
        <v>1</v>
      </c>
      <c r="O63" s="274">
        <f>IFERROR(INDEX('[25]AFA-E_ANTC'!$J$5:$O$48,MATCH($B63,'[25]AFA-E_ANTC'!$A$5:$A$48,0),MATCH(O$5,'[25]AFA-E_ANTC'!$J$3:$O$3,0)),"")</f>
        <v>1</v>
      </c>
      <c r="P63" s="274">
        <f>IFERROR(INDEX('[25]AFA-E_ANTC'!$P$5:$P$48,MATCH($B63,'[25]AFA-E_ANTC'!$A$5:$A$48,0)),"")</f>
        <v>1</v>
      </c>
      <c r="Q63" s="276">
        <f>IFERROR(INDEX('[25]RESID-E_ANTC'!$M$5:$T$48,MATCH($B63,'[25]RESID-E_ANTC'!$A$5:$A$48,0),MATCH(Q$5,'[25]RESID-E_ANTC'!$M$3:$T$3,0)),"")</f>
        <v>7.1799653230224925</v>
      </c>
      <c r="R63" s="276">
        <f>IFERROR(INDEX('[25]RESID-E_ANTC'!$M$5:$T$48,MATCH($B63,'[25]RESID-E_ANTC'!$A$5:$A$48,0),MATCH(R$5,'[25]RESID-E_ANTC'!$M$3:$T$3,0)),"")</f>
        <v>7.1799653230224925</v>
      </c>
      <c r="S63" s="276">
        <f>IFERROR(INDEX('[25]RESID-E_ANTC'!$M$5:$T$48,MATCH($B63,'[25]RESID-E_ANTC'!$A$5:$A$48,0),MATCH(S$5,'[25]RESID-E_ANTC'!$M$3:$T$3,0)),"")</f>
        <v>7.1799653230224925</v>
      </c>
      <c r="T63" s="276">
        <f>IFERROR(INDEX('[25]RESID-E_ANTC'!$M$5:$T$48,MATCH($B63,'[25]RESID-E_ANTC'!$A$5:$A$48,0),MATCH(T$5,'[25]RESID-E_ANTC'!$M$3:$T$3,0)),"")</f>
        <v>0</v>
      </c>
      <c r="U63" s="276">
        <f>IFERROR(INDEX('[25]RESID-E_ANTC'!$M$5:$T$48,MATCH($B63,'[25]RESID-E_ANTC'!$A$5:$A$48,0),MATCH(U$5,'[25]RESID-E_ANTC'!$M$3:$T$3,0)),"")</f>
        <v>0</v>
      </c>
      <c r="V63" s="279">
        <v>3</v>
      </c>
      <c r="W63" s="279">
        <v>0</v>
      </c>
    </row>
    <row r="64" spans="2:23">
      <c r="B64" s="270" t="str">
        <f>IF([25]ITEMS_Tech_E!D64="","",[25]ITEMS_Tech_E!D64)</f>
        <v>TFRCOELC-E</v>
      </c>
      <c r="C64" s="271" t="str">
        <f>IF([25]ITEMS_Tech_E!E64="","",[25]ITEMS_Tech_E!E64)</f>
        <v>Transport Freight - Rail Corridor Electricity-E</v>
      </c>
      <c r="D64" s="277" t="s">
        <v>744</v>
      </c>
      <c r="E64" s="277" t="s">
        <v>761</v>
      </c>
      <c r="F64" s="278">
        <f>IFERROR(INDEX('[25]EFF-E_ANTC'!$C$4:$H$47,MATCH($B64,'[25]EFF-E_ANTC'!$A$4:$A$47,0),MATCH(F$5,'[25]EFF-E_ANTC'!$C$3:$H$3,0)),"")</f>
        <v>4.0285422116338081</v>
      </c>
      <c r="G64" s="278">
        <f>IFERROR(INDEX('[25]EFF-E_ANTC'!$C$4:$H$47,MATCH($B64,'[25]EFF-E_ANTC'!$A$4:$A$47,0),MATCH(G$5,'[25]EFF-E_ANTC'!$C$3:$H$3,0)),"")</f>
        <v>4.0285422116338081</v>
      </c>
      <c r="H64" s="278">
        <f>IFERROR(INDEX('[25]EFF-E_ANTC'!$C$4:$H$47,MATCH($B64,'[25]EFF-E_ANTC'!$A$4:$A$47,0),MATCH(H$5,'[25]EFF-E_ANTC'!$C$3:$H$3,0)),"")</f>
        <v>4.0285422116338081</v>
      </c>
      <c r="I64" s="278">
        <f>IFERROR(INDEX('[25]EFF-E_ANTC'!$C$4:$H$47,MATCH($B64,'[25]EFF-E_ANTC'!$A$4:$A$47,0),MATCH(I$5,'[25]EFF-E_ANTC'!$C$3:$H$3,0)),"")</f>
        <v>4.0285422116338081</v>
      </c>
      <c r="J64" s="278">
        <f>IFERROR(INDEX('[25]EFF-E_ANTC'!$C$4:$H$47,MATCH($B64,'[25]EFF-E_ANTC'!$A$4:$A$47,0),MATCH(J$5,'[25]EFF-E_ANTC'!$C$3:$H$3,0)),"")</f>
        <v>4.0285422116338081</v>
      </c>
      <c r="K64" s="274">
        <f>IFERROR(INDEX('[25]AFA-E_ANTC'!$J$5:$O$48,MATCH($B64,'[25]AFA-E_ANTC'!$A$5:$A$48,0),MATCH(K$5,'[25]AFA-E_ANTC'!$J$3:$O$3,0)),"")</f>
        <v>1</v>
      </c>
      <c r="L64" s="274">
        <f>IFERROR(INDEX('[25]AFA-E_ANTC'!$J$5:$O$48,MATCH($B64,'[25]AFA-E_ANTC'!$A$5:$A$48,0),MATCH(L$5,'[25]AFA-E_ANTC'!$J$3:$O$3,0)),"")</f>
        <v>1</v>
      </c>
      <c r="M64" s="274">
        <f>IFERROR(INDEX('[25]AFA-E_ANTC'!$J$5:$O$48,MATCH($B64,'[25]AFA-E_ANTC'!$A$5:$A$48,0),MATCH(M$5,'[25]AFA-E_ANTC'!$J$3:$O$3,0)),"")</f>
        <v>1</v>
      </c>
      <c r="N64" s="274">
        <f>IFERROR(INDEX('[25]AFA-E_ANTC'!$J$5:$O$48,MATCH($B64,'[25]AFA-E_ANTC'!$A$5:$A$48,0),MATCH(N$5,'[25]AFA-E_ANTC'!$J$3:$O$3,0)),"")</f>
        <v>1</v>
      </c>
      <c r="O64" s="274">
        <f>IFERROR(INDEX('[25]AFA-E_ANTC'!$J$5:$O$48,MATCH($B64,'[25]AFA-E_ANTC'!$A$5:$A$48,0),MATCH(O$5,'[25]AFA-E_ANTC'!$J$3:$O$3,0)),"")</f>
        <v>1</v>
      </c>
      <c r="P64" s="274">
        <f>IFERROR(INDEX('[25]AFA-E_ANTC'!$P$5:$P$48,MATCH($B64,'[25]AFA-E_ANTC'!$A$5:$A$48,0)),"")</f>
        <v>1</v>
      </c>
      <c r="Q64" s="276">
        <f>IFERROR(INDEX('[25]RESID-E_ANTC'!$M$5:$T$48,MATCH($B64,'[25]RESID-E_ANTC'!$A$5:$A$48,0),MATCH(Q$5,'[25]RESID-E_ANTC'!$M$3:$T$3,0)),"")</f>
        <v>14.820034676977507</v>
      </c>
      <c r="R64" s="276">
        <f>IFERROR(INDEX('[25]RESID-E_ANTC'!$M$5:$T$48,MATCH($B64,'[25]RESID-E_ANTC'!$A$5:$A$48,0),MATCH(R$5,'[25]RESID-E_ANTC'!$M$3:$T$3,0)),"")</f>
        <v>14.820034676977507</v>
      </c>
      <c r="S64" s="276">
        <f>IFERROR(INDEX('[25]RESID-E_ANTC'!$M$5:$T$48,MATCH($B64,'[25]RESID-E_ANTC'!$A$5:$A$48,0),MATCH(S$5,'[25]RESID-E_ANTC'!$M$3:$T$3,0)),"")</f>
        <v>14.820034676977507</v>
      </c>
      <c r="T64" s="276">
        <f>IFERROR(INDEX('[25]RESID-E_ANTC'!$M$5:$T$48,MATCH($B64,'[25]RESID-E_ANTC'!$A$5:$A$48,0),MATCH(T$5,'[25]RESID-E_ANTC'!$M$3:$T$3,0)),"")</f>
        <v>14.820034676977507</v>
      </c>
      <c r="U64" s="276">
        <f>IFERROR(INDEX('[25]RESID-E_ANTC'!$M$5:$T$48,MATCH($B64,'[25]RESID-E_ANTC'!$A$5:$A$48,0),MATCH(U$5,'[25]RESID-E_ANTC'!$M$3:$T$3,0)),"")</f>
        <v>14.820034676977507</v>
      </c>
      <c r="V64" s="279">
        <v>3</v>
      </c>
      <c r="W64" s="279">
        <v>0</v>
      </c>
    </row>
    <row r="65" spans="2:23">
      <c r="B65" s="270" t="str">
        <f>IF([25]ITEMS_Tech_E!D65="","",[25]ITEMS_Tech_E!D65)</f>
        <v>TFROTODS-E</v>
      </c>
      <c r="C65" s="271" t="str">
        <f>IF([25]ITEMS_Tech_E!E65="","",[25]ITEMS_Tech_E!E65)</f>
        <v>Transport Freight - Rail Other Oil Diesel-E</v>
      </c>
      <c r="D65" s="277" t="s">
        <v>741</v>
      </c>
      <c r="E65" s="277" t="s">
        <v>762</v>
      </c>
      <c r="F65" s="278">
        <f>IFERROR(INDEX('[25]EFF-E_ANTC'!$C$4:$H$47,MATCH($B65,'[25]EFF-E_ANTC'!$A$4:$A$47,0),MATCH(F$5,'[25]EFF-E_ANTC'!$C$3:$H$3,0)),"")</f>
        <v>4.2248786996646812</v>
      </c>
      <c r="G65" s="278">
        <f>IFERROR(INDEX('[25]EFF-E_ANTC'!$C$4:$H$47,MATCH($B65,'[25]EFF-E_ANTC'!$A$4:$A$47,0),MATCH(G$5,'[25]EFF-E_ANTC'!$C$3:$H$3,0)),"")</f>
        <v>4.2248786996646812</v>
      </c>
      <c r="H65" s="278">
        <f>IFERROR(INDEX('[25]EFF-E_ANTC'!$C$4:$H$47,MATCH($B65,'[25]EFF-E_ANTC'!$A$4:$A$47,0),MATCH(H$5,'[25]EFF-E_ANTC'!$C$3:$H$3,0)),"")</f>
        <v>4.2248786996646812</v>
      </c>
      <c r="I65" s="278">
        <f>IFERROR(INDEX('[25]EFF-E_ANTC'!$C$4:$H$47,MATCH($B65,'[25]EFF-E_ANTC'!$A$4:$A$47,0),MATCH(I$5,'[25]EFF-E_ANTC'!$C$3:$H$3,0)),"")</f>
        <v>4.2248786996646812</v>
      </c>
      <c r="J65" s="278">
        <f>IFERROR(INDEX('[25]EFF-E_ANTC'!$C$4:$H$47,MATCH($B65,'[25]EFF-E_ANTC'!$A$4:$A$47,0),MATCH(J$5,'[25]EFF-E_ANTC'!$C$3:$H$3,0)),"")</f>
        <v>4.2248786996646812</v>
      </c>
      <c r="K65" s="274">
        <f>IFERROR(INDEX('[25]AFA-E_ANTC'!$J$5:$O$48,MATCH($B65,'[25]AFA-E_ANTC'!$A$5:$A$48,0),MATCH(K$5,'[25]AFA-E_ANTC'!$J$3:$O$3,0)),"")</f>
        <v>1</v>
      </c>
      <c r="L65" s="274">
        <f>IFERROR(INDEX('[25]AFA-E_ANTC'!$J$5:$O$48,MATCH($B65,'[25]AFA-E_ANTC'!$A$5:$A$48,0),MATCH(L$5,'[25]AFA-E_ANTC'!$J$3:$O$3,0)),"")</f>
        <v>1</v>
      </c>
      <c r="M65" s="274">
        <f>IFERROR(INDEX('[25]AFA-E_ANTC'!$J$5:$O$48,MATCH($B65,'[25]AFA-E_ANTC'!$A$5:$A$48,0),MATCH(M$5,'[25]AFA-E_ANTC'!$J$3:$O$3,0)),"")</f>
        <v>1</v>
      </c>
      <c r="N65" s="274">
        <f>IFERROR(INDEX('[25]AFA-E_ANTC'!$J$5:$O$48,MATCH($B65,'[25]AFA-E_ANTC'!$A$5:$A$48,0),MATCH(N$5,'[25]AFA-E_ANTC'!$J$3:$O$3,0)),"")</f>
        <v>1</v>
      </c>
      <c r="O65" s="274">
        <f>IFERROR(INDEX('[25]AFA-E_ANTC'!$J$5:$O$48,MATCH($B65,'[25]AFA-E_ANTC'!$A$5:$A$48,0),MATCH(O$5,'[25]AFA-E_ANTC'!$J$3:$O$3,0)),"")</f>
        <v>1</v>
      </c>
      <c r="P65" s="274">
        <f>IFERROR(INDEX('[25]AFA-E_ANTC'!$P$5:$P$48,MATCH($B65,'[25]AFA-E_ANTC'!$A$5:$A$48,0)),"")</f>
        <v>1</v>
      </c>
      <c r="Q65" s="276">
        <f>IFERROR(INDEX('[25]RESID-E_ANTC'!$M$5:$T$48,MATCH($B65,'[25]RESID-E_ANTC'!$A$5:$A$48,0),MATCH(Q$5,'[25]RESID-E_ANTC'!$M$3:$T$3,0)),"")</f>
        <v>5.3170222384328483</v>
      </c>
      <c r="R65" s="276">
        <f>IFERROR(INDEX('[25]RESID-E_ANTC'!$M$5:$T$48,MATCH($B65,'[25]RESID-E_ANTC'!$A$5:$A$48,0),MATCH(R$5,'[25]RESID-E_ANTC'!$M$3:$T$3,0)),"")</f>
        <v>5.3170222384328483</v>
      </c>
      <c r="S65" s="276">
        <f>IFERROR(INDEX('[25]RESID-E_ANTC'!$M$5:$T$48,MATCH($B65,'[25]RESID-E_ANTC'!$A$5:$A$48,0),MATCH(S$5,'[25]RESID-E_ANTC'!$M$3:$T$3,0)),"")</f>
        <v>5.3170222384328483</v>
      </c>
      <c r="T65" s="276">
        <f>IFERROR(INDEX('[25]RESID-E_ANTC'!$M$5:$T$48,MATCH($B65,'[25]RESID-E_ANTC'!$A$5:$A$48,0),MATCH(T$5,'[25]RESID-E_ANTC'!$M$3:$T$3,0)),"")</f>
        <v>0</v>
      </c>
      <c r="U65" s="276">
        <f>IFERROR(INDEX('[25]RESID-E_ANTC'!$M$5:$T$48,MATCH($B65,'[25]RESID-E_ANTC'!$A$5:$A$48,0),MATCH(U$5,'[25]RESID-E_ANTC'!$M$3:$T$3,0)),"")</f>
        <v>0</v>
      </c>
      <c r="V65" s="279">
        <v>3</v>
      </c>
      <c r="W65" s="279">
        <v>0</v>
      </c>
    </row>
    <row r="66" spans="2:23">
      <c r="B66" s="270" t="str">
        <f>IF([25]ITEMS_Tech_E!D66="","",[25]ITEMS_Tech_E!D66)</f>
        <v>TFROTELC-E</v>
      </c>
      <c r="C66" s="271" t="str">
        <f>IF([25]ITEMS_Tech_E!E66="","",[25]ITEMS_Tech_E!E66)</f>
        <v>Transport Freight - Rail Other Electricity-E</v>
      </c>
      <c r="D66" s="277" t="s">
        <v>744</v>
      </c>
      <c r="E66" s="277" t="s">
        <v>762</v>
      </c>
      <c r="F66" s="278">
        <f>IFERROR(INDEX('[25]EFF-E_ANTC'!$C$4:$H$47,MATCH($B66,'[25]EFF-E_ANTC'!$A$4:$A$47,0),MATCH(F$5,'[25]EFF-E_ANTC'!$C$3:$H$3,0)),"")</f>
        <v>12.071081999041946</v>
      </c>
      <c r="G66" s="278">
        <f>IFERROR(INDEX('[25]EFF-E_ANTC'!$C$4:$H$47,MATCH($B66,'[25]EFF-E_ANTC'!$A$4:$A$47,0),MATCH(G$5,'[25]EFF-E_ANTC'!$C$3:$H$3,0)),"")</f>
        <v>12.071081999041946</v>
      </c>
      <c r="H66" s="278">
        <f>IFERROR(INDEX('[25]EFF-E_ANTC'!$C$4:$H$47,MATCH($B66,'[25]EFF-E_ANTC'!$A$4:$A$47,0),MATCH(H$5,'[25]EFF-E_ANTC'!$C$3:$H$3,0)),"")</f>
        <v>12.071081999041946</v>
      </c>
      <c r="I66" s="278">
        <f>IFERROR(INDEX('[25]EFF-E_ANTC'!$C$4:$H$47,MATCH($B66,'[25]EFF-E_ANTC'!$A$4:$A$47,0),MATCH(I$5,'[25]EFF-E_ANTC'!$C$3:$H$3,0)),"")</f>
        <v>12.071081999041946</v>
      </c>
      <c r="J66" s="278">
        <f>IFERROR(INDEX('[25]EFF-E_ANTC'!$C$4:$H$47,MATCH($B66,'[25]EFF-E_ANTC'!$A$4:$A$47,0),MATCH(J$5,'[25]EFF-E_ANTC'!$C$3:$H$3,0)),"")</f>
        <v>12.071081999041946</v>
      </c>
      <c r="K66" s="274">
        <f>IFERROR(INDEX('[25]AFA-E_ANTC'!$J$5:$O$48,MATCH($B66,'[25]AFA-E_ANTC'!$A$5:$A$48,0),MATCH(K$5,'[25]AFA-E_ANTC'!$J$3:$O$3,0)),"")</f>
        <v>1</v>
      </c>
      <c r="L66" s="274">
        <f>IFERROR(INDEX('[25]AFA-E_ANTC'!$J$5:$O$48,MATCH($B66,'[25]AFA-E_ANTC'!$A$5:$A$48,0),MATCH(L$5,'[25]AFA-E_ANTC'!$J$3:$O$3,0)),"")</f>
        <v>1</v>
      </c>
      <c r="M66" s="274">
        <f>IFERROR(INDEX('[25]AFA-E_ANTC'!$J$5:$O$48,MATCH($B66,'[25]AFA-E_ANTC'!$A$5:$A$48,0),MATCH(M$5,'[25]AFA-E_ANTC'!$J$3:$O$3,0)),"")</f>
        <v>1</v>
      </c>
      <c r="N66" s="274">
        <f>IFERROR(INDEX('[25]AFA-E_ANTC'!$J$5:$O$48,MATCH($B66,'[25]AFA-E_ANTC'!$A$5:$A$48,0),MATCH(N$5,'[25]AFA-E_ANTC'!$J$3:$O$3,0)),"")</f>
        <v>1</v>
      </c>
      <c r="O66" s="274">
        <f>IFERROR(INDEX('[25]AFA-E_ANTC'!$J$5:$O$48,MATCH($B66,'[25]AFA-E_ANTC'!$A$5:$A$48,0),MATCH(O$5,'[25]AFA-E_ANTC'!$J$3:$O$3,0)),"")</f>
        <v>1</v>
      </c>
      <c r="P66" s="274">
        <f>IFERROR(INDEX('[25]AFA-E_ANTC'!$P$5:$P$48,MATCH($B66,'[25]AFA-E_ANTC'!$A$5:$A$48,0)),"")</f>
        <v>1</v>
      </c>
      <c r="Q66" s="276">
        <f>IFERROR(INDEX('[25]RESID-E_ANTC'!$M$5:$T$48,MATCH($B66,'[25]RESID-E_ANTC'!$A$5:$A$48,0),MATCH(Q$5,'[25]RESID-E_ANTC'!$M$3:$T$3,0)),"")</f>
        <v>21.825483275883826</v>
      </c>
      <c r="R66" s="276">
        <f>IFERROR(INDEX('[25]RESID-E_ANTC'!$M$5:$T$48,MATCH($B66,'[25]RESID-E_ANTC'!$A$5:$A$48,0),MATCH(R$5,'[25]RESID-E_ANTC'!$M$3:$T$3,0)),"")</f>
        <v>21.825483275883826</v>
      </c>
      <c r="S66" s="276">
        <f>IFERROR(INDEX('[25]RESID-E_ANTC'!$M$5:$T$48,MATCH($B66,'[25]RESID-E_ANTC'!$A$5:$A$48,0),MATCH(S$5,'[25]RESID-E_ANTC'!$M$3:$T$3,0)),"")</f>
        <v>21.825483275883826</v>
      </c>
      <c r="T66" s="276">
        <f>IFERROR(INDEX('[25]RESID-E_ANTC'!$M$5:$T$48,MATCH($B66,'[25]RESID-E_ANTC'!$A$5:$A$48,0),MATCH(T$5,'[25]RESID-E_ANTC'!$M$3:$T$3,0)),"")</f>
        <v>21.825483275883826</v>
      </c>
      <c r="U66" s="276">
        <f>IFERROR(INDEX('[25]RESID-E_ANTC'!$M$5:$T$48,MATCH($B66,'[25]RESID-E_ANTC'!$A$5:$A$48,0),MATCH(U$5,'[25]RESID-E_ANTC'!$M$3:$T$3,0)),"")</f>
        <v>21.825483275883826</v>
      </c>
      <c r="V66" s="279">
        <v>3</v>
      </c>
      <c r="W66" s="279">
        <v>0</v>
      </c>
    </row>
    <row r="67" spans="2:23">
      <c r="B67" s="270" t="str">
        <f>IF([25]ITEMS_Tech_E!D67="","",[25]ITEMS_Tech_E!D67)</f>
        <v>TFREXODSR-E</v>
      </c>
      <c r="C67" s="271" t="str">
        <f>IF([25]ITEMS_Tech_E!E67="","",[25]ITEMS_Tech_E!E67)</f>
        <v>Transport Freight - Rail Export (bulk mining) Oil Diesel-E</v>
      </c>
      <c r="D67" s="277" t="s">
        <v>741</v>
      </c>
      <c r="E67" s="277" t="s">
        <v>763</v>
      </c>
      <c r="F67" s="278">
        <f>IFERROR(INDEX('[25]EFF-E_ANTC'!$C$4:$H$47,MATCH($B67,'[25]EFF-E_ANTC'!$A$4:$A$47,0),MATCH(F$5,'[25]EFF-E_ANTC'!$C$3:$H$3,0)),"")</f>
        <v>6.545125793438701</v>
      </c>
      <c r="G67" s="278">
        <f>IFERROR(INDEX('[25]EFF-E_ANTC'!$C$4:$H$47,MATCH($B67,'[25]EFF-E_ANTC'!$A$4:$A$47,0),MATCH(G$5,'[25]EFF-E_ANTC'!$C$3:$H$3,0)),"")</f>
        <v>6.545125793438701</v>
      </c>
      <c r="H67" s="278">
        <f>IFERROR(INDEX('[25]EFF-E_ANTC'!$C$4:$H$47,MATCH($B67,'[25]EFF-E_ANTC'!$A$4:$A$47,0),MATCH(H$5,'[25]EFF-E_ANTC'!$C$3:$H$3,0)),"")</f>
        <v>6.545125793438701</v>
      </c>
      <c r="I67" s="278">
        <f>IFERROR(INDEX('[25]EFF-E_ANTC'!$C$4:$H$47,MATCH($B67,'[25]EFF-E_ANTC'!$A$4:$A$47,0),MATCH(I$5,'[25]EFF-E_ANTC'!$C$3:$H$3,0)),"")</f>
        <v>6.545125793438701</v>
      </c>
      <c r="J67" s="278">
        <f>IFERROR(INDEX('[25]EFF-E_ANTC'!$C$4:$H$47,MATCH($B67,'[25]EFF-E_ANTC'!$A$4:$A$47,0),MATCH(J$5,'[25]EFF-E_ANTC'!$C$3:$H$3,0)),"")</f>
        <v>6.545125793438701</v>
      </c>
      <c r="K67" s="274">
        <f>IFERROR(INDEX('[25]AFA-E_ANTC'!$J$5:$O$48,MATCH($B67,'[25]AFA-E_ANTC'!$A$5:$A$48,0),MATCH(K$5,'[25]AFA-E_ANTC'!$J$3:$O$3,0)),"")</f>
        <v>1</v>
      </c>
      <c r="L67" s="274">
        <f>IFERROR(INDEX('[25]AFA-E_ANTC'!$J$5:$O$48,MATCH($B67,'[25]AFA-E_ANTC'!$A$5:$A$48,0),MATCH(L$5,'[25]AFA-E_ANTC'!$J$3:$O$3,0)),"")</f>
        <v>1</v>
      </c>
      <c r="M67" s="274">
        <f>IFERROR(INDEX('[25]AFA-E_ANTC'!$J$5:$O$48,MATCH($B67,'[25]AFA-E_ANTC'!$A$5:$A$48,0),MATCH(M$5,'[25]AFA-E_ANTC'!$J$3:$O$3,0)),"")</f>
        <v>1</v>
      </c>
      <c r="N67" s="274">
        <f>IFERROR(INDEX('[25]AFA-E_ANTC'!$J$5:$O$48,MATCH($B67,'[25]AFA-E_ANTC'!$A$5:$A$48,0),MATCH(N$5,'[25]AFA-E_ANTC'!$J$3:$O$3,0)),"")</f>
        <v>1</v>
      </c>
      <c r="O67" s="274">
        <f>IFERROR(INDEX('[25]AFA-E_ANTC'!$J$5:$O$48,MATCH($B67,'[25]AFA-E_ANTC'!$A$5:$A$48,0),MATCH(O$5,'[25]AFA-E_ANTC'!$J$3:$O$3,0)),"")</f>
        <v>1</v>
      </c>
      <c r="P67" s="274">
        <f>IFERROR(INDEX('[25]AFA-E_ANTC'!$P$5:$P$48,MATCH($B67,'[25]AFA-E_ANTC'!$A$5:$A$48,0)),"")</f>
        <v>1</v>
      </c>
      <c r="Q67" s="276">
        <f>IFERROR(INDEX('[25]RESID-E_ANTC'!$M$5:$T$48,MATCH($B67,'[25]RESID-E_ANTC'!$A$5:$A$48,0),MATCH(Q$5,'[25]RESID-E_ANTC'!$M$3:$T$3,0)),"")</f>
        <v>17.370351535916075</v>
      </c>
      <c r="R67" s="276">
        <f>IFERROR(INDEX('[25]RESID-E_ANTC'!$M$5:$T$48,MATCH($B67,'[25]RESID-E_ANTC'!$A$5:$A$48,0),MATCH(R$5,'[25]RESID-E_ANTC'!$M$3:$T$3,0)),"")</f>
        <v>17.370351535916075</v>
      </c>
      <c r="S67" s="276">
        <f>IFERROR(INDEX('[25]RESID-E_ANTC'!$M$5:$T$48,MATCH($B67,'[25]RESID-E_ANTC'!$A$5:$A$48,0),MATCH(S$5,'[25]RESID-E_ANTC'!$M$3:$T$3,0)),"")</f>
        <v>17.370351535916075</v>
      </c>
      <c r="T67" s="276">
        <f>IFERROR(INDEX('[25]RESID-E_ANTC'!$M$5:$T$48,MATCH($B67,'[25]RESID-E_ANTC'!$A$5:$A$48,0),MATCH(T$5,'[25]RESID-E_ANTC'!$M$3:$T$3,0)),"")</f>
        <v>0</v>
      </c>
      <c r="U67" s="276">
        <f>IFERROR(INDEX('[25]RESID-E_ANTC'!$M$5:$T$48,MATCH($B67,'[25]RESID-E_ANTC'!$A$5:$A$48,0),MATCH(U$5,'[25]RESID-E_ANTC'!$M$3:$T$3,0)),"")</f>
        <v>0</v>
      </c>
      <c r="V67" s="279">
        <v>3</v>
      </c>
      <c r="W67" s="279">
        <v>0</v>
      </c>
    </row>
    <row r="68" spans="2:23">
      <c r="B68" s="270" t="str">
        <f>IF([25]ITEMS_Tech_E!D68="","",[25]ITEMS_Tech_E!D68)</f>
        <v>TFREXELCR-E</v>
      </c>
      <c r="C68" s="271" t="str">
        <f>IF([25]ITEMS_Tech_E!E68="","",[25]ITEMS_Tech_E!E68)</f>
        <v>Transport Freight - Rail Export (bulk mining) Electricity-E</v>
      </c>
      <c r="D68" s="277" t="s">
        <v>744</v>
      </c>
      <c r="E68" s="277" t="s">
        <v>763</v>
      </c>
      <c r="F68" s="278">
        <f>IFERROR(INDEX('[25]EFF-E_ANTC'!$C$4:$H$47,MATCH($B68,'[25]EFF-E_ANTC'!$A$4:$A$47,0),MATCH(F$5,'[25]EFF-E_ANTC'!$C$3:$H$3,0)),"")</f>
        <v>18.700359409824859</v>
      </c>
      <c r="G68" s="278">
        <f>IFERROR(INDEX('[25]EFF-E_ANTC'!$C$4:$H$47,MATCH($B68,'[25]EFF-E_ANTC'!$A$4:$A$47,0),MATCH(G$5,'[25]EFF-E_ANTC'!$C$3:$H$3,0)),"")</f>
        <v>18.700359409824859</v>
      </c>
      <c r="H68" s="278">
        <f>IFERROR(INDEX('[25]EFF-E_ANTC'!$C$4:$H$47,MATCH($B68,'[25]EFF-E_ANTC'!$A$4:$A$47,0),MATCH(H$5,'[25]EFF-E_ANTC'!$C$3:$H$3,0)),"")</f>
        <v>18.700359409824859</v>
      </c>
      <c r="I68" s="278">
        <f>IFERROR(INDEX('[25]EFF-E_ANTC'!$C$4:$H$47,MATCH($B68,'[25]EFF-E_ANTC'!$A$4:$A$47,0),MATCH(I$5,'[25]EFF-E_ANTC'!$C$3:$H$3,0)),"")</f>
        <v>18.700359409824859</v>
      </c>
      <c r="J68" s="278">
        <f>IFERROR(INDEX('[25]EFF-E_ANTC'!$C$4:$H$47,MATCH($B68,'[25]EFF-E_ANTC'!$A$4:$A$47,0),MATCH(J$5,'[25]EFF-E_ANTC'!$C$3:$H$3,0)),"")</f>
        <v>18.700359409824859</v>
      </c>
      <c r="K68" s="274">
        <f>IFERROR(INDEX('[25]AFA-E_ANTC'!$J$5:$O$48,MATCH($B68,'[25]AFA-E_ANTC'!$A$5:$A$48,0),MATCH(K$5,'[25]AFA-E_ANTC'!$J$3:$O$3,0)),"")</f>
        <v>1</v>
      </c>
      <c r="L68" s="274">
        <f>IFERROR(INDEX('[25]AFA-E_ANTC'!$J$5:$O$48,MATCH($B68,'[25]AFA-E_ANTC'!$A$5:$A$48,0),MATCH(L$5,'[25]AFA-E_ANTC'!$J$3:$O$3,0)),"")</f>
        <v>1</v>
      </c>
      <c r="M68" s="274">
        <f>IFERROR(INDEX('[25]AFA-E_ANTC'!$J$5:$O$48,MATCH($B68,'[25]AFA-E_ANTC'!$A$5:$A$48,0),MATCH(M$5,'[25]AFA-E_ANTC'!$J$3:$O$3,0)),"")</f>
        <v>1</v>
      </c>
      <c r="N68" s="274">
        <f>IFERROR(INDEX('[25]AFA-E_ANTC'!$J$5:$O$48,MATCH($B68,'[25]AFA-E_ANTC'!$A$5:$A$48,0),MATCH(N$5,'[25]AFA-E_ANTC'!$J$3:$O$3,0)),"")</f>
        <v>1</v>
      </c>
      <c r="O68" s="274">
        <f>IFERROR(INDEX('[25]AFA-E_ANTC'!$J$5:$O$48,MATCH($B68,'[25]AFA-E_ANTC'!$A$5:$A$48,0),MATCH(O$5,'[25]AFA-E_ANTC'!$J$3:$O$3,0)),"")</f>
        <v>1</v>
      </c>
      <c r="P68" s="274">
        <f>IFERROR(INDEX('[25]AFA-E_ANTC'!$P$5:$P$48,MATCH($B68,'[25]AFA-E_ANTC'!$A$5:$A$48,0)),"")</f>
        <v>1</v>
      </c>
      <c r="Q68" s="276">
        <f>IFERROR(INDEX('[25]RESID-E_ANTC'!$M$5:$T$48,MATCH($B68,'[25]RESID-E_ANTC'!$A$5:$A$48,0),MATCH(Q$5,'[25]RESID-E_ANTC'!$M$3:$T$3,0)),"")</f>
        <v>71.302375642329608</v>
      </c>
      <c r="R68" s="276">
        <f>IFERROR(INDEX('[25]RESID-E_ANTC'!$M$5:$T$48,MATCH($B68,'[25]RESID-E_ANTC'!$A$5:$A$48,0),MATCH(R$5,'[25]RESID-E_ANTC'!$M$3:$T$3,0)),"")</f>
        <v>71.302375642329608</v>
      </c>
      <c r="S68" s="276">
        <f>IFERROR(INDEX('[25]RESID-E_ANTC'!$M$5:$T$48,MATCH($B68,'[25]RESID-E_ANTC'!$A$5:$A$48,0),MATCH(S$5,'[25]RESID-E_ANTC'!$M$3:$T$3,0)),"")</f>
        <v>71.302375642329608</v>
      </c>
      <c r="T68" s="276">
        <f>IFERROR(INDEX('[25]RESID-E_ANTC'!$M$5:$T$48,MATCH($B68,'[25]RESID-E_ANTC'!$A$5:$A$48,0),MATCH(T$5,'[25]RESID-E_ANTC'!$M$3:$T$3,0)),"")</f>
        <v>71.302375642329608</v>
      </c>
      <c r="U68" s="276">
        <f>IFERROR(INDEX('[25]RESID-E_ANTC'!$M$5:$T$48,MATCH($B68,'[25]RESID-E_ANTC'!$A$5:$A$48,0),MATCH(U$5,'[25]RESID-E_ANTC'!$M$3:$T$3,0)),"")</f>
        <v>71.302375642329608</v>
      </c>
      <c r="V68" s="279">
        <v>3</v>
      </c>
      <c r="W68" s="279">
        <v>0</v>
      </c>
    </row>
    <row r="69" spans="2:23">
      <c r="B69" s="270" t="str">
        <f>IF([25]ITEMS_Tech_E!D69="","",[25]ITEMS_Tech_E!D69)</f>
        <v>*</v>
      </c>
      <c r="C69" s="271" t="str">
        <f>IF([25]ITEMS_Tech_E!E69="","",[25]ITEMS_Tech_E!E69)</f>
        <v/>
      </c>
      <c r="D69" s="272"/>
      <c r="E69" s="272"/>
      <c r="F69" s="278">
        <f>IFERROR(INDEX('[25]EFF-E_ANTC'!$C$4:$H$47,MATCH($B69,'[25]EFF-E_ANTC'!$A$4:$A$47,0),MATCH(F$5,'[25]EFF-E_ANTC'!$C$3:$H$3,0)),"")</f>
        <v>6.4348339348895098E-2</v>
      </c>
      <c r="G69" s="278">
        <f>IFERROR(INDEX('[25]EFF-E_ANTC'!$C$4:$H$47,MATCH($B69,'[25]EFF-E_ANTC'!$A$4:$A$47,0),MATCH(G$5,'[25]EFF-E_ANTC'!$C$3:$H$3,0)),"")</f>
        <v>6.4532835825940396E-2</v>
      </c>
      <c r="H69" s="278">
        <f>IFERROR(INDEX('[25]EFF-E_ANTC'!$C$4:$H$47,MATCH($B69,'[25]EFF-E_ANTC'!$A$4:$A$47,0),MATCH(H$5,'[25]EFF-E_ANTC'!$C$3:$H$3,0)),"")</f>
        <v>6.5227894002483106E-2</v>
      </c>
      <c r="I69" s="278">
        <f>IFERROR(INDEX('[25]EFF-E_ANTC'!$C$4:$H$47,MATCH($B69,'[25]EFF-E_ANTC'!$A$4:$A$47,0),MATCH(I$5,'[25]EFF-E_ANTC'!$C$3:$H$3,0)),"")</f>
        <v>6.6011283101863896E-2</v>
      </c>
      <c r="J69" s="278">
        <f>IFERROR(INDEX('[25]EFF-E_ANTC'!$C$4:$H$47,MATCH($B69,'[25]EFF-E_ANTC'!$A$4:$A$47,0),MATCH(J$5,'[25]EFF-E_ANTC'!$C$3:$H$3,0)),"")</f>
        <v>6.6777008175099004E-2</v>
      </c>
      <c r="K69" s="274">
        <f>IFERROR(INDEX('[25]AFA-E_ANTC'!$J$5:$O$48,MATCH($B69,'[25]AFA-E_ANTC'!$A$5:$A$48,0),MATCH(K$5,'[25]AFA-E_ANTC'!$J$3:$O$3,0)),"")</f>
        <v>0.42532283795650333</v>
      </c>
      <c r="L69" s="274">
        <f>IFERROR(INDEX('[25]AFA-E_ANTC'!$J$5:$O$48,MATCH($B69,'[25]AFA-E_ANTC'!$A$5:$A$48,0),MATCH(L$5,'[25]AFA-E_ANTC'!$J$3:$O$3,0)),"")</f>
        <v>0.33706878442068333</v>
      </c>
      <c r="M69" s="274">
        <f>IFERROR(INDEX('[25]AFA-E_ANTC'!$J$5:$O$48,MATCH($B69,'[25]AFA-E_ANTC'!$A$5:$A$48,0),MATCH(M$5,'[25]AFA-E_ANTC'!$J$3:$O$3,0)),"")</f>
        <v>0.15171434294469499</v>
      </c>
      <c r="N69" s="274">
        <f>IFERROR(INDEX('[25]AFA-E_ANTC'!$J$5:$O$48,MATCH($B69,'[25]AFA-E_ANTC'!$A$5:$A$48,0),MATCH(N$5,'[25]AFA-E_ANTC'!$J$3:$O$3,0)),"")</f>
        <v>6.6477490540613332E-2</v>
      </c>
      <c r="O69" s="274">
        <f>IFERROR(INDEX('[25]AFA-E_ANTC'!$J$5:$O$48,MATCH($B69,'[25]AFA-E_ANTC'!$A$5:$A$48,0),MATCH(O$5,'[25]AFA-E_ANTC'!$J$3:$O$3,0)),"")</f>
        <v>2.8637041139474666E-2</v>
      </c>
      <c r="P69" s="274">
        <f>IFERROR(INDEX('[25]AFA-E_ANTC'!$P$5:$P$48,MATCH($B69,'[25]AFA-E_ANTC'!$A$5:$A$48,0)),"")</f>
        <v>0.06</v>
      </c>
      <c r="Q69" s="276">
        <f>IFERROR(INDEX('[25]RESID-E_ANTC'!$M$5:$T$48,MATCH($B69,'[25]RESID-E_ANTC'!$A$5:$A$48,0),MATCH(Q$5,'[25]RESID-E_ANTC'!$M$3:$T$3,0)),"")</f>
        <v>25.1952522652347</v>
      </c>
      <c r="R69" s="276">
        <f>IFERROR(INDEX('[25]RESID-E_ANTC'!$M$5:$T$48,MATCH($B69,'[25]RESID-E_ANTC'!$A$5:$A$48,0),MATCH(R$5,'[25]RESID-E_ANTC'!$M$3:$T$3,0)),"")</f>
        <v>23.083651962362801</v>
      </c>
      <c r="S69" s="276">
        <f>IFERROR(INDEX('[25]RESID-E_ANTC'!$M$5:$T$48,MATCH($B69,'[25]RESID-E_ANTC'!$A$5:$A$48,0),MATCH(S$5,'[25]RESID-E_ANTC'!$M$3:$T$3,0)),"")</f>
        <v>15.5161252325553</v>
      </c>
      <c r="T69" s="276">
        <f>IFERROR(INDEX('[25]RESID-E_ANTC'!$M$5:$T$48,MATCH($B69,'[25]RESID-E_ANTC'!$A$5:$A$48,0),MATCH(T$5,'[25]RESID-E_ANTC'!$M$3:$T$3,0)),"")</f>
        <v>0</v>
      </c>
      <c r="U69" s="276">
        <f>IFERROR(INDEX('[25]RESID-E_ANTC'!$M$5:$T$48,MATCH($B69,'[25]RESID-E_ANTC'!$A$5:$A$48,0),MATCH(U$5,'[25]RESID-E_ANTC'!$M$3:$T$3,0)),"")</f>
        <v>0</v>
      </c>
      <c r="V69" s="279"/>
      <c r="W69" s="279"/>
    </row>
    <row r="70" spans="2:23">
      <c r="B70" s="270" t="str">
        <f>IF([25]ITEMS_Tech_E!D70="","",[25]ITEMS_Tech_E!D70)</f>
        <v>*</v>
      </c>
      <c r="C70" s="271" t="str">
        <f>IF([25]ITEMS_Tech_E!E70="","",[25]ITEMS_Tech_E!E70)</f>
        <v/>
      </c>
      <c r="D70" s="272"/>
      <c r="E70" s="272"/>
      <c r="F70" s="278">
        <f>IFERROR(INDEX('[25]EFF-E_ANTC'!$C$4:$H$47,MATCH($B70,'[25]EFF-E_ANTC'!$A$4:$A$47,0),MATCH(F$5,'[25]EFF-E_ANTC'!$C$3:$H$3,0)),"")</f>
        <v>6.4348339348895098E-2</v>
      </c>
      <c r="G70" s="278">
        <f>IFERROR(INDEX('[25]EFF-E_ANTC'!$C$4:$H$47,MATCH($B70,'[25]EFF-E_ANTC'!$A$4:$A$47,0),MATCH(G$5,'[25]EFF-E_ANTC'!$C$3:$H$3,0)),"")</f>
        <v>6.4532835825940396E-2</v>
      </c>
      <c r="H70" s="278">
        <f>IFERROR(INDEX('[25]EFF-E_ANTC'!$C$4:$H$47,MATCH($B70,'[25]EFF-E_ANTC'!$A$4:$A$47,0),MATCH(H$5,'[25]EFF-E_ANTC'!$C$3:$H$3,0)),"")</f>
        <v>6.5227894002483106E-2</v>
      </c>
      <c r="I70" s="278">
        <f>IFERROR(INDEX('[25]EFF-E_ANTC'!$C$4:$H$47,MATCH($B70,'[25]EFF-E_ANTC'!$A$4:$A$47,0),MATCH(I$5,'[25]EFF-E_ANTC'!$C$3:$H$3,0)),"")</f>
        <v>6.6011283101863896E-2</v>
      </c>
      <c r="J70" s="278">
        <f>IFERROR(INDEX('[25]EFF-E_ANTC'!$C$4:$H$47,MATCH($B70,'[25]EFF-E_ANTC'!$A$4:$A$47,0),MATCH(J$5,'[25]EFF-E_ANTC'!$C$3:$H$3,0)),"")</f>
        <v>6.6777008175099004E-2</v>
      </c>
      <c r="K70" s="274">
        <f>IFERROR(INDEX('[25]AFA-E_ANTC'!$J$5:$O$48,MATCH($B70,'[25]AFA-E_ANTC'!$A$5:$A$48,0),MATCH(K$5,'[25]AFA-E_ANTC'!$J$3:$O$3,0)),"")</f>
        <v>0.42532283795650333</v>
      </c>
      <c r="L70" s="274">
        <f>IFERROR(INDEX('[25]AFA-E_ANTC'!$J$5:$O$48,MATCH($B70,'[25]AFA-E_ANTC'!$A$5:$A$48,0),MATCH(L$5,'[25]AFA-E_ANTC'!$J$3:$O$3,0)),"")</f>
        <v>0.33706878442068333</v>
      </c>
      <c r="M70" s="274">
        <f>IFERROR(INDEX('[25]AFA-E_ANTC'!$J$5:$O$48,MATCH($B70,'[25]AFA-E_ANTC'!$A$5:$A$48,0),MATCH(M$5,'[25]AFA-E_ANTC'!$J$3:$O$3,0)),"")</f>
        <v>0.15171434294469499</v>
      </c>
      <c r="N70" s="274">
        <f>IFERROR(INDEX('[25]AFA-E_ANTC'!$J$5:$O$48,MATCH($B70,'[25]AFA-E_ANTC'!$A$5:$A$48,0),MATCH(N$5,'[25]AFA-E_ANTC'!$J$3:$O$3,0)),"")</f>
        <v>6.6477490540613332E-2</v>
      </c>
      <c r="O70" s="274">
        <f>IFERROR(INDEX('[25]AFA-E_ANTC'!$J$5:$O$48,MATCH($B70,'[25]AFA-E_ANTC'!$A$5:$A$48,0),MATCH(O$5,'[25]AFA-E_ANTC'!$J$3:$O$3,0)),"")</f>
        <v>2.8637041139474666E-2</v>
      </c>
      <c r="P70" s="274">
        <f>IFERROR(INDEX('[25]AFA-E_ANTC'!$P$5:$P$48,MATCH($B70,'[25]AFA-E_ANTC'!$A$5:$A$48,0)),"")</f>
        <v>0.06</v>
      </c>
      <c r="Q70" s="276">
        <f>IFERROR(INDEX('[25]RESID-E_ANTC'!$M$5:$T$48,MATCH($B70,'[25]RESID-E_ANTC'!$A$5:$A$48,0),MATCH(Q$5,'[25]RESID-E_ANTC'!$M$3:$T$3,0)),"")</f>
        <v>25.1952522652347</v>
      </c>
      <c r="R70" s="276">
        <f>IFERROR(INDEX('[25]RESID-E_ANTC'!$M$5:$T$48,MATCH($B70,'[25]RESID-E_ANTC'!$A$5:$A$48,0),MATCH(R$5,'[25]RESID-E_ANTC'!$M$3:$T$3,0)),"")</f>
        <v>23.083651962362801</v>
      </c>
      <c r="S70" s="276">
        <f>IFERROR(INDEX('[25]RESID-E_ANTC'!$M$5:$T$48,MATCH($B70,'[25]RESID-E_ANTC'!$A$5:$A$48,0),MATCH(S$5,'[25]RESID-E_ANTC'!$M$3:$T$3,0)),"")</f>
        <v>15.5161252325553</v>
      </c>
      <c r="T70" s="276">
        <f>IFERROR(INDEX('[25]RESID-E_ANTC'!$M$5:$T$48,MATCH($B70,'[25]RESID-E_ANTC'!$A$5:$A$48,0),MATCH(T$5,'[25]RESID-E_ANTC'!$M$3:$T$3,0)),"")</f>
        <v>0</v>
      </c>
      <c r="U70" s="276">
        <f>IFERROR(INDEX('[25]RESID-E_ANTC'!$M$5:$T$48,MATCH($B70,'[25]RESID-E_ANTC'!$A$5:$A$48,0),MATCH(U$5,'[25]RESID-E_ANTC'!$M$3:$T$3,0)),"")</f>
        <v>0</v>
      </c>
      <c r="V70" s="279"/>
      <c r="W70" s="279"/>
    </row>
    <row r="71" spans="2:23">
      <c r="B71" s="270" t="str">
        <f>IF([25]ITEMS_Tech_E!D71="","",[25]ITEMS_Tech_E!D71)</f>
        <v>*</v>
      </c>
      <c r="C71" s="271" t="str">
        <f>IF([25]ITEMS_Tech_E!E71="","",[25]ITEMS_Tech_E!E71)</f>
        <v/>
      </c>
      <c r="D71" s="272"/>
      <c r="E71" s="272"/>
      <c r="F71" s="278">
        <f>IFERROR(INDEX('[25]EFF-E_ANTC'!$C$4:$H$47,MATCH($B71,'[25]EFF-E_ANTC'!$A$4:$A$47,0),MATCH(F$5,'[25]EFF-E_ANTC'!$C$3:$H$3,0)),"")</f>
        <v>6.4348339348895098E-2</v>
      </c>
      <c r="G71" s="278">
        <f>IFERROR(INDEX('[25]EFF-E_ANTC'!$C$4:$H$47,MATCH($B71,'[25]EFF-E_ANTC'!$A$4:$A$47,0),MATCH(G$5,'[25]EFF-E_ANTC'!$C$3:$H$3,0)),"")</f>
        <v>6.4532835825940396E-2</v>
      </c>
      <c r="H71" s="278">
        <f>IFERROR(INDEX('[25]EFF-E_ANTC'!$C$4:$H$47,MATCH($B71,'[25]EFF-E_ANTC'!$A$4:$A$47,0),MATCH(H$5,'[25]EFF-E_ANTC'!$C$3:$H$3,0)),"")</f>
        <v>6.5227894002483106E-2</v>
      </c>
      <c r="I71" s="278">
        <f>IFERROR(INDEX('[25]EFF-E_ANTC'!$C$4:$H$47,MATCH($B71,'[25]EFF-E_ANTC'!$A$4:$A$47,0),MATCH(I$5,'[25]EFF-E_ANTC'!$C$3:$H$3,0)),"")</f>
        <v>6.6011283101863896E-2</v>
      </c>
      <c r="J71" s="278">
        <f>IFERROR(INDEX('[25]EFF-E_ANTC'!$C$4:$H$47,MATCH($B71,'[25]EFF-E_ANTC'!$A$4:$A$47,0),MATCH(J$5,'[25]EFF-E_ANTC'!$C$3:$H$3,0)),"")</f>
        <v>6.6777008175099004E-2</v>
      </c>
      <c r="K71" s="274">
        <f>IFERROR(INDEX('[25]AFA-E_ANTC'!$J$5:$O$48,MATCH($B71,'[25]AFA-E_ANTC'!$A$5:$A$48,0),MATCH(K$5,'[25]AFA-E_ANTC'!$J$3:$O$3,0)),"")</f>
        <v>0.42532283795650333</v>
      </c>
      <c r="L71" s="274">
        <f>IFERROR(INDEX('[25]AFA-E_ANTC'!$J$5:$O$48,MATCH($B71,'[25]AFA-E_ANTC'!$A$5:$A$48,0),MATCH(L$5,'[25]AFA-E_ANTC'!$J$3:$O$3,0)),"")</f>
        <v>0.33706878442068333</v>
      </c>
      <c r="M71" s="274">
        <f>IFERROR(INDEX('[25]AFA-E_ANTC'!$J$5:$O$48,MATCH($B71,'[25]AFA-E_ANTC'!$A$5:$A$48,0),MATCH(M$5,'[25]AFA-E_ANTC'!$J$3:$O$3,0)),"")</f>
        <v>0.15171434294469499</v>
      </c>
      <c r="N71" s="274">
        <f>IFERROR(INDEX('[25]AFA-E_ANTC'!$J$5:$O$48,MATCH($B71,'[25]AFA-E_ANTC'!$A$5:$A$48,0),MATCH(N$5,'[25]AFA-E_ANTC'!$J$3:$O$3,0)),"")</f>
        <v>6.6477490540613332E-2</v>
      </c>
      <c r="O71" s="274">
        <f>IFERROR(INDEX('[25]AFA-E_ANTC'!$J$5:$O$48,MATCH($B71,'[25]AFA-E_ANTC'!$A$5:$A$48,0),MATCH(O$5,'[25]AFA-E_ANTC'!$J$3:$O$3,0)),"")</f>
        <v>2.8637041139474666E-2</v>
      </c>
      <c r="P71" s="274">
        <f>IFERROR(INDEX('[25]AFA-E_ANTC'!$P$5:$P$48,MATCH($B71,'[25]AFA-E_ANTC'!$A$5:$A$48,0)),"")</f>
        <v>0.06</v>
      </c>
      <c r="Q71" s="276">
        <f>IFERROR(INDEX('[25]RESID-E_ANTC'!$M$5:$T$48,MATCH($B71,'[25]RESID-E_ANTC'!$A$5:$A$48,0),MATCH(Q$5,'[25]RESID-E_ANTC'!$M$3:$T$3,0)),"")</f>
        <v>25.1952522652347</v>
      </c>
      <c r="R71" s="276">
        <f>IFERROR(INDEX('[25]RESID-E_ANTC'!$M$5:$T$48,MATCH($B71,'[25]RESID-E_ANTC'!$A$5:$A$48,0),MATCH(R$5,'[25]RESID-E_ANTC'!$M$3:$T$3,0)),"")</f>
        <v>23.083651962362801</v>
      </c>
      <c r="S71" s="276">
        <f>IFERROR(INDEX('[25]RESID-E_ANTC'!$M$5:$T$48,MATCH($B71,'[25]RESID-E_ANTC'!$A$5:$A$48,0),MATCH(S$5,'[25]RESID-E_ANTC'!$M$3:$T$3,0)),"")</f>
        <v>15.5161252325553</v>
      </c>
      <c r="T71" s="276">
        <f>IFERROR(INDEX('[25]RESID-E_ANTC'!$M$5:$T$48,MATCH($B71,'[25]RESID-E_ANTC'!$A$5:$A$48,0),MATCH(T$5,'[25]RESID-E_ANTC'!$M$3:$T$3,0)),"")</f>
        <v>0</v>
      </c>
      <c r="U71" s="276">
        <f>IFERROR(INDEX('[25]RESID-E_ANTC'!$M$5:$T$48,MATCH($B71,'[25]RESID-E_ANTC'!$A$5:$A$48,0),MATCH(U$5,'[25]RESID-E_ANTC'!$M$3:$T$3,0)),"")</f>
        <v>0</v>
      </c>
      <c r="V71" s="279"/>
      <c r="W71" s="279"/>
    </row>
    <row r="72" spans="2:23">
      <c r="B72" s="270" t="str">
        <f>IF([25]ITEMS_Tech_E!D72="","",[25]ITEMS_Tech_E!D72)</f>
        <v>*</v>
      </c>
      <c r="C72" s="271" t="str">
        <f>IF([25]ITEMS_Tech_E!E72="","",[25]ITEMS_Tech_E!E72)</f>
        <v>Transport Other</v>
      </c>
      <c r="D72" s="272"/>
      <c r="E72" s="272"/>
      <c r="F72" s="278">
        <f>IFERROR(INDEX('[25]EFF-E_ANTC'!$C$4:$H$47,MATCH($B72,'[25]EFF-E_ANTC'!$A$4:$A$47,0),MATCH(F$5,'[25]EFF-E_ANTC'!$C$3:$H$3,0)),"")</f>
        <v>6.4348339348895098E-2</v>
      </c>
      <c r="G72" s="278">
        <f>IFERROR(INDEX('[25]EFF-E_ANTC'!$C$4:$H$47,MATCH($B72,'[25]EFF-E_ANTC'!$A$4:$A$47,0),MATCH(G$5,'[25]EFF-E_ANTC'!$C$3:$H$3,0)),"")</f>
        <v>6.4532835825940396E-2</v>
      </c>
      <c r="H72" s="278">
        <f>IFERROR(INDEX('[25]EFF-E_ANTC'!$C$4:$H$47,MATCH($B72,'[25]EFF-E_ANTC'!$A$4:$A$47,0),MATCH(H$5,'[25]EFF-E_ANTC'!$C$3:$H$3,0)),"")</f>
        <v>6.5227894002483106E-2</v>
      </c>
      <c r="I72" s="278">
        <f>IFERROR(INDEX('[25]EFF-E_ANTC'!$C$4:$H$47,MATCH($B72,'[25]EFF-E_ANTC'!$A$4:$A$47,0),MATCH(I$5,'[25]EFF-E_ANTC'!$C$3:$H$3,0)),"")</f>
        <v>6.6011283101863896E-2</v>
      </c>
      <c r="J72" s="278">
        <f>IFERROR(INDEX('[25]EFF-E_ANTC'!$C$4:$H$47,MATCH($B72,'[25]EFF-E_ANTC'!$A$4:$A$47,0),MATCH(J$5,'[25]EFF-E_ANTC'!$C$3:$H$3,0)),"")</f>
        <v>6.6777008175099004E-2</v>
      </c>
      <c r="K72" s="274">
        <f>IFERROR(INDEX('[25]AFA-E_ANTC'!$J$5:$O$48,MATCH($B72,'[25]AFA-E_ANTC'!$A$5:$A$48,0),MATCH(K$5,'[25]AFA-E_ANTC'!$J$3:$O$3,0)),"")</f>
        <v>0.42532283795650333</v>
      </c>
      <c r="L72" s="274">
        <f>IFERROR(INDEX('[25]AFA-E_ANTC'!$J$5:$O$48,MATCH($B72,'[25]AFA-E_ANTC'!$A$5:$A$48,0),MATCH(L$5,'[25]AFA-E_ANTC'!$J$3:$O$3,0)),"")</f>
        <v>0.33706878442068333</v>
      </c>
      <c r="M72" s="274">
        <f>IFERROR(INDEX('[25]AFA-E_ANTC'!$J$5:$O$48,MATCH($B72,'[25]AFA-E_ANTC'!$A$5:$A$48,0),MATCH(M$5,'[25]AFA-E_ANTC'!$J$3:$O$3,0)),"")</f>
        <v>0.15171434294469499</v>
      </c>
      <c r="N72" s="274">
        <f>IFERROR(INDEX('[25]AFA-E_ANTC'!$J$5:$O$48,MATCH($B72,'[25]AFA-E_ANTC'!$A$5:$A$48,0),MATCH(N$5,'[25]AFA-E_ANTC'!$J$3:$O$3,0)),"")</f>
        <v>6.6477490540613332E-2</v>
      </c>
      <c r="O72" s="274">
        <f>IFERROR(INDEX('[25]AFA-E_ANTC'!$J$5:$O$48,MATCH($B72,'[25]AFA-E_ANTC'!$A$5:$A$48,0),MATCH(O$5,'[25]AFA-E_ANTC'!$J$3:$O$3,0)),"")</f>
        <v>2.8637041139474666E-2</v>
      </c>
      <c r="P72" s="274">
        <f>IFERROR(INDEX('[25]AFA-E_ANTC'!$P$5:$P$48,MATCH($B72,'[25]AFA-E_ANTC'!$A$5:$A$48,0)),"")</f>
        <v>0.06</v>
      </c>
      <c r="Q72" s="276">
        <f>IFERROR(INDEX('[25]RESID-E_ANTC'!$M$5:$T$48,MATCH($B72,'[25]RESID-E_ANTC'!$A$5:$A$48,0),MATCH(Q$5,'[25]RESID-E_ANTC'!$M$3:$T$3,0)),"")</f>
        <v>25.1952522652347</v>
      </c>
      <c r="R72" s="276">
        <f>IFERROR(INDEX('[25]RESID-E_ANTC'!$M$5:$T$48,MATCH($B72,'[25]RESID-E_ANTC'!$A$5:$A$48,0),MATCH(R$5,'[25]RESID-E_ANTC'!$M$3:$T$3,0)),"")</f>
        <v>23.083651962362801</v>
      </c>
      <c r="S72" s="276">
        <f>IFERROR(INDEX('[25]RESID-E_ANTC'!$M$5:$T$48,MATCH($B72,'[25]RESID-E_ANTC'!$A$5:$A$48,0),MATCH(S$5,'[25]RESID-E_ANTC'!$M$3:$T$3,0)),"")</f>
        <v>15.5161252325553</v>
      </c>
      <c r="T72" s="276">
        <f>IFERROR(INDEX('[25]RESID-E_ANTC'!$M$5:$T$48,MATCH($B72,'[25]RESID-E_ANTC'!$A$5:$A$48,0),MATCH(T$5,'[25]RESID-E_ANTC'!$M$3:$T$3,0)),"")</f>
        <v>0</v>
      </c>
      <c r="U72" s="276">
        <f>IFERROR(INDEX('[25]RESID-E_ANTC'!$M$5:$T$48,MATCH($B72,'[25]RESID-E_ANTC'!$A$5:$A$48,0),MATCH(U$5,'[25]RESID-E_ANTC'!$M$3:$T$3,0)),"")</f>
        <v>0</v>
      </c>
      <c r="V72" s="279"/>
      <c r="W72" s="279"/>
    </row>
    <row r="73" spans="2:23">
      <c r="B73" s="270" t="str">
        <f>IF([25]ITEMS_Tech_E!D73="","",[25]ITEMS_Tech_E!D73)</f>
        <v>TFPIPELC-E</v>
      </c>
      <c r="C73" s="271" t="str">
        <f>IF([25]ITEMS_Tech_E!E73="","",[25]ITEMS_Tech_E!E73)</f>
        <v>Transport Other - Pipeline Electricity-E</v>
      </c>
      <c r="D73" s="277" t="s">
        <v>744</v>
      </c>
      <c r="E73" s="277" t="s">
        <v>764</v>
      </c>
      <c r="F73" s="278">
        <f>IFERROR(INDEX('[25]EFF-E_ANTC'!$C$4:$H$47,MATCH($B73,'[25]EFF-E_ANTC'!$A$4:$A$47,0),MATCH(F$5,'[25]EFF-E_ANTC'!$C$3:$H$3,0)),"")</f>
        <v>1</v>
      </c>
      <c r="G73" s="278">
        <f>IFERROR(INDEX('[25]EFF-E_ANTC'!$C$4:$H$47,MATCH($B73,'[25]EFF-E_ANTC'!$A$4:$A$47,0),MATCH(G$5,'[25]EFF-E_ANTC'!$C$3:$H$3,0)),"")</f>
        <v>1</v>
      </c>
      <c r="H73" s="278">
        <f>IFERROR(INDEX('[25]EFF-E_ANTC'!$C$4:$H$47,MATCH($B73,'[25]EFF-E_ANTC'!$A$4:$A$47,0),MATCH(H$5,'[25]EFF-E_ANTC'!$C$3:$H$3,0)),"")</f>
        <v>1</v>
      </c>
      <c r="I73" s="278">
        <f>IFERROR(INDEX('[25]EFF-E_ANTC'!$C$4:$H$47,MATCH($B73,'[25]EFF-E_ANTC'!$A$4:$A$47,0),MATCH(I$5,'[25]EFF-E_ANTC'!$C$3:$H$3,0)),"")</f>
        <v>1</v>
      </c>
      <c r="J73" s="278">
        <f>IFERROR(INDEX('[25]EFF-E_ANTC'!$C$4:$H$47,MATCH($B73,'[25]EFF-E_ANTC'!$A$4:$A$47,0),MATCH(J$5,'[25]EFF-E_ANTC'!$C$3:$H$3,0)),"")</f>
        <v>1</v>
      </c>
      <c r="K73" s="274">
        <f>IFERROR(INDEX('[25]AFA-E_ANTC'!$J$5:$O$48,MATCH($B73,'[25]AFA-E_ANTC'!$A$5:$A$48,0),MATCH(K$5,'[25]AFA-E_ANTC'!$J$3:$O$3,0)),"")</f>
        <v>1</v>
      </c>
      <c r="L73" s="274">
        <f>IFERROR(INDEX('[25]AFA-E_ANTC'!$J$5:$O$48,MATCH($B73,'[25]AFA-E_ANTC'!$A$5:$A$48,0),MATCH(L$5,'[25]AFA-E_ANTC'!$J$3:$O$3,0)),"")</f>
        <v>1</v>
      </c>
      <c r="M73" s="274">
        <f>IFERROR(INDEX('[25]AFA-E_ANTC'!$J$5:$O$48,MATCH($B73,'[25]AFA-E_ANTC'!$A$5:$A$48,0),MATCH(M$5,'[25]AFA-E_ANTC'!$J$3:$O$3,0)),"")</f>
        <v>1</v>
      </c>
      <c r="N73" s="274">
        <f>IFERROR(INDEX('[25]AFA-E_ANTC'!$J$5:$O$48,MATCH($B73,'[25]AFA-E_ANTC'!$A$5:$A$48,0),MATCH(N$5,'[25]AFA-E_ANTC'!$J$3:$O$3,0)),"")</f>
        <v>1</v>
      </c>
      <c r="O73" s="274">
        <f>IFERROR(INDEX('[25]AFA-E_ANTC'!$J$5:$O$48,MATCH($B73,'[25]AFA-E_ANTC'!$A$5:$A$48,0),MATCH(O$5,'[25]AFA-E_ANTC'!$J$3:$O$3,0)),"")</f>
        <v>1</v>
      </c>
      <c r="P73" s="274">
        <f>IFERROR(INDEX('[25]AFA-E_ANTC'!$P$5:$P$48,MATCH($B73,'[25]AFA-E_ANTC'!$A$5:$A$48,0)),"")</f>
        <v>1</v>
      </c>
      <c r="Q73" s="276">
        <f>IFERROR(INDEX('[25]RESID-E_ANTC'!$M$5:$T$48,MATCH($B73,'[25]RESID-E_ANTC'!$A$5:$A$48,0),MATCH(Q$5,'[25]RESID-E_ANTC'!$M$3:$T$3,0)),"")</f>
        <v>1.641128256</v>
      </c>
      <c r="R73" s="276">
        <f>IFERROR(INDEX('[25]RESID-E_ANTC'!$M$5:$T$48,MATCH($B73,'[25]RESID-E_ANTC'!$A$5:$A$48,0),MATCH(R$5,'[25]RESID-E_ANTC'!$M$3:$T$3,0)),"")</f>
        <v>1.641128256</v>
      </c>
      <c r="S73" s="276">
        <f>IFERROR(INDEX('[25]RESID-E_ANTC'!$M$5:$T$48,MATCH($B73,'[25]RESID-E_ANTC'!$A$5:$A$48,0),MATCH(S$5,'[25]RESID-E_ANTC'!$M$3:$T$3,0)),"")</f>
        <v>1.641128256</v>
      </c>
      <c r="T73" s="276">
        <f>IFERROR(INDEX('[25]RESID-E_ANTC'!$M$5:$T$48,MATCH($B73,'[25]RESID-E_ANTC'!$A$5:$A$48,0),MATCH(T$5,'[25]RESID-E_ANTC'!$M$3:$T$3,0)),"")</f>
        <v>1.641128256</v>
      </c>
      <c r="U73" s="276">
        <f>IFERROR(INDEX('[25]RESID-E_ANTC'!$M$5:$T$48,MATCH($B73,'[25]RESID-E_ANTC'!$A$5:$A$48,0),MATCH(U$5,'[25]RESID-E_ANTC'!$M$3:$T$3,0)),"")</f>
        <v>1.641128256</v>
      </c>
      <c r="V73" s="279">
        <v>3</v>
      </c>
      <c r="W73" s="279">
        <v>0</v>
      </c>
    </row>
    <row r="74" spans="2:23">
      <c r="B74" s="270" t="str">
        <f>IF([25]ITEMS_Tech_E!D74="","",[25]ITEMS_Tech_E!D74)</f>
        <v>TAIJETOKE-E</v>
      </c>
      <c r="C74" s="271" t="str">
        <f>IF([25]ITEMS_Tech_E!E74="","",[25]ITEMS_Tech_E!E74)</f>
        <v>Transport Other -  Aviation Int Jet Fuel -E</v>
      </c>
      <c r="D74" s="277" t="s">
        <v>765</v>
      </c>
      <c r="E74" s="277" t="s">
        <v>766</v>
      </c>
      <c r="F74" s="278">
        <f>IFERROR(INDEX('[25]EFF-E_ANTC'!$C$4:$H$47,MATCH($B74,'[25]EFF-E_ANTC'!$A$4:$A$47,0),MATCH(F$5,'[25]EFF-E_ANTC'!$C$3:$H$3,0)),"")</f>
        <v>1</v>
      </c>
      <c r="G74" s="278">
        <f>IFERROR(INDEX('[25]EFF-E_ANTC'!$C$4:$H$47,MATCH($B74,'[25]EFF-E_ANTC'!$A$4:$A$47,0),MATCH(G$5,'[25]EFF-E_ANTC'!$C$3:$H$3,0)),"")</f>
        <v>1</v>
      </c>
      <c r="H74" s="278">
        <f>IFERROR(INDEX('[25]EFF-E_ANTC'!$C$4:$H$47,MATCH($B74,'[25]EFF-E_ANTC'!$A$4:$A$47,0),MATCH(H$5,'[25]EFF-E_ANTC'!$C$3:$H$3,0)),"")</f>
        <v>1</v>
      </c>
      <c r="I74" s="278">
        <f>IFERROR(INDEX('[25]EFF-E_ANTC'!$C$4:$H$47,MATCH($B74,'[25]EFF-E_ANTC'!$A$4:$A$47,0),MATCH(I$5,'[25]EFF-E_ANTC'!$C$3:$H$3,0)),"")</f>
        <v>1</v>
      </c>
      <c r="J74" s="278">
        <f>IFERROR(INDEX('[25]EFF-E_ANTC'!$C$4:$H$47,MATCH($B74,'[25]EFF-E_ANTC'!$A$4:$A$47,0),MATCH(J$5,'[25]EFF-E_ANTC'!$C$3:$H$3,0)),"")</f>
        <v>1</v>
      </c>
      <c r="K74" s="274">
        <f>IFERROR(INDEX('[25]AFA-E_ANTC'!$J$5:$O$48,MATCH($B74,'[25]AFA-E_ANTC'!$A$5:$A$48,0),MATCH(K$5,'[25]AFA-E_ANTC'!$J$3:$O$3,0)),"")</f>
        <v>1</v>
      </c>
      <c r="L74" s="274">
        <f>IFERROR(INDEX('[25]AFA-E_ANTC'!$J$5:$O$48,MATCH($B74,'[25]AFA-E_ANTC'!$A$5:$A$48,0),MATCH(L$5,'[25]AFA-E_ANTC'!$J$3:$O$3,0)),"")</f>
        <v>1</v>
      </c>
      <c r="M74" s="274">
        <f>IFERROR(INDEX('[25]AFA-E_ANTC'!$J$5:$O$48,MATCH($B74,'[25]AFA-E_ANTC'!$A$5:$A$48,0),MATCH(M$5,'[25]AFA-E_ANTC'!$J$3:$O$3,0)),"")</f>
        <v>1</v>
      </c>
      <c r="N74" s="274">
        <f>IFERROR(INDEX('[25]AFA-E_ANTC'!$J$5:$O$48,MATCH($B74,'[25]AFA-E_ANTC'!$A$5:$A$48,0),MATCH(N$5,'[25]AFA-E_ANTC'!$J$3:$O$3,0)),"")</f>
        <v>1</v>
      </c>
      <c r="O74" s="274">
        <f>IFERROR(INDEX('[25]AFA-E_ANTC'!$J$5:$O$48,MATCH($B74,'[25]AFA-E_ANTC'!$A$5:$A$48,0),MATCH(O$5,'[25]AFA-E_ANTC'!$J$3:$O$3,0)),"")</f>
        <v>1</v>
      </c>
      <c r="P74" s="274">
        <f>IFERROR(INDEX('[25]AFA-E_ANTC'!$P$5:$P$48,MATCH($B74,'[25]AFA-E_ANTC'!$A$5:$A$48,0)),"")</f>
        <v>1</v>
      </c>
      <c r="Q74" s="276">
        <f>IFERROR(INDEX('[25]RESID-E_ANTC'!$M$5:$T$48,MATCH($B74,'[25]RESID-E_ANTC'!$A$5:$A$48,0),MATCH(Q$5,'[25]RESID-E_ANTC'!$M$3:$T$3,0)),"")</f>
        <v>68.938999999999993</v>
      </c>
      <c r="R74" s="276">
        <f>IFERROR(INDEX('[25]RESID-E_ANTC'!$M$5:$T$48,MATCH($B74,'[25]RESID-E_ANTC'!$A$5:$A$48,0),MATCH(R$5,'[25]RESID-E_ANTC'!$M$3:$T$3,0)),"")</f>
        <v>68.938999999999993</v>
      </c>
      <c r="S74" s="276">
        <f>IFERROR(INDEX('[25]RESID-E_ANTC'!$M$5:$T$48,MATCH($B74,'[25]RESID-E_ANTC'!$A$5:$A$48,0),MATCH(S$5,'[25]RESID-E_ANTC'!$M$3:$T$3,0)),"")</f>
        <v>68.938999999999993</v>
      </c>
      <c r="T74" s="276">
        <f>IFERROR(INDEX('[25]RESID-E_ANTC'!$M$5:$T$48,MATCH($B74,'[25]RESID-E_ANTC'!$A$5:$A$48,0),MATCH(T$5,'[25]RESID-E_ANTC'!$M$3:$T$3,0)),"")</f>
        <v>0</v>
      </c>
      <c r="U74" s="276">
        <f>IFERROR(INDEX('[25]RESID-E_ANTC'!$M$5:$T$48,MATCH($B74,'[25]RESID-E_ANTC'!$A$5:$A$48,0),MATCH(U$5,'[25]RESID-E_ANTC'!$M$3:$T$3,0)),"")</f>
        <v>0</v>
      </c>
      <c r="V74" s="279">
        <v>3</v>
      </c>
      <c r="W74" s="279">
        <v>0</v>
      </c>
    </row>
    <row r="75" spans="2:23">
      <c r="B75" s="270" t="str">
        <f>IF([25]ITEMS_Tech_E!D75="","",[25]ITEMS_Tech_E!D75)</f>
        <v>TADJETOKE-E</v>
      </c>
      <c r="C75" s="271" t="str">
        <f>IF([25]ITEMS_Tech_E!E75="","",[25]ITEMS_Tech_E!E75)</f>
        <v>Transport Other -  Aviation Dom Jet Fuel -E</v>
      </c>
      <c r="D75" s="277" t="s">
        <v>765</v>
      </c>
      <c r="E75" s="277" t="s">
        <v>767</v>
      </c>
      <c r="F75" s="278">
        <f>IFERROR(INDEX('[25]EFF-E_ANTC'!$C$4:$H$47,MATCH($B75,'[25]EFF-E_ANTC'!$A$4:$A$47,0),MATCH(F$5,'[25]EFF-E_ANTC'!$C$3:$H$3,0)),"")</f>
        <v>1</v>
      </c>
      <c r="G75" s="278">
        <f>IFERROR(INDEX('[25]EFF-E_ANTC'!$C$4:$H$47,MATCH($B75,'[25]EFF-E_ANTC'!$A$4:$A$47,0),MATCH(G$5,'[25]EFF-E_ANTC'!$C$3:$H$3,0)),"")</f>
        <v>1</v>
      </c>
      <c r="H75" s="278">
        <f>IFERROR(INDEX('[25]EFF-E_ANTC'!$C$4:$H$47,MATCH($B75,'[25]EFF-E_ANTC'!$A$4:$A$47,0),MATCH(H$5,'[25]EFF-E_ANTC'!$C$3:$H$3,0)),"")</f>
        <v>1</v>
      </c>
      <c r="I75" s="278">
        <f>IFERROR(INDEX('[25]EFF-E_ANTC'!$C$4:$H$47,MATCH($B75,'[25]EFF-E_ANTC'!$A$4:$A$47,0),MATCH(I$5,'[25]EFF-E_ANTC'!$C$3:$H$3,0)),"")</f>
        <v>1</v>
      </c>
      <c r="J75" s="278">
        <f>IFERROR(INDEX('[25]EFF-E_ANTC'!$C$4:$H$47,MATCH($B75,'[25]EFF-E_ANTC'!$A$4:$A$47,0),MATCH(J$5,'[25]EFF-E_ANTC'!$C$3:$H$3,0)),"")</f>
        <v>1</v>
      </c>
      <c r="K75" s="274">
        <f>IFERROR(INDEX('[25]AFA-E_ANTC'!$J$5:$O$48,MATCH($B75,'[25]AFA-E_ANTC'!$A$5:$A$48,0),MATCH(K$5,'[25]AFA-E_ANTC'!$J$3:$O$3,0)),"")</f>
        <v>1</v>
      </c>
      <c r="L75" s="274">
        <f>IFERROR(INDEX('[25]AFA-E_ANTC'!$J$5:$O$48,MATCH($B75,'[25]AFA-E_ANTC'!$A$5:$A$48,0),MATCH(L$5,'[25]AFA-E_ANTC'!$J$3:$O$3,0)),"")</f>
        <v>1</v>
      </c>
      <c r="M75" s="274">
        <f>IFERROR(INDEX('[25]AFA-E_ANTC'!$J$5:$O$48,MATCH($B75,'[25]AFA-E_ANTC'!$A$5:$A$48,0),MATCH(M$5,'[25]AFA-E_ANTC'!$J$3:$O$3,0)),"")</f>
        <v>1</v>
      </c>
      <c r="N75" s="274">
        <f>IFERROR(INDEX('[25]AFA-E_ANTC'!$J$5:$O$48,MATCH($B75,'[25]AFA-E_ANTC'!$A$5:$A$48,0),MATCH(N$5,'[25]AFA-E_ANTC'!$J$3:$O$3,0)),"")</f>
        <v>1</v>
      </c>
      <c r="O75" s="274">
        <f>IFERROR(INDEX('[25]AFA-E_ANTC'!$J$5:$O$48,MATCH($B75,'[25]AFA-E_ANTC'!$A$5:$A$48,0),MATCH(O$5,'[25]AFA-E_ANTC'!$J$3:$O$3,0)),"")</f>
        <v>1</v>
      </c>
      <c r="P75" s="274">
        <f>IFERROR(INDEX('[25]AFA-E_ANTC'!$P$5:$P$48,MATCH($B75,'[25]AFA-E_ANTC'!$A$5:$A$48,0)),"")</f>
        <v>1</v>
      </c>
      <c r="Q75" s="276">
        <f>IFERROR(INDEX('[25]RESID-E_ANTC'!$M$5:$T$48,MATCH($B75,'[25]RESID-E_ANTC'!$A$5:$A$48,0),MATCH(Q$5,'[25]RESID-E_ANTC'!$M$3:$T$3,0)),"")</f>
        <v>20.483000000000001</v>
      </c>
      <c r="R75" s="276">
        <f>IFERROR(INDEX('[25]RESID-E_ANTC'!$M$5:$T$48,MATCH($B75,'[25]RESID-E_ANTC'!$A$5:$A$48,0),MATCH(R$5,'[25]RESID-E_ANTC'!$M$3:$T$3,0)),"")</f>
        <v>20.483000000000001</v>
      </c>
      <c r="S75" s="276">
        <f>IFERROR(INDEX('[25]RESID-E_ANTC'!$M$5:$T$48,MATCH($B75,'[25]RESID-E_ANTC'!$A$5:$A$48,0),MATCH(S$5,'[25]RESID-E_ANTC'!$M$3:$T$3,0)),"")</f>
        <v>20.483000000000001</v>
      </c>
      <c r="T75" s="276">
        <f>IFERROR(INDEX('[25]RESID-E_ANTC'!$M$5:$T$48,MATCH($B75,'[25]RESID-E_ANTC'!$A$5:$A$48,0),MATCH(T$5,'[25]RESID-E_ANTC'!$M$3:$T$3,0)),"")</f>
        <v>0</v>
      </c>
      <c r="U75" s="276">
        <f>IFERROR(INDEX('[25]RESID-E_ANTC'!$M$5:$T$48,MATCH($B75,'[25]RESID-E_ANTC'!$A$5:$A$48,0),MATCH(U$5,'[25]RESID-E_ANTC'!$M$3:$T$3,0)),"")</f>
        <v>0</v>
      </c>
      <c r="V75" s="279">
        <v>3</v>
      </c>
      <c r="W75" s="279">
        <v>0</v>
      </c>
    </row>
    <row r="76" spans="2:23">
      <c r="B76" s="270" t="str">
        <f>IF([25]ITEMS_Tech_E!D76="","",[25]ITEMS_Tech_E!D76)</f>
        <v>TAOAGOAG-E</v>
      </c>
      <c r="C76" s="271" t="str">
        <f>IF([25]ITEMS_Tech_E!E76="","",[25]ITEMS_Tech_E!E76)</f>
        <v>Transport Other - Aviation Gasoline-E</v>
      </c>
      <c r="D76" s="277" t="s">
        <v>768</v>
      </c>
      <c r="E76" s="277" t="s">
        <v>769</v>
      </c>
      <c r="F76" s="278">
        <f>IFERROR(INDEX('[25]EFF-E_ANTC'!$C$4:$H$47,MATCH($B76,'[25]EFF-E_ANTC'!$A$4:$A$47,0),MATCH(F$5,'[25]EFF-E_ANTC'!$C$3:$H$3,0)),"")</f>
        <v>1</v>
      </c>
      <c r="G76" s="278">
        <f>IFERROR(INDEX('[25]EFF-E_ANTC'!$C$4:$H$47,MATCH($B76,'[25]EFF-E_ANTC'!$A$4:$A$47,0),MATCH(G$5,'[25]EFF-E_ANTC'!$C$3:$H$3,0)),"")</f>
        <v>1</v>
      </c>
      <c r="H76" s="278">
        <f>IFERROR(INDEX('[25]EFF-E_ANTC'!$C$4:$H$47,MATCH($B76,'[25]EFF-E_ANTC'!$A$4:$A$47,0),MATCH(H$5,'[25]EFF-E_ANTC'!$C$3:$H$3,0)),"")</f>
        <v>1</v>
      </c>
      <c r="I76" s="278">
        <f>IFERROR(INDEX('[25]EFF-E_ANTC'!$C$4:$H$47,MATCH($B76,'[25]EFF-E_ANTC'!$A$4:$A$47,0),MATCH(I$5,'[25]EFF-E_ANTC'!$C$3:$H$3,0)),"")</f>
        <v>1</v>
      </c>
      <c r="J76" s="278">
        <f>IFERROR(INDEX('[25]EFF-E_ANTC'!$C$4:$H$47,MATCH($B76,'[25]EFF-E_ANTC'!$A$4:$A$47,0),MATCH(J$5,'[25]EFF-E_ANTC'!$C$3:$H$3,0)),"")</f>
        <v>1</v>
      </c>
      <c r="K76" s="274">
        <f>IFERROR(INDEX('[25]AFA-E_ANTC'!$J$5:$O$48,MATCH($B76,'[25]AFA-E_ANTC'!$A$5:$A$48,0),MATCH(K$5,'[25]AFA-E_ANTC'!$J$3:$O$3,0)),"")</f>
        <v>1</v>
      </c>
      <c r="L76" s="274">
        <f>IFERROR(INDEX('[25]AFA-E_ANTC'!$J$5:$O$48,MATCH($B76,'[25]AFA-E_ANTC'!$A$5:$A$48,0),MATCH(L$5,'[25]AFA-E_ANTC'!$J$3:$O$3,0)),"")</f>
        <v>1</v>
      </c>
      <c r="M76" s="274">
        <f>IFERROR(INDEX('[25]AFA-E_ANTC'!$J$5:$O$48,MATCH($B76,'[25]AFA-E_ANTC'!$A$5:$A$48,0),MATCH(M$5,'[25]AFA-E_ANTC'!$J$3:$O$3,0)),"")</f>
        <v>1</v>
      </c>
      <c r="N76" s="274">
        <f>IFERROR(INDEX('[25]AFA-E_ANTC'!$J$5:$O$48,MATCH($B76,'[25]AFA-E_ANTC'!$A$5:$A$48,0),MATCH(N$5,'[25]AFA-E_ANTC'!$J$3:$O$3,0)),"")</f>
        <v>1</v>
      </c>
      <c r="O76" s="274">
        <f>IFERROR(INDEX('[25]AFA-E_ANTC'!$J$5:$O$48,MATCH($B76,'[25]AFA-E_ANTC'!$A$5:$A$48,0),MATCH(O$5,'[25]AFA-E_ANTC'!$J$3:$O$3,0)),"")</f>
        <v>1</v>
      </c>
      <c r="P76" s="274">
        <f>IFERROR(INDEX('[25]AFA-E_ANTC'!$P$5:$P$48,MATCH($B76,'[25]AFA-E_ANTC'!$A$5:$A$48,0)),"")</f>
        <v>1</v>
      </c>
      <c r="Q76" s="276">
        <f>IFERROR(INDEX('[25]RESID-E_ANTC'!$M$5:$T$48,MATCH($B76,'[25]RESID-E_ANTC'!$A$5:$A$48,0),MATCH(Q$5,'[25]RESID-E_ANTC'!$M$3:$T$3,0)),"")</f>
        <v>0.82200000000000006</v>
      </c>
      <c r="R76" s="276">
        <f>IFERROR(INDEX('[25]RESID-E_ANTC'!$M$5:$T$48,MATCH($B76,'[25]RESID-E_ANTC'!$A$5:$A$48,0),MATCH(R$5,'[25]RESID-E_ANTC'!$M$3:$T$3,0)),"")</f>
        <v>0.82200000000000006</v>
      </c>
      <c r="S76" s="276">
        <f>IFERROR(INDEX('[25]RESID-E_ANTC'!$M$5:$T$48,MATCH($B76,'[25]RESID-E_ANTC'!$A$5:$A$48,0),MATCH(S$5,'[25]RESID-E_ANTC'!$M$3:$T$3,0)),"")</f>
        <v>0.82200000000000006</v>
      </c>
      <c r="T76" s="276">
        <f>IFERROR(INDEX('[25]RESID-E_ANTC'!$M$5:$T$48,MATCH($B76,'[25]RESID-E_ANTC'!$A$5:$A$48,0),MATCH(T$5,'[25]RESID-E_ANTC'!$M$3:$T$3,0)),"")</f>
        <v>0</v>
      </c>
      <c r="U76" s="276">
        <f>IFERROR(INDEX('[25]RESID-E_ANTC'!$M$5:$T$48,MATCH($B76,'[25]RESID-E_ANTC'!$A$5:$A$48,0),MATCH(U$5,'[25]RESID-E_ANTC'!$M$3:$T$3,0)),"")</f>
        <v>0</v>
      </c>
      <c r="V76" s="279">
        <v>3</v>
      </c>
      <c r="W76" s="279">
        <v>0</v>
      </c>
    </row>
    <row r="77" spans="2:23">
      <c r="B77" s="270" t="str">
        <f>IF([25]ITEMS_Tech_E!D77="","",[25]ITEMS_Tech_E!D77)</f>
        <v>TSHFOOHF-E</v>
      </c>
      <c r="C77" s="271" t="str">
        <f>IF([25]ITEMS_Tech_E!E77="","",[25]ITEMS_Tech_E!E77)</f>
        <v>Transport Other - HFO-E</v>
      </c>
      <c r="D77" s="277" t="s">
        <v>770</v>
      </c>
      <c r="E77" s="277" t="s">
        <v>771</v>
      </c>
      <c r="F77" s="278">
        <f>IFERROR(INDEX('[25]EFF-E_ANTC'!$C$4:$H$47,MATCH($B77,'[25]EFF-E_ANTC'!$A$4:$A$47,0),MATCH(F$5,'[25]EFF-E_ANTC'!$C$3:$H$3,0)),"")</f>
        <v>1</v>
      </c>
      <c r="G77" s="278">
        <f>IFERROR(INDEX('[25]EFF-E_ANTC'!$C$4:$H$47,MATCH($B77,'[25]EFF-E_ANTC'!$A$4:$A$47,0),MATCH(G$5,'[25]EFF-E_ANTC'!$C$3:$H$3,0)),"")</f>
        <v>1</v>
      </c>
      <c r="H77" s="278">
        <f>IFERROR(INDEX('[25]EFF-E_ANTC'!$C$4:$H$47,MATCH($B77,'[25]EFF-E_ANTC'!$A$4:$A$47,0),MATCH(H$5,'[25]EFF-E_ANTC'!$C$3:$H$3,0)),"")</f>
        <v>1</v>
      </c>
      <c r="I77" s="278">
        <f>IFERROR(INDEX('[25]EFF-E_ANTC'!$C$4:$H$47,MATCH($B77,'[25]EFF-E_ANTC'!$A$4:$A$47,0),MATCH(I$5,'[25]EFF-E_ANTC'!$C$3:$H$3,0)),"")</f>
        <v>1</v>
      </c>
      <c r="J77" s="278">
        <f>IFERROR(INDEX('[25]EFF-E_ANTC'!$C$4:$H$47,MATCH($B77,'[25]EFF-E_ANTC'!$A$4:$A$47,0),MATCH(J$5,'[25]EFF-E_ANTC'!$C$3:$H$3,0)),"")</f>
        <v>1</v>
      </c>
      <c r="K77" s="274">
        <f>IFERROR(INDEX('[25]AFA-E_ANTC'!$J$5:$O$48,MATCH($B77,'[25]AFA-E_ANTC'!$A$5:$A$48,0),MATCH(K$5,'[25]AFA-E_ANTC'!$J$3:$O$3,0)),"")</f>
        <v>1</v>
      </c>
      <c r="L77" s="274">
        <f>IFERROR(INDEX('[25]AFA-E_ANTC'!$J$5:$O$48,MATCH($B77,'[25]AFA-E_ANTC'!$A$5:$A$48,0),MATCH(L$5,'[25]AFA-E_ANTC'!$J$3:$O$3,0)),"")</f>
        <v>1</v>
      </c>
      <c r="M77" s="274">
        <f>IFERROR(INDEX('[25]AFA-E_ANTC'!$J$5:$O$48,MATCH($B77,'[25]AFA-E_ANTC'!$A$5:$A$48,0),MATCH(M$5,'[25]AFA-E_ANTC'!$J$3:$O$3,0)),"")</f>
        <v>1</v>
      </c>
      <c r="N77" s="274">
        <f>IFERROR(INDEX('[25]AFA-E_ANTC'!$J$5:$O$48,MATCH($B77,'[25]AFA-E_ANTC'!$A$5:$A$48,0),MATCH(N$5,'[25]AFA-E_ANTC'!$J$3:$O$3,0)),"")</f>
        <v>1</v>
      </c>
      <c r="O77" s="274">
        <f>IFERROR(INDEX('[25]AFA-E_ANTC'!$J$5:$O$48,MATCH($B77,'[25]AFA-E_ANTC'!$A$5:$A$48,0),MATCH(O$5,'[25]AFA-E_ANTC'!$J$3:$O$3,0)),"")</f>
        <v>1</v>
      </c>
      <c r="P77" s="274">
        <f>IFERROR(INDEX('[25]AFA-E_ANTC'!$P$5:$P$48,MATCH($B77,'[25]AFA-E_ANTC'!$A$5:$A$48,0)),"")</f>
        <v>1</v>
      </c>
      <c r="Q77" s="276">
        <f>IFERROR(INDEX('[25]RESID-E_ANTC'!$M$5:$T$48,MATCH($B77,'[25]RESID-E_ANTC'!$A$5:$A$48,0),MATCH(Q$5,'[25]RESID-E_ANTC'!$M$3:$T$3,0)),"")</f>
        <v>2.77</v>
      </c>
      <c r="R77" s="276">
        <f>IFERROR(INDEX('[25]RESID-E_ANTC'!$M$5:$T$48,MATCH($B77,'[25]RESID-E_ANTC'!$A$5:$A$48,0),MATCH(R$5,'[25]RESID-E_ANTC'!$M$3:$T$3,0)),"")</f>
        <v>2.77</v>
      </c>
      <c r="S77" s="276">
        <f>IFERROR(INDEX('[25]RESID-E_ANTC'!$M$5:$T$48,MATCH($B77,'[25]RESID-E_ANTC'!$A$5:$A$48,0),MATCH(S$5,'[25]RESID-E_ANTC'!$M$3:$T$3,0)),"")</f>
        <v>2.77</v>
      </c>
      <c r="T77" s="276">
        <f>IFERROR(INDEX('[25]RESID-E_ANTC'!$M$5:$T$48,MATCH($B77,'[25]RESID-E_ANTC'!$A$5:$A$48,0),MATCH(T$5,'[25]RESID-E_ANTC'!$M$3:$T$3,0)),"")</f>
        <v>0</v>
      </c>
      <c r="U77" s="276">
        <f>IFERROR(INDEX('[25]RESID-E_ANTC'!$M$5:$T$48,MATCH($B77,'[25]RESID-E_ANTC'!$A$5:$A$48,0),MATCH(U$5,'[25]RESID-E_ANTC'!$M$3:$T$3,0)),"")</f>
        <v>0</v>
      </c>
      <c r="V77" s="279">
        <v>3</v>
      </c>
      <c r="W77" s="279">
        <v>0</v>
      </c>
    </row>
    <row r="78" spans="2:23">
      <c r="B78" s="270" t="str">
        <f>IF([25]ITEMS_Tech_E!D78="","",[25]ITEMS_Tech_E!D78)</f>
        <v>*</v>
      </c>
      <c r="C78" s="271" t="str">
        <f>IF([25]ITEMS_Tech_E!E78="","",[25]ITEMS_Tech_E!E78)</f>
        <v/>
      </c>
      <c r="D78" s="272"/>
      <c r="E78" s="272"/>
      <c r="F78" s="278">
        <f>IFERROR(INDEX('[25]EFF-E_ANTC'!$C$4:$H$47,MATCH($B78,'[25]EFF-E_ANTC'!$A$4:$A$47,0),MATCH(F$5,'[25]EFF-E_ANTC'!$C$3:$H$3,0)),"")</f>
        <v>6.4348339348895098E-2</v>
      </c>
      <c r="G78" s="278">
        <f>IFERROR(INDEX('[25]EFF-E_ANTC'!$C$4:$H$47,MATCH($B78,'[25]EFF-E_ANTC'!$A$4:$A$47,0),MATCH(G$5,'[25]EFF-E_ANTC'!$C$3:$H$3,0)),"")</f>
        <v>6.4532835825940396E-2</v>
      </c>
      <c r="H78" s="278">
        <f>IFERROR(INDEX('[25]EFF-E_ANTC'!$C$4:$H$47,MATCH($B78,'[25]EFF-E_ANTC'!$A$4:$A$47,0),MATCH(H$5,'[25]EFF-E_ANTC'!$C$3:$H$3,0)),"")</f>
        <v>6.5227894002483106E-2</v>
      </c>
      <c r="I78" s="278">
        <f>IFERROR(INDEX('[25]EFF-E_ANTC'!$C$4:$H$47,MATCH($B78,'[25]EFF-E_ANTC'!$A$4:$A$47,0),MATCH(I$5,'[25]EFF-E_ANTC'!$C$3:$H$3,0)),"")</f>
        <v>6.6011283101863896E-2</v>
      </c>
      <c r="J78" s="278">
        <f>IFERROR(INDEX('[25]EFF-E_ANTC'!$C$4:$H$47,MATCH($B78,'[25]EFF-E_ANTC'!$A$4:$A$47,0),MATCH(J$5,'[25]EFF-E_ANTC'!$C$3:$H$3,0)),"")</f>
        <v>6.6777008175099004E-2</v>
      </c>
      <c r="K78" s="274">
        <f>IFERROR(INDEX('[25]AFA-E_ANTC'!$J$5:$O$48,MATCH($B78,'[25]AFA-E_ANTC'!$A$5:$A$48,0),MATCH(K$5,'[25]AFA-E_ANTC'!$J$3:$O$3,0)),"")</f>
        <v>0.42532283795650333</v>
      </c>
      <c r="L78" s="274">
        <f>IFERROR(INDEX('[25]AFA-E_ANTC'!$J$5:$O$48,MATCH($B78,'[25]AFA-E_ANTC'!$A$5:$A$48,0),MATCH(L$5,'[25]AFA-E_ANTC'!$J$3:$O$3,0)),"")</f>
        <v>0.33706878442068333</v>
      </c>
      <c r="M78" s="274">
        <f>IFERROR(INDEX('[25]AFA-E_ANTC'!$J$5:$O$48,MATCH($B78,'[25]AFA-E_ANTC'!$A$5:$A$48,0),MATCH(M$5,'[25]AFA-E_ANTC'!$J$3:$O$3,0)),"")</f>
        <v>0.15171434294469499</v>
      </c>
      <c r="N78" s="274">
        <f>IFERROR(INDEX('[25]AFA-E_ANTC'!$J$5:$O$48,MATCH($B78,'[25]AFA-E_ANTC'!$A$5:$A$48,0),MATCH(N$5,'[25]AFA-E_ANTC'!$J$3:$O$3,0)),"")</f>
        <v>6.6477490540613332E-2</v>
      </c>
      <c r="O78" s="274">
        <f>IFERROR(INDEX('[25]AFA-E_ANTC'!$J$5:$O$48,MATCH($B78,'[25]AFA-E_ANTC'!$A$5:$A$48,0),MATCH(O$5,'[25]AFA-E_ANTC'!$J$3:$O$3,0)),"")</f>
        <v>2.8637041139474666E-2</v>
      </c>
      <c r="P78" s="274">
        <f>IFERROR(INDEX('[25]AFA-E_ANTC'!$P$5:$P$48,MATCH($B78,'[25]AFA-E_ANTC'!$A$5:$A$48,0)),"")</f>
        <v>0.06</v>
      </c>
      <c r="Q78" s="276">
        <f>IFERROR(INDEX('[25]RESID-E_ANTC'!$M$5:$T$48,MATCH($B78,'[25]RESID-E_ANTC'!$A$5:$A$48,0),MATCH(Q$5,'[25]RESID-E_ANTC'!$M$3:$T$3,0)),"")</f>
        <v>25.1952522652347</v>
      </c>
      <c r="R78" s="276">
        <f>IFERROR(INDEX('[25]RESID-E_ANTC'!$M$5:$T$48,MATCH($B78,'[25]RESID-E_ANTC'!$A$5:$A$48,0),MATCH(R$5,'[25]RESID-E_ANTC'!$M$3:$T$3,0)),"")</f>
        <v>23.083651962362801</v>
      </c>
      <c r="S78" s="276">
        <f>IFERROR(INDEX('[25]RESID-E_ANTC'!$M$5:$T$48,MATCH($B78,'[25]RESID-E_ANTC'!$A$5:$A$48,0),MATCH(S$5,'[25]RESID-E_ANTC'!$M$3:$T$3,0)),"")</f>
        <v>15.5161252325553</v>
      </c>
      <c r="T78" s="276">
        <f>IFERROR(INDEX('[25]RESID-E_ANTC'!$M$5:$T$48,MATCH($B78,'[25]RESID-E_ANTC'!$A$5:$A$48,0),MATCH(T$5,'[25]RESID-E_ANTC'!$M$3:$T$3,0)),"")</f>
        <v>0</v>
      </c>
      <c r="U78" s="276">
        <f>IFERROR(INDEX('[25]RESID-E_ANTC'!$M$5:$T$48,MATCH($B78,'[25]RESID-E_ANTC'!$A$5:$A$48,0),MATCH(U$5,'[25]RESID-E_ANTC'!$M$3:$T$3,0)),"")</f>
        <v>0</v>
      </c>
      <c r="V78" s="279"/>
      <c r="W78" s="279"/>
    </row>
    <row r="79" spans="2:23">
      <c r="B79" s="270" t="str">
        <f>IF([25]ITEMS_Tech_E!D78="","",[25]ITEMS_Tech_E!D78)</f>
        <v>*</v>
      </c>
      <c r="C79" s="271" t="str">
        <f>IF([25]ITEMS_Tech_E!E78="","",[25]ITEMS_Tech_E!E78)</f>
        <v/>
      </c>
      <c r="D79" s="272"/>
      <c r="E79" s="272"/>
      <c r="F79" s="278">
        <f>IFERROR(INDEX('[25]EFF-E_ANTC'!$C$4:$H$47,MATCH($B79,'[25]EFF-E_ANTC'!$A$4:$A$47,0),MATCH(F$5,'[25]EFF-E_ANTC'!$C$3:$H$3,0)),"")</f>
        <v>6.4348339348895098E-2</v>
      </c>
      <c r="G79" s="278">
        <f>IFERROR(INDEX('[25]EFF-E_ANTC'!$C$4:$H$47,MATCH($B79,'[25]EFF-E_ANTC'!$A$4:$A$47,0),MATCH(G$5,'[25]EFF-E_ANTC'!$C$3:$H$3,0)),"")</f>
        <v>6.4532835825940396E-2</v>
      </c>
      <c r="H79" s="278">
        <f>IFERROR(INDEX('[25]EFF-E_ANTC'!$C$4:$H$47,MATCH($B79,'[25]EFF-E_ANTC'!$A$4:$A$47,0),MATCH(H$5,'[25]EFF-E_ANTC'!$C$3:$H$3,0)),"")</f>
        <v>6.5227894002483106E-2</v>
      </c>
      <c r="I79" s="278">
        <f>IFERROR(INDEX('[25]EFF-E_ANTC'!$C$4:$H$47,MATCH($B79,'[25]EFF-E_ANTC'!$A$4:$A$47,0),MATCH(I$5,'[25]EFF-E_ANTC'!$C$3:$H$3,0)),"")</f>
        <v>6.6011283101863896E-2</v>
      </c>
      <c r="J79" s="278">
        <f>IFERROR(INDEX('[25]EFF-E_ANTC'!$C$4:$H$47,MATCH($B79,'[25]EFF-E_ANTC'!$A$4:$A$47,0),MATCH(J$5,'[25]EFF-E_ANTC'!$C$3:$H$3,0)),"")</f>
        <v>6.6777008175099004E-2</v>
      </c>
      <c r="K79" s="274">
        <f>IFERROR(INDEX('[25]AFA-E_ANTC'!$J$5:$O$48,MATCH($B79,'[25]AFA-E_ANTC'!$A$5:$A$48,0),MATCH(K$5,'[25]AFA-E_ANTC'!$J$3:$O$3,0)),"")</f>
        <v>0.42532283795650333</v>
      </c>
      <c r="L79" s="274">
        <f>IFERROR(INDEX('[25]AFA-E_ANTC'!$J$5:$O$48,MATCH($B79,'[25]AFA-E_ANTC'!$A$5:$A$48,0),MATCH(L$5,'[25]AFA-E_ANTC'!$J$3:$O$3,0)),"")</f>
        <v>0.33706878442068333</v>
      </c>
      <c r="M79" s="274">
        <f>IFERROR(INDEX('[25]AFA-E_ANTC'!$J$5:$O$48,MATCH($B79,'[25]AFA-E_ANTC'!$A$5:$A$48,0),MATCH(M$5,'[25]AFA-E_ANTC'!$J$3:$O$3,0)),"")</f>
        <v>0.15171434294469499</v>
      </c>
      <c r="N79" s="274">
        <f>IFERROR(INDEX('[25]AFA-E_ANTC'!$J$5:$O$48,MATCH($B79,'[25]AFA-E_ANTC'!$A$5:$A$48,0),MATCH(N$5,'[25]AFA-E_ANTC'!$J$3:$O$3,0)),"")</f>
        <v>6.6477490540613332E-2</v>
      </c>
      <c r="O79" s="274">
        <f>IFERROR(INDEX('[25]AFA-E_ANTC'!$J$5:$O$48,MATCH($B79,'[25]AFA-E_ANTC'!$A$5:$A$48,0),MATCH(O$5,'[25]AFA-E_ANTC'!$J$3:$O$3,0)),"")</f>
        <v>2.8637041139474666E-2</v>
      </c>
      <c r="P79" s="274">
        <f>IFERROR(INDEX('[25]AFA-E_ANTC'!$P$5:$P$48,MATCH($B79,'[25]AFA-E_ANTC'!$A$5:$A$48,0)),"")</f>
        <v>0.06</v>
      </c>
      <c r="Q79" s="276">
        <f>IFERROR(INDEX('[25]RESID-E_ANTC'!$M$5:$T$48,MATCH($B79,'[25]RESID-E_ANTC'!$A$5:$A$48,0),MATCH(Q$5,'[25]RESID-E_ANTC'!$M$3:$T$3,0)),"")</f>
        <v>25.1952522652347</v>
      </c>
      <c r="R79" s="276">
        <f>IFERROR(INDEX('[25]RESID-E_ANTC'!$M$5:$T$48,MATCH($B79,'[25]RESID-E_ANTC'!$A$5:$A$48,0),MATCH(R$5,'[25]RESID-E_ANTC'!$M$3:$T$3,0)),"")</f>
        <v>23.083651962362801</v>
      </c>
      <c r="S79" s="276">
        <f>IFERROR(INDEX('[25]RESID-E_ANTC'!$M$5:$T$48,MATCH($B79,'[25]RESID-E_ANTC'!$A$5:$A$48,0),MATCH(S$5,'[25]RESID-E_ANTC'!$M$3:$T$3,0)),"")</f>
        <v>15.5161252325553</v>
      </c>
      <c r="T79" s="276">
        <f>IFERROR(INDEX('[25]RESID-E_ANTC'!$M$5:$T$48,MATCH($B79,'[25]RESID-E_ANTC'!$A$5:$A$48,0),MATCH(T$5,'[25]RESID-E_ANTC'!$M$3:$T$3,0)),"")</f>
        <v>0</v>
      </c>
      <c r="U79" s="276">
        <f>IFERROR(INDEX('[25]RESID-E_ANTC'!$M$5:$T$48,MATCH($B79,'[25]RESID-E_ANTC'!$A$5:$A$48,0),MATCH(U$5,'[25]RESID-E_ANTC'!$M$3:$T$3,0)),"")</f>
        <v>0</v>
      </c>
      <c r="V79" s="279"/>
      <c r="W79" s="279"/>
    </row>
    <row r="80" spans="2:23">
      <c r="B80" s="270" t="str">
        <f>IF([25]ITEMS_Tech_E!D79="","",[25]ITEMS_Tech_E!D79)</f>
        <v>*</v>
      </c>
      <c r="C80" s="271" t="str">
        <f>IF([25]ITEMS_Tech_E!E79="","",[25]ITEMS_Tech_E!E79)</f>
        <v/>
      </c>
      <c r="D80" s="272"/>
      <c r="E80" s="272"/>
      <c r="F80" s="278">
        <f>IFERROR(INDEX('[25]EFF-E_ANTC'!$C$4:$H$47,MATCH($B80,'[25]EFF-E_ANTC'!$A$4:$A$47,0),MATCH(F$5,'[25]EFF-E_ANTC'!$C$3:$H$3,0)),"")</f>
        <v>6.4348339348895098E-2</v>
      </c>
      <c r="G80" s="278">
        <f>IFERROR(INDEX('[25]EFF-E_ANTC'!$C$4:$H$47,MATCH($B80,'[25]EFF-E_ANTC'!$A$4:$A$47,0),MATCH(G$5,'[25]EFF-E_ANTC'!$C$3:$H$3,0)),"")</f>
        <v>6.4532835825940396E-2</v>
      </c>
      <c r="H80" s="278">
        <f>IFERROR(INDEX('[25]EFF-E_ANTC'!$C$4:$H$47,MATCH($B80,'[25]EFF-E_ANTC'!$A$4:$A$47,0),MATCH(H$5,'[25]EFF-E_ANTC'!$C$3:$H$3,0)),"")</f>
        <v>6.5227894002483106E-2</v>
      </c>
      <c r="I80" s="278">
        <f>IFERROR(INDEX('[25]EFF-E_ANTC'!$C$4:$H$47,MATCH($B80,'[25]EFF-E_ANTC'!$A$4:$A$47,0),MATCH(I$5,'[25]EFF-E_ANTC'!$C$3:$H$3,0)),"")</f>
        <v>6.6011283101863896E-2</v>
      </c>
      <c r="J80" s="278">
        <f>IFERROR(INDEX('[25]EFF-E_ANTC'!$C$4:$H$47,MATCH($B80,'[25]EFF-E_ANTC'!$A$4:$A$47,0),MATCH(J$5,'[25]EFF-E_ANTC'!$C$3:$H$3,0)),"")</f>
        <v>6.6777008175099004E-2</v>
      </c>
      <c r="K80" s="274">
        <f>IFERROR(INDEX('[25]AFA-E_ANTC'!$J$5:$O$48,MATCH($B80,'[25]AFA-E_ANTC'!$A$5:$A$48,0),MATCH(K$5,'[25]AFA-E_ANTC'!$J$3:$O$3,0)),"")</f>
        <v>0.42532283795650333</v>
      </c>
      <c r="L80" s="274">
        <f>IFERROR(INDEX('[25]AFA-E_ANTC'!$J$5:$O$48,MATCH($B80,'[25]AFA-E_ANTC'!$A$5:$A$48,0),MATCH(L$5,'[25]AFA-E_ANTC'!$J$3:$O$3,0)),"")</f>
        <v>0.33706878442068333</v>
      </c>
      <c r="M80" s="274">
        <f>IFERROR(INDEX('[25]AFA-E_ANTC'!$J$5:$O$48,MATCH($B80,'[25]AFA-E_ANTC'!$A$5:$A$48,0),MATCH(M$5,'[25]AFA-E_ANTC'!$J$3:$O$3,0)),"")</f>
        <v>0.15171434294469499</v>
      </c>
      <c r="N80" s="274">
        <f>IFERROR(INDEX('[25]AFA-E_ANTC'!$J$5:$O$48,MATCH($B80,'[25]AFA-E_ANTC'!$A$5:$A$48,0),MATCH(N$5,'[25]AFA-E_ANTC'!$J$3:$O$3,0)),"")</f>
        <v>6.6477490540613332E-2</v>
      </c>
      <c r="O80" s="274">
        <f>IFERROR(INDEX('[25]AFA-E_ANTC'!$J$5:$O$48,MATCH($B80,'[25]AFA-E_ANTC'!$A$5:$A$48,0),MATCH(O$5,'[25]AFA-E_ANTC'!$J$3:$O$3,0)),"")</f>
        <v>2.8637041139474666E-2</v>
      </c>
      <c r="P80" s="274">
        <f>IFERROR(INDEX('[25]AFA-E_ANTC'!$P$5:$P$48,MATCH($B80,'[25]AFA-E_ANTC'!$A$5:$A$48,0)),"")</f>
        <v>0.06</v>
      </c>
      <c r="Q80" s="276">
        <f>IFERROR(INDEX('[25]RESID-E_ANTC'!$M$5:$T$48,MATCH($B80,'[25]RESID-E_ANTC'!$A$5:$A$48,0),MATCH(Q$5,'[25]RESID-E_ANTC'!$M$3:$T$3,0)),"")</f>
        <v>25.1952522652347</v>
      </c>
      <c r="R80" s="276">
        <f>IFERROR(INDEX('[25]RESID-E_ANTC'!$M$5:$T$48,MATCH($B80,'[25]RESID-E_ANTC'!$A$5:$A$48,0),MATCH(R$5,'[25]RESID-E_ANTC'!$M$3:$T$3,0)),"")</f>
        <v>23.083651962362801</v>
      </c>
      <c r="S80" s="276">
        <f>IFERROR(INDEX('[25]RESID-E_ANTC'!$M$5:$T$48,MATCH($B80,'[25]RESID-E_ANTC'!$A$5:$A$48,0),MATCH(S$5,'[25]RESID-E_ANTC'!$M$3:$T$3,0)),"")</f>
        <v>15.5161252325553</v>
      </c>
      <c r="T80" s="276">
        <f>IFERROR(INDEX('[25]RESID-E_ANTC'!$M$5:$T$48,MATCH($B80,'[25]RESID-E_ANTC'!$A$5:$A$48,0),MATCH(T$5,'[25]RESID-E_ANTC'!$M$3:$T$3,0)),"")</f>
        <v>0</v>
      </c>
      <c r="U80" s="276">
        <f>IFERROR(INDEX('[25]RESID-E_ANTC'!$M$5:$T$48,MATCH($B80,'[25]RESID-E_ANTC'!$A$5:$A$48,0),MATCH(U$5,'[25]RESID-E_ANTC'!$M$3:$T$3,0)),"")</f>
        <v>0</v>
      </c>
      <c r="V80" s="279"/>
      <c r="W80" s="279"/>
    </row>
    <row r="81" spans="2:23">
      <c r="B81" s="270" t="str">
        <f>IF([25]ITEMS_Tech_E!D80="","",[25]ITEMS_Tech_E!D80)</f>
        <v>*</v>
      </c>
      <c r="C81" s="271" t="str">
        <f>IF([25]ITEMS_Tech_E!E80="","",[25]ITEMS_Tech_E!E80)</f>
        <v/>
      </c>
      <c r="D81" s="272"/>
      <c r="E81" s="272"/>
      <c r="F81" s="278">
        <f>IFERROR(INDEX('[25]EFF-E_ANTC'!$C$4:$H$47,MATCH($B81,'[25]EFF-E_ANTC'!$A$4:$A$47,0),MATCH(F$5,'[25]EFF-E_ANTC'!$C$3:$H$3,0)),"")</f>
        <v>6.4348339348895098E-2</v>
      </c>
      <c r="G81" s="278">
        <f>IFERROR(INDEX('[25]EFF-E_ANTC'!$C$4:$H$47,MATCH($B81,'[25]EFF-E_ANTC'!$A$4:$A$47,0),MATCH(G$5,'[25]EFF-E_ANTC'!$C$3:$H$3,0)),"")</f>
        <v>6.4532835825940396E-2</v>
      </c>
      <c r="H81" s="278">
        <f>IFERROR(INDEX('[25]EFF-E_ANTC'!$C$4:$H$47,MATCH($B81,'[25]EFF-E_ANTC'!$A$4:$A$47,0),MATCH(H$5,'[25]EFF-E_ANTC'!$C$3:$H$3,0)),"")</f>
        <v>6.5227894002483106E-2</v>
      </c>
      <c r="I81" s="278">
        <f>IFERROR(INDEX('[25]EFF-E_ANTC'!$C$4:$H$47,MATCH($B81,'[25]EFF-E_ANTC'!$A$4:$A$47,0),MATCH(I$5,'[25]EFF-E_ANTC'!$C$3:$H$3,0)),"")</f>
        <v>6.6011283101863896E-2</v>
      </c>
      <c r="J81" s="278">
        <f>IFERROR(INDEX('[25]EFF-E_ANTC'!$C$4:$H$47,MATCH($B81,'[25]EFF-E_ANTC'!$A$4:$A$47,0),MATCH(J$5,'[25]EFF-E_ANTC'!$C$3:$H$3,0)),"")</f>
        <v>6.6777008175099004E-2</v>
      </c>
      <c r="K81" s="274">
        <f>IFERROR(INDEX('[25]AFA-E_ANTC'!$J$5:$O$48,MATCH($B81,'[25]AFA-E_ANTC'!$A$5:$A$48,0),MATCH(K$5,'[25]AFA-E_ANTC'!$J$3:$O$3,0)),"")</f>
        <v>0.42532283795650333</v>
      </c>
      <c r="L81" s="274">
        <f>IFERROR(INDEX('[25]AFA-E_ANTC'!$J$5:$O$48,MATCH($B81,'[25]AFA-E_ANTC'!$A$5:$A$48,0),MATCH(L$5,'[25]AFA-E_ANTC'!$J$3:$O$3,0)),"")</f>
        <v>0.33706878442068333</v>
      </c>
      <c r="M81" s="274">
        <f>IFERROR(INDEX('[25]AFA-E_ANTC'!$J$5:$O$48,MATCH($B81,'[25]AFA-E_ANTC'!$A$5:$A$48,0),MATCH(M$5,'[25]AFA-E_ANTC'!$J$3:$O$3,0)),"")</f>
        <v>0.15171434294469499</v>
      </c>
      <c r="N81" s="274">
        <f>IFERROR(INDEX('[25]AFA-E_ANTC'!$J$5:$O$48,MATCH($B81,'[25]AFA-E_ANTC'!$A$5:$A$48,0),MATCH(N$5,'[25]AFA-E_ANTC'!$J$3:$O$3,0)),"")</f>
        <v>6.6477490540613332E-2</v>
      </c>
      <c r="O81" s="274">
        <f>IFERROR(INDEX('[25]AFA-E_ANTC'!$J$5:$O$48,MATCH($B81,'[25]AFA-E_ANTC'!$A$5:$A$48,0),MATCH(O$5,'[25]AFA-E_ANTC'!$J$3:$O$3,0)),"")</f>
        <v>2.8637041139474666E-2</v>
      </c>
      <c r="P81" s="274">
        <f>IFERROR(INDEX('[25]AFA-E_ANTC'!$P$5:$P$48,MATCH($B81,'[25]AFA-E_ANTC'!$A$5:$A$48,0)),"")</f>
        <v>0.06</v>
      </c>
      <c r="Q81" s="276">
        <f>IFERROR(INDEX('[25]RESID-E_ANTC'!$M$5:$T$48,MATCH($B81,'[25]RESID-E_ANTC'!$A$5:$A$48,0),MATCH(Q$5,'[25]RESID-E_ANTC'!$M$3:$T$3,0)),"")</f>
        <v>25.1952522652347</v>
      </c>
      <c r="R81" s="276">
        <f>IFERROR(INDEX('[25]RESID-E_ANTC'!$M$5:$T$48,MATCH($B81,'[25]RESID-E_ANTC'!$A$5:$A$48,0),MATCH(R$5,'[25]RESID-E_ANTC'!$M$3:$T$3,0)),"")</f>
        <v>23.083651962362801</v>
      </c>
      <c r="S81" s="276">
        <f>IFERROR(INDEX('[25]RESID-E_ANTC'!$M$5:$T$48,MATCH($B81,'[25]RESID-E_ANTC'!$A$5:$A$48,0),MATCH(S$5,'[25]RESID-E_ANTC'!$M$3:$T$3,0)),"")</f>
        <v>15.5161252325553</v>
      </c>
      <c r="T81" s="276">
        <f>IFERROR(INDEX('[25]RESID-E_ANTC'!$M$5:$T$48,MATCH($B81,'[25]RESID-E_ANTC'!$A$5:$A$48,0),MATCH(T$5,'[25]RESID-E_ANTC'!$M$3:$T$3,0)),"")</f>
        <v>0</v>
      </c>
      <c r="U81" s="276">
        <f>IFERROR(INDEX('[25]RESID-E_ANTC'!$M$5:$T$48,MATCH($B81,'[25]RESID-E_ANTC'!$A$5:$A$48,0),MATCH(U$5,'[25]RESID-E_ANTC'!$M$3:$T$3,0)),"")</f>
        <v>0</v>
      </c>
      <c r="V81" s="279"/>
      <c r="W81" s="279"/>
    </row>
    <row r="82" spans="2:23">
      <c r="B82" s="270" t="str">
        <f>IF([25]ITEMS_Tech_E!D81="","",[25]ITEMS_Tech_E!D81)</f>
        <v>*</v>
      </c>
      <c r="C82" s="271" t="str">
        <f>IF([25]ITEMS_Tech_E!E81="","",[25]ITEMS_Tech_E!E81)</f>
        <v/>
      </c>
      <c r="D82" s="272"/>
      <c r="E82" s="272"/>
      <c r="F82" s="278">
        <f>IFERROR(INDEX('[25]EFF-E_ANTC'!$C$4:$H$47,MATCH($B82,'[25]EFF-E_ANTC'!$A$4:$A$47,0),MATCH(F$5,'[25]EFF-E_ANTC'!$C$3:$H$3,0)),"")</f>
        <v>6.4348339348895098E-2</v>
      </c>
      <c r="G82" s="278">
        <f>IFERROR(INDEX('[25]EFF-E_ANTC'!$C$4:$H$47,MATCH($B82,'[25]EFF-E_ANTC'!$A$4:$A$47,0),MATCH(G$5,'[25]EFF-E_ANTC'!$C$3:$H$3,0)),"")</f>
        <v>6.4532835825940396E-2</v>
      </c>
      <c r="H82" s="278">
        <f>IFERROR(INDEX('[25]EFF-E_ANTC'!$C$4:$H$47,MATCH($B82,'[25]EFF-E_ANTC'!$A$4:$A$47,0),MATCH(H$5,'[25]EFF-E_ANTC'!$C$3:$H$3,0)),"")</f>
        <v>6.5227894002483106E-2</v>
      </c>
      <c r="I82" s="278">
        <f>IFERROR(INDEX('[25]EFF-E_ANTC'!$C$4:$H$47,MATCH($B82,'[25]EFF-E_ANTC'!$A$4:$A$47,0),MATCH(I$5,'[25]EFF-E_ANTC'!$C$3:$H$3,0)),"")</f>
        <v>6.6011283101863896E-2</v>
      </c>
      <c r="J82" s="278">
        <f>IFERROR(INDEX('[25]EFF-E_ANTC'!$C$4:$H$47,MATCH($B82,'[25]EFF-E_ANTC'!$A$4:$A$47,0),MATCH(J$5,'[25]EFF-E_ANTC'!$C$3:$H$3,0)),"")</f>
        <v>6.6777008175099004E-2</v>
      </c>
      <c r="K82" s="274">
        <f>IFERROR(INDEX('[25]AFA-E_ANTC'!$J$5:$O$48,MATCH($B82,'[25]AFA-E_ANTC'!$A$5:$A$48,0),MATCH(K$5,'[25]AFA-E_ANTC'!$J$3:$O$3,0)),"")</f>
        <v>0.42532283795650333</v>
      </c>
      <c r="L82" s="274">
        <f>IFERROR(INDEX('[25]AFA-E_ANTC'!$J$5:$O$48,MATCH($B82,'[25]AFA-E_ANTC'!$A$5:$A$48,0),MATCH(L$5,'[25]AFA-E_ANTC'!$J$3:$O$3,0)),"")</f>
        <v>0.33706878442068333</v>
      </c>
      <c r="M82" s="274">
        <f>IFERROR(INDEX('[25]AFA-E_ANTC'!$J$5:$O$48,MATCH($B82,'[25]AFA-E_ANTC'!$A$5:$A$48,0),MATCH(M$5,'[25]AFA-E_ANTC'!$J$3:$O$3,0)),"")</f>
        <v>0.15171434294469499</v>
      </c>
      <c r="N82" s="274">
        <f>IFERROR(INDEX('[25]AFA-E_ANTC'!$J$5:$O$48,MATCH($B82,'[25]AFA-E_ANTC'!$A$5:$A$48,0),MATCH(N$5,'[25]AFA-E_ANTC'!$J$3:$O$3,0)),"")</f>
        <v>6.6477490540613332E-2</v>
      </c>
      <c r="O82" s="274">
        <f>IFERROR(INDEX('[25]AFA-E_ANTC'!$J$5:$O$48,MATCH($B82,'[25]AFA-E_ANTC'!$A$5:$A$48,0),MATCH(O$5,'[25]AFA-E_ANTC'!$J$3:$O$3,0)),"")</f>
        <v>2.8637041139474666E-2</v>
      </c>
      <c r="P82" s="274">
        <f>IFERROR(INDEX('[25]AFA-E_ANTC'!$P$5:$P$48,MATCH($B82,'[25]AFA-E_ANTC'!$A$5:$A$48,0)),"")</f>
        <v>0.06</v>
      </c>
      <c r="Q82" s="276">
        <f>IFERROR(INDEX('[25]RESID-E_ANTC'!$M$5:$T$48,MATCH($B82,'[25]RESID-E_ANTC'!$A$5:$A$48,0),MATCH(Q$5,'[25]RESID-E_ANTC'!$M$3:$T$3,0)),"")</f>
        <v>25.1952522652347</v>
      </c>
      <c r="R82" s="276">
        <f>IFERROR(INDEX('[25]RESID-E_ANTC'!$M$5:$T$48,MATCH($B82,'[25]RESID-E_ANTC'!$A$5:$A$48,0),MATCH(R$5,'[25]RESID-E_ANTC'!$M$3:$T$3,0)),"")</f>
        <v>23.083651962362801</v>
      </c>
      <c r="S82" s="276">
        <f>IFERROR(INDEX('[25]RESID-E_ANTC'!$M$5:$T$48,MATCH($B82,'[25]RESID-E_ANTC'!$A$5:$A$48,0),MATCH(S$5,'[25]RESID-E_ANTC'!$M$3:$T$3,0)),"")</f>
        <v>15.5161252325553</v>
      </c>
      <c r="T82" s="276">
        <f>IFERROR(INDEX('[25]RESID-E_ANTC'!$M$5:$T$48,MATCH($B82,'[25]RESID-E_ANTC'!$A$5:$A$48,0),MATCH(T$5,'[25]RESID-E_ANTC'!$M$3:$T$3,0)),"")</f>
        <v>0</v>
      </c>
      <c r="U82" s="276">
        <f>IFERROR(INDEX('[25]RESID-E_ANTC'!$M$5:$T$48,MATCH($B82,'[25]RESID-E_ANTC'!$A$5:$A$48,0),MATCH(U$5,'[25]RESID-E_ANTC'!$M$3:$T$3,0)),"")</f>
        <v>0</v>
      </c>
      <c r="V82" s="279"/>
      <c r="W82"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opLeftCell="A36" zoomScale="67" zoomScaleNormal="55" workbookViewId="0">
      <selection activeCell="D58" sqref="D58"/>
    </sheetView>
  </sheetViews>
  <sheetFormatPr defaultColWidth="8.88671875" defaultRowHeight="13.2"/>
  <cols>
    <col min="1" max="1" width="52.6640625" style="115" customWidth="1"/>
    <col min="2" max="2" width="18.33203125" style="115" customWidth="1"/>
    <col min="3" max="3" width="14.33203125" style="115" customWidth="1"/>
    <col min="4" max="6" width="8.44140625" style="115" customWidth="1"/>
    <col min="7" max="7" width="12.88671875" style="115" customWidth="1"/>
    <col min="8" max="11" width="8.44140625" style="115" customWidth="1"/>
    <col min="12" max="17" width="6.33203125" style="115" customWidth="1"/>
    <col min="18" max="37" width="10" style="115" customWidth="1"/>
    <col min="38" max="38" width="11.6640625" style="115" customWidth="1"/>
    <col min="39" max="42" width="10" style="115" customWidth="1"/>
    <col min="43" max="43" width="15.88671875" style="115" customWidth="1"/>
    <col min="44" max="44" width="24.109375" style="115" customWidth="1"/>
    <col min="45" max="45" width="32" style="115" customWidth="1"/>
    <col min="46" max="46" width="14.109375" style="115" customWidth="1"/>
    <col min="47" max="54" width="8.88671875" style="115"/>
    <col min="55" max="55" width="45.5546875" style="115" customWidth="1"/>
    <col min="56" max="16384" width="8.88671875" style="115"/>
  </cols>
  <sheetData>
    <row r="1" spans="1:42" ht="21">
      <c r="A1" s="259" t="s">
        <v>711</v>
      </c>
      <c r="B1" s="260" t="s">
        <v>712</v>
      </c>
    </row>
    <row r="2" spans="1:42" ht="14.4">
      <c r="A2" s="251"/>
    </row>
    <row r="4" spans="1:42">
      <c r="A4" s="112" t="s">
        <v>402</v>
      </c>
      <c r="B4" s="331" t="s">
        <v>403</v>
      </c>
      <c r="C4" s="331"/>
      <c r="D4" s="331"/>
      <c r="E4" s="113" t="s">
        <v>404</v>
      </c>
      <c r="F4" s="113"/>
      <c r="G4" s="113"/>
      <c r="H4" s="112"/>
      <c r="I4" s="113"/>
      <c r="J4" s="112"/>
      <c r="K4" s="114"/>
    </row>
    <row r="5" spans="1:42" ht="13.8">
      <c r="A5" s="116" t="s">
        <v>405</v>
      </c>
      <c r="B5" s="117" t="s">
        <v>406</v>
      </c>
      <c r="C5" s="118"/>
      <c r="D5" s="118"/>
      <c r="E5" s="118"/>
      <c r="F5" s="118"/>
      <c r="G5" s="119"/>
      <c r="H5" s="118"/>
      <c r="I5" s="118"/>
      <c r="J5" s="118"/>
      <c r="K5" s="119"/>
      <c r="L5" s="120"/>
      <c r="M5" s="120"/>
      <c r="N5" s="120"/>
      <c r="AB5" s="120"/>
      <c r="AC5" s="120"/>
      <c r="AD5" s="120"/>
      <c r="AE5" s="120"/>
      <c r="AF5" s="120"/>
      <c r="AG5" s="120"/>
      <c r="AH5" s="120"/>
      <c r="AI5" s="120"/>
      <c r="AJ5" s="120"/>
      <c r="AK5" s="120"/>
      <c r="AL5" s="120"/>
      <c r="AM5" s="120"/>
      <c r="AN5" s="121"/>
      <c r="AO5" s="120"/>
      <c r="AP5" s="120"/>
    </row>
    <row r="6" spans="1:42">
      <c r="A6" s="121"/>
      <c r="B6" s="121"/>
      <c r="C6" s="122" t="s">
        <v>407</v>
      </c>
      <c r="D6" s="122"/>
      <c r="E6" s="122"/>
      <c r="F6" s="122"/>
      <c r="G6" s="122"/>
      <c r="H6" s="122"/>
      <c r="I6" s="122"/>
      <c r="J6" s="122"/>
      <c r="K6" s="121"/>
      <c r="L6" s="115" t="s">
        <v>408</v>
      </c>
      <c r="AB6" s="120"/>
      <c r="AC6" s="120"/>
      <c r="AD6" s="120"/>
      <c r="AE6" s="120"/>
      <c r="AF6" s="120"/>
      <c r="AG6" s="120"/>
      <c r="AH6" s="120"/>
      <c r="AI6" s="120"/>
      <c r="AJ6" s="120"/>
      <c r="AK6" s="120"/>
      <c r="AL6" s="120"/>
      <c r="AM6" s="120"/>
      <c r="AN6" s="120"/>
      <c r="AO6" s="120"/>
      <c r="AP6" s="121"/>
    </row>
    <row r="7" spans="1:42">
      <c r="A7" s="113" t="s">
        <v>409</v>
      </c>
      <c r="B7" s="121">
        <f>COUNT(C7:M7)</f>
        <v>8</v>
      </c>
      <c r="C7" s="121">
        <v>1</v>
      </c>
      <c r="D7" s="121">
        <f>C7+1</f>
        <v>2</v>
      </c>
      <c r="E7" s="121">
        <f t="shared" ref="E7:J7" si="0">D7+1</f>
        <v>3</v>
      </c>
      <c r="F7" s="121">
        <f t="shared" si="0"/>
        <v>4</v>
      </c>
      <c r="G7" s="121">
        <f t="shared" si="0"/>
        <v>5</v>
      </c>
      <c r="H7" s="121">
        <f t="shared" si="0"/>
        <v>6</v>
      </c>
      <c r="I7" s="121">
        <f t="shared" si="0"/>
        <v>7</v>
      </c>
      <c r="J7" s="121">
        <f t="shared" si="0"/>
        <v>8</v>
      </c>
      <c r="K7" s="120"/>
    </row>
    <row r="8" spans="1:42">
      <c r="A8" s="122" t="s">
        <v>410</v>
      </c>
      <c r="B8" s="121" t="s">
        <v>411</v>
      </c>
      <c r="C8" s="115" t="s">
        <v>364</v>
      </c>
      <c r="D8" s="121" t="s">
        <v>412</v>
      </c>
      <c r="E8" s="121" t="s">
        <v>26</v>
      </c>
      <c r="F8" s="121" t="s">
        <v>413</v>
      </c>
      <c r="G8" s="121" t="s">
        <v>414</v>
      </c>
      <c r="H8" s="121" t="s">
        <v>415</v>
      </c>
      <c r="I8" s="121" t="s">
        <v>416</v>
      </c>
      <c r="J8" s="121" t="s">
        <v>417</v>
      </c>
      <c r="K8" s="120" t="s">
        <v>418</v>
      </c>
      <c r="N8" s="120"/>
      <c r="AB8" s="120"/>
      <c r="AC8" s="120"/>
      <c r="AD8" s="120"/>
      <c r="AE8" s="120"/>
      <c r="AF8" s="120"/>
      <c r="AG8" s="120"/>
      <c r="AH8" s="120"/>
      <c r="AI8" s="120"/>
      <c r="AJ8" s="120"/>
      <c r="AK8" s="120"/>
      <c r="AL8" s="120"/>
      <c r="AM8" s="120"/>
      <c r="AN8" s="120"/>
      <c r="AO8" s="121"/>
      <c r="AP8" s="120"/>
    </row>
    <row r="9" spans="1:42">
      <c r="A9" s="113" t="s">
        <v>419</v>
      </c>
      <c r="B9" s="121" t="s">
        <v>420</v>
      </c>
      <c r="C9" s="120" t="str">
        <f t="shared" ref="C9:J9" si="1">$B$9&amp;VLOOKUP(C8,FuelNames,2,FALSE)</f>
        <v>COMCOA</v>
      </c>
      <c r="D9" s="120" t="str">
        <f t="shared" si="1"/>
        <v>COMODS</v>
      </c>
      <c r="E9" s="120" t="str">
        <f t="shared" si="1"/>
        <v>COMELC</v>
      </c>
      <c r="F9" s="120" t="str">
        <f t="shared" si="1"/>
        <v>COMGAS</v>
      </c>
      <c r="G9" s="120" t="str">
        <f t="shared" si="1"/>
        <v>COMOGS</v>
      </c>
      <c r="H9" s="120" t="str">
        <f t="shared" si="1"/>
        <v>COMOHF</v>
      </c>
      <c r="I9" s="120" t="str">
        <f t="shared" si="1"/>
        <v>COMOKE</v>
      </c>
      <c r="J9" s="120" t="str">
        <f t="shared" si="1"/>
        <v>COMOLP</v>
      </c>
    </row>
    <row r="10" spans="1:42">
      <c r="A10" s="113"/>
      <c r="B10" s="123" t="s">
        <v>421</v>
      </c>
      <c r="C10" s="124">
        <v>27.73</v>
      </c>
      <c r="D10" s="124">
        <v>1.1000000000000001</v>
      </c>
      <c r="E10" s="124">
        <f>38267*0.0036</f>
        <v>137.7612</v>
      </c>
      <c r="F10" s="125">
        <v>1.232</v>
      </c>
      <c r="G10" s="125">
        <v>0</v>
      </c>
      <c r="H10" s="124">
        <v>2.75</v>
      </c>
      <c r="I10" s="124">
        <v>5.28</v>
      </c>
      <c r="J10" s="124">
        <v>2.15</v>
      </c>
      <c r="K10" s="125">
        <f>SUM(C10:J10)</f>
        <v>178.00320000000002</v>
      </c>
      <c r="L10" s="126"/>
    </row>
    <row r="11" spans="1:42" ht="17.399999999999999">
      <c r="A11" s="113" t="s">
        <v>422</v>
      </c>
      <c r="B11" s="123" t="s">
        <v>423</v>
      </c>
      <c r="C11" s="127">
        <f>C10/$K$10</f>
        <v>0.15578371624779777</v>
      </c>
      <c r="D11" s="127">
        <f>D10/$K$10</f>
        <v>6.1796641858123894E-3</v>
      </c>
      <c r="E11" s="127">
        <f>E10/$K$10</f>
        <v>0.77392541257685243</v>
      </c>
      <c r="F11" s="127">
        <f t="shared" ref="F11:J11" si="2">F10/$K$10</f>
        <v>6.9212238881098754E-3</v>
      </c>
      <c r="G11" s="127">
        <f t="shared" si="2"/>
        <v>0</v>
      </c>
      <c r="H11" s="127">
        <f t="shared" si="2"/>
        <v>1.5449160464530973E-2</v>
      </c>
      <c r="I11" s="127">
        <f t="shared" si="2"/>
        <v>2.9662388091899469E-2</v>
      </c>
      <c r="J11" s="127">
        <f t="shared" si="2"/>
        <v>1.2078434544996942E-2</v>
      </c>
      <c r="K11" s="125"/>
      <c r="L11" s="126"/>
      <c r="R11" s="258"/>
    </row>
    <row r="12" spans="1:42">
      <c r="A12" s="115" t="s">
        <v>424</v>
      </c>
      <c r="B12" s="112" t="s">
        <v>425</v>
      </c>
      <c r="C12" s="121">
        <v>94.1</v>
      </c>
      <c r="D12" s="121">
        <v>74.099999999999994</v>
      </c>
      <c r="E12" s="121">
        <v>0</v>
      </c>
      <c r="F12" s="121">
        <v>64.2</v>
      </c>
      <c r="G12" s="121">
        <v>69.3</v>
      </c>
      <c r="H12" s="121">
        <v>77.400000000000006</v>
      </c>
      <c r="I12" s="121">
        <v>71.900000000000006</v>
      </c>
      <c r="J12" s="121">
        <v>63.1</v>
      </c>
      <c r="K12" s="120"/>
      <c r="L12" s="121">
        <v>1</v>
      </c>
    </row>
    <row r="13" spans="1:42">
      <c r="A13" s="115" t="s">
        <v>426</v>
      </c>
      <c r="B13" s="112" t="s">
        <v>427</v>
      </c>
      <c r="C13" s="121">
        <v>1E-3</v>
      </c>
      <c r="D13" s="121">
        <v>3.0000000000000001E-3</v>
      </c>
      <c r="E13" s="121">
        <v>0</v>
      </c>
      <c r="F13" s="121">
        <v>3.0000000000000001E-3</v>
      </c>
      <c r="G13" s="121">
        <v>3.0000000000000001E-3</v>
      </c>
      <c r="H13" s="121">
        <v>3.0000000000000001E-3</v>
      </c>
      <c r="I13" s="121">
        <v>3.0000000000000001E-3</v>
      </c>
      <c r="J13" s="121">
        <v>1E-3</v>
      </c>
      <c r="K13" s="120"/>
      <c r="L13" s="121">
        <f>L12+1</f>
        <v>2</v>
      </c>
    </row>
    <row r="14" spans="1:42">
      <c r="A14" s="115" t="s">
        <v>428</v>
      </c>
      <c r="B14" s="112" t="s">
        <v>429</v>
      </c>
      <c r="C14" s="121">
        <f>15/1000</f>
        <v>1.4999999999999999E-2</v>
      </c>
      <c r="D14" s="121">
        <v>5.9999999999999995E-4</v>
      </c>
      <c r="E14" s="121">
        <v>0</v>
      </c>
      <c r="F14" s="121">
        <v>5.9999999999999995E-4</v>
      </c>
      <c r="G14" s="121">
        <v>5.9999999999999995E-4</v>
      </c>
      <c r="H14" s="121">
        <v>5.9999999999999995E-4</v>
      </c>
      <c r="I14" s="121">
        <v>5.9999999999999995E-4</v>
      </c>
      <c r="J14" s="121">
        <v>1E-4</v>
      </c>
      <c r="K14" s="120"/>
      <c r="L14" s="121">
        <f>L13+1</f>
        <v>3</v>
      </c>
    </row>
    <row r="15" spans="1:42">
      <c r="A15" s="115" t="s">
        <v>430</v>
      </c>
      <c r="B15" s="112" t="s">
        <v>431</v>
      </c>
      <c r="C15" s="121">
        <v>0.45440000000000003</v>
      </c>
      <c r="D15" s="121">
        <v>0.25290000000000001</v>
      </c>
      <c r="E15" s="121">
        <v>0</v>
      </c>
      <c r="F15" s="121">
        <v>0</v>
      </c>
      <c r="G15" s="121">
        <v>4.6699999999999998E-2</v>
      </c>
      <c r="H15" s="121">
        <v>1.5290999999999999</v>
      </c>
      <c r="I15" s="121"/>
      <c r="J15" s="121"/>
      <c r="K15" s="120"/>
      <c r="L15" s="121">
        <f>L14+1</f>
        <v>4</v>
      </c>
    </row>
    <row r="16" spans="1:42">
      <c r="A16" s="115" t="s">
        <v>432</v>
      </c>
      <c r="B16" s="112" t="s">
        <v>433</v>
      </c>
      <c r="C16" s="121">
        <v>0.1</v>
      </c>
      <c r="D16" s="121">
        <v>0.1</v>
      </c>
      <c r="E16" s="121">
        <v>0</v>
      </c>
      <c r="F16" s="121">
        <v>0.05</v>
      </c>
      <c r="G16" s="121">
        <v>0.1</v>
      </c>
      <c r="H16" s="121">
        <v>0.1</v>
      </c>
      <c r="I16" s="121"/>
      <c r="J16" s="121"/>
      <c r="K16" s="120"/>
      <c r="L16" s="121">
        <f>L15+1</f>
        <v>5</v>
      </c>
    </row>
    <row r="17" spans="1:11">
      <c r="A17" s="113"/>
      <c r="B17" s="121"/>
      <c r="C17" s="121"/>
      <c r="D17" s="121"/>
      <c r="E17" s="121"/>
      <c r="F17" s="121"/>
      <c r="G17" s="121"/>
      <c r="H17" s="121"/>
      <c r="I17" s="121"/>
      <c r="J17" s="121"/>
      <c r="K17" s="120"/>
    </row>
    <row r="18" spans="1:11" ht="13.8">
      <c r="A18" s="113" t="s">
        <v>434</v>
      </c>
      <c r="B18" s="121"/>
      <c r="C18" s="128">
        <v>0</v>
      </c>
      <c r="D18" s="128">
        <v>0</v>
      </c>
      <c r="E18" s="129">
        <v>0.1</v>
      </c>
      <c r="F18" s="128">
        <v>0</v>
      </c>
      <c r="G18" s="128">
        <v>0</v>
      </c>
      <c r="H18" s="128">
        <v>0</v>
      </c>
      <c r="I18" s="128">
        <v>0</v>
      </c>
      <c r="J18" s="128">
        <v>0</v>
      </c>
      <c r="K18" s="120"/>
    </row>
    <row r="19" spans="1:11">
      <c r="A19" s="113" t="s">
        <v>435</v>
      </c>
      <c r="B19" s="121" t="s">
        <v>436</v>
      </c>
      <c r="C19" s="130" t="e">
        <f t="shared" ref="C19:J19" si="3">SUMPRODUCT(--($C$64:$C$124=C9),$M$64:$M$124)^2/(SUMPRODUCT(--($C$64:$C$124=C9),$M$64:$M$124,$F$64:$F$124)+eps)</f>
        <v>#VALUE!</v>
      </c>
      <c r="D19" s="130" t="e">
        <f t="shared" si="3"/>
        <v>#VALUE!</v>
      </c>
      <c r="E19" s="130" t="e">
        <f t="shared" si="3"/>
        <v>#VALUE!</v>
      </c>
      <c r="F19" s="130" t="e">
        <f t="shared" si="3"/>
        <v>#VALUE!</v>
      </c>
      <c r="G19" s="130" t="e">
        <f t="shared" si="3"/>
        <v>#VALUE!</v>
      </c>
      <c r="H19" s="130" t="e">
        <f t="shared" si="3"/>
        <v>#VALUE!</v>
      </c>
      <c r="I19" s="130" t="e">
        <f t="shared" si="3"/>
        <v>#VALUE!</v>
      </c>
      <c r="J19" s="130" t="e">
        <f t="shared" si="3"/>
        <v>#VALUE!</v>
      </c>
      <c r="K19" s="120"/>
    </row>
    <row r="20" spans="1:11">
      <c r="A20" s="113"/>
      <c r="B20" s="121"/>
      <c r="C20" s="121"/>
      <c r="D20" s="121"/>
      <c r="E20" s="121"/>
      <c r="F20" s="121"/>
      <c r="G20" s="121"/>
      <c r="H20" s="121"/>
      <c r="I20" s="121"/>
      <c r="J20" s="121"/>
      <c r="K20" s="120"/>
    </row>
    <row r="21" spans="1:11">
      <c r="A21" s="131" t="s">
        <v>437</v>
      </c>
      <c r="B21" s="132" t="s">
        <v>438</v>
      </c>
      <c r="C21" s="126"/>
      <c r="D21" s="126"/>
      <c r="E21" s="126"/>
      <c r="F21" s="126"/>
      <c r="G21" s="126"/>
      <c r="H21" s="126"/>
      <c r="I21" s="126"/>
      <c r="J21" s="126"/>
      <c r="K21" s="120"/>
    </row>
    <row r="22" spans="1:11">
      <c r="A22" s="133" t="s">
        <v>247</v>
      </c>
      <c r="B22" s="121" t="s">
        <v>439</v>
      </c>
      <c r="C22" s="126"/>
      <c r="D22" s="133"/>
      <c r="E22" s="126"/>
      <c r="F22" s="126"/>
      <c r="G22" s="126"/>
      <c r="H22" s="126"/>
      <c r="I22" s="126"/>
      <c r="J22" s="126"/>
      <c r="K22" s="120"/>
    </row>
    <row r="23" spans="1:11">
      <c r="A23" s="115" t="s">
        <v>440</v>
      </c>
      <c r="B23" s="121" t="s">
        <v>441</v>
      </c>
      <c r="C23" s="126"/>
      <c r="D23" s="133"/>
      <c r="E23" s="126"/>
      <c r="F23" s="126"/>
      <c r="G23" s="126"/>
      <c r="H23" s="126"/>
      <c r="I23" s="126"/>
      <c r="J23" s="126"/>
      <c r="K23" s="120"/>
    </row>
    <row r="24" spans="1:11">
      <c r="A24" s="115" t="s">
        <v>372</v>
      </c>
      <c r="B24" s="121" t="s">
        <v>442</v>
      </c>
      <c r="C24" s="126"/>
      <c r="D24" s="133"/>
      <c r="F24" s="126"/>
      <c r="G24" s="126"/>
      <c r="H24" s="126"/>
      <c r="I24" s="126"/>
      <c r="J24" s="126"/>
      <c r="K24" s="120"/>
    </row>
    <row r="25" spans="1:11">
      <c r="A25" s="115" t="s">
        <v>371</v>
      </c>
      <c r="B25" s="121" t="s">
        <v>443</v>
      </c>
      <c r="C25" s="126"/>
      <c r="D25" s="133"/>
      <c r="E25" s="126"/>
      <c r="F25" s="126"/>
      <c r="G25" s="126"/>
      <c r="H25" s="126"/>
      <c r="I25" s="126"/>
      <c r="J25" s="126"/>
      <c r="K25" s="120"/>
    </row>
    <row r="26" spans="1:11">
      <c r="A26" s="115" t="s">
        <v>373</v>
      </c>
      <c r="B26" s="121" t="s">
        <v>444</v>
      </c>
      <c r="C26" s="126"/>
      <c r="D26" s="133"/>
      <c r="E26" s="126"/>
      <c r="F26" s="126"/>
      <c r="G26" s="126"/>
      <c r="H26" s="126"/>
      <c r="I26" s="126"/>
      <c r="J26" s="126"/>
      <c r="K26" s="120"/>
    </row>
    <row r="27" spans="1:11">
      <c r="A27" s="115" t="s">
        <v>445</v>
      </c>
      <c r="B27" s="121" t="s">
        <v>446</v>
      </c>
      <c r="C27" s="126"/>
      <c r="D27" s="126"/>
      <c r="E27" s="126"/>
      <c r="F27" s="126"/>
      <c r="G27" s="126"/>
      <c r="H27" s="126"/>
      <c r="I27" s="126"/>
      <c r="J27" s="126"/>
      <c r="K27" s="120"/>
    </row>
    <row r="28" spans="1:11">
      <c r="A28" s="134" t="s">
        <v>447</v>
      </c>
      <c r="B28" s="135" t="s">
        <v>448</v>
      </c>
      <c r="C28" s="126"/>
      <c r="D28" s="133"/>
      <c r="E28" s="126"/>
      <c r="F28" s="126"/>
      <c r="G28" s="126"/>
      <c r="H28" s="126"/>
      <c r="I28" s="126"/>
      <c r="J28" s="126"/>
      <c r="K28" s="120"/>
    </row>
    <row r="29" spans="1:11">
      <c r="A29" s="134" t="s">
        <v>449</v>
      </c>
      <c r="B29" s="135" t="s">
        <v>450</v>
      </c>
      <c r="C29" s="126"/>
      <c r="D29" s="133"/>
      <c r="E29" s="126"/>
      <c r="F29" s="126"/>
      <c r="G29" s="126"/>
      <c r="H29" s="126"/>
      <c r="I29" s="126"/>
      <c r="J29" s="126"/>
      <c r="K29" s="120"/>
    </row>
    <row r="30" spans="1:11">
      <c r="A30" s="115" t="s">
        <v>290</v>
      </c>
      <c r="B30" s="121" t="s">
        <v>451</v>
      </c>
      <c r="C30" s="135"/>
      <c r="D30" s="135"/>
      <c r="E30" s="135"/>
      <c r="F30" s="135"/>
      <c r="G30" s="135"/>
      <c r="H30" s="135"/>
      <c r="I30" s="135"/>
      <c r="J30" s="135"/>
      <c r="K30" s="120"/>
    </row>
    <row r="31" spans="1:11">
      <c r="C31" s="135"/>
      <c r="D31" s="135"/>
      <c r="E31" s="135"/>
      <c r="F31" s="135"/>
      <c r="G31" s="135"/>
      <c r="H31" s="135"/>
      <c r="I31" s="135"/>
      <c r="J31" s="135"/>
      <c r="K31" s="120"/>
    </row>
    <row r="32" spans="1:11">
      <c r="C32" s="122" t="s">
        <v>452</v>
      </c>
      <c r="D32" s="122"/>
      <c r="E32" s="122"/>
      <c r="F32" s="122"/>
      <c r="G32" s="122"/>
      <c r="H32" s="122"/>
      <c r="I32" s="122"/>
      <c r="J32" s="122"/>
      <c r="K32" s="120"/>
    </row>
    <row r="33" spans="1:55">
      <c r="A33" s="131" t="s">
        <v>453</v>
      </c>
      <c r="B33" s="131" t="s">
        <v>454</v>
      </c>
      <c r="C33" s="136" t="str">
        <f>C8</f>
        <v>Coal</v>
      </c>
      <c r="D33" s="136" t="str">
        <f t="shared" ref="D33:J33" si="4">D8</f>
        <v>Oil Diesel</v>
      </c>
      <c r="E33" s="136" t="str">
        <f t="shared" si="4"/>
        <v>Electricity</v>
      </c>
      <c r="F33" s="136" t="str">
        <f t="shared" si="4"/>
        <v>Gas</v>
      </c>
      <c r="G33" s="136" t="str">
        <f t="shared" si="4"/>
        <v>Oil Gasoline</v>
      </c>
      <c r="H33" s="136" t="str">
        <f t="shared" si="4"/>
        <v>Oil HFO</v>
      </c>
      <c r="I33" s="136" t="str">
        <f t="shared" si="4"/>
        <v>Oil Paraffin</v>
      </c>
      <c r="J33" s="136" t="str">
        <f t="shared" si="4"/>
        <v>Oil LPG</v>
      </c>
      <c r="K33" s="120"/>
    </row>
    <row r="34" spans="1:55">
      <c r="A34" s="137" t="str">
        <f t="shared" ref="A34:A42" si="5">$A$8&amp;" - "&amp;A22</f>
        <v>Commercial - Cooling</v>
      </c>
      <c r="B34" s="138" t="str">
        <f>$B$8&amp;B22</f>
        <v>CEC</v>
      </c>
      <c r="C34" s="139">
        <f>HLOOKUP($L34,'[12]End use share 2006c'!$B$34:$J$42,MATCH($M$34,'[12]End use share 2006c'!$A$34:$A$42,0),)</f>
        <v>0</v>
      </c>
      <c r="D34" s="139">
        <f>HLOOKUP($L34,'[12]End use share 2006c'!$B$34:$J$42,MATCH($M$35,'[12]End use share 2006c'!$A$34:$A$42,0),)</f>
        <v>0</v>
      </c>
      <c r="E34" s="139">
        <f>HLOOKUP($L34,'[12]End use share 2006c'!$B$34:$J$42,MATCH($M$36,'[12]End use share 2006c'!$A$34:$A$42,0),)</f>
        <v>0.32937807742524239</v>
      </c>
      <c r="F34" s="139">
        <f>HLOOKUP($L34,'[12]End use share 2006c'!$B$34:$J$42,MATCH($M$37,'[12]End use share 2006c'!$A$34:$A$42,0),)</f>
        <v>0</v>
      </c>
      <c r="G34" s="139"/>
      <c r="H34" s="139">
        <f>HLOOKUP($L34,'[12]End use share 2006c'!$B$34:$J$42,MATCH($M$39,'[12]End use share 2006c'!$A$34:$A$42,0),)</f>
        <v>0</v>
      </c>
      <c r="I34" s="139">
        <f>HLOOKUP($L34,'[12]End use share 2006c'!$B$34:$J$42,MATCH($M$40,'[12]End use share 2006c'!$A$34:$A$42,0),)</f>
        <v>0</v>
      </c>
      <c r="J34" s="139">
        <f>HLOOKUP($L34,'[12]End use share 2006c'!$B$34:$J$42,MATCH($M$41,'[12]End use share 2006c'!$A$34:$A$42,0),)</f>
        <v>0</v>
      </c>
      <c r="K34" s="120"/>
      <c r="L34" s="115" t="s">
        <v>455</v>
      </c>
      <c r="M34" s="115" t="s">
        <v>456</v>
      </c>
    </row>
    <row r="35" spans="1:55">
      <c r="A35" s="137" t="str">
        <f t="shared" si="5"/>
        <v>Commercial - Space Heating</v>
      </c>
      <c r="B35" s="138" t="str">
        <f t="shared" ref="B35:B42" si="6">$B$8&amp;B23</f>
        <v>CEH</v>
      </c>
      <c r="C35" s="139">
        <f>HLOOKUP($L35,'[12]End use share 2006c'!$B$34:$J$42,MATCH($M$34,'[12]End use share 2006c'!$A$34:$A$42,0),)</f>
        <v>0.54317126346240241</v>
      </c>
      <c r="D35" s="139">
        <f>HLOOKUP($L35,'[12]End use share 2006c'!$B$34:$J$42,MATCH($M$35,'[12]End use share 2006c'!$A$34:$A$42,0),)</f>
        <v>0</v>
      </c>
      <c r="E35" s="139">
        <f>HLOOKUP($L35,'[12]End use share 2006c'!$B$34:$J$42,MATCH($M$36,'[12]End use share 2006c'!$A$34:$A$42,0),)</f>
        <v>1.9673944145463536E-2</v>
      </c>
      <c r="F35" s="139">
        <f>HLOOKUP($L35,'[12]End use share 2006c'!$B$34:$J$42,MATCH($M$37,'[12]End use share 2006c'!$A$34:$A$42,0),)</f>
        <v>0.288582183186951</v>
      </c>
      <c r="G35" s="139"/>
      <c r="H35" s="139">
        <f>HLOOKUP($L35,'[12]End use share 2006c'!$B$34:$J$42,MATCH($M$39,'[12]End use share 2006c'!$A$34:$A$42,0),)</f>
        <v>0</v>
      </c>
      <c r="I35" s="139">
        <f>HLOOKUP($L35,'[12]End use share 2006c'!$B$34:$J$42,MATCH($M$40,'[12]End use share 2006c'!$A$34:$A$42,0),)</f>
        <v>0</v>
      </c>
      <c r="J35" s="139">
        <f>HLOOKUP($L35,'[12]End use share 2006c'!$B$34:$J$42,MATCH($M$41,'[12]End use share 2006c'!$A$34:$A$42,0),)</f>
        <v>0</v>
      </c>
      <c r="K35" s="120"/>
      <c r="L35" s="115" t="s">
        <v>369</v>
      </c>
      <c r="M35" s="115" t="s">
        <v>457</v>
      </c>
    </row>
    <row r="36" spans="1:55">
      <c r="A36" s="137" t="str">
        <f t="shared" si="5"/>
        <v>Commercial - Cooking</v>
      </c>
      <c r="B36" s="138" t="str">
        <f t="shared" si="6"/>
        <v>CEK</v>
      </c>
      <c r="C36" s="139">
        <f>HLOOKUP($L36,'[12]End use share 2006c'!$B$34:$J$42,MATCH($M$34,'[12]End use share 2006c'!$A$34:$A$42,0),)</f>
        <v>7.1368927396390168E-4</v>
      </c>
      <c r="D36" s="139">
        <f>HLOOKUP($L36,'[12]End use share 2006c'!$B$34:$J$42,MATCH($M$35,'[12]End use share 2006c'!$A$34:$A$42,0),)</f>
        <v>0</v>
      </c>
      <c r="E36" s="139">
        <f>HLOOKUP($L36,'[12]End use share 2006c'!$B$34:$J$42,MATCH($M$36,'[12]End use share 2006c'!$A$34:$A$42,0),)</f>
        <v>6.3534899562964403E-2</v>
      </c>
      <c r="F36" s="139">
        <f>HLOOKUP($L36,'[12]End use share 2006c'!$B$34:$J$42,MATCH($M$37,'[12]End use share 2006c'!$A$34:$A$42,0),)</f>
        <v>0</v>
      </c>
      <c r="G36" s="139"/>
      <c r="H36" s="139">
        <f>HLOOKUP($L36,'[12]End use share 2006c'!$B$34:$J$42,MATCH($M$39,'[12]End use share 2006c'!$A$34:$A$42,0),)</f>
        <v>0</v>
      </c>
      <c r="I36" s="139">
        <f>HLOOKUP($L36,'[12]End use share 2006c'!$B$34:$J$42,MATCH($M$40,'[12]End use share 2006c'!$A$34:$A$42,0),)</f>
        <v>0</v>
      </c>
      <c r="J36" s="139">
        <f>HLOOKUP($L36,'[12]End use share 2006c'!$B$34:$J$42,MATCH($M$41,'[12]End use share 2006c'!$A$34:$A$42,0),)</f>
        <v>0.10103470669450876</v>
      </c>
      <c r="K36" s="120"/>
      <c r="L36" s="115" t="s">
        <v>458</v>
      </c>
      <c r="M36" s="115" t="s">
        <v>459</v>
      </c>
    </row>
    <row r="37" spans="1:55">
      <c r="A37" s="137" t="str">
        <f t="shared" si="5"/>
        <v>Commercial - Lighting</v>
      </c>
      <c r="B37" s="138" t="str">
        <f t="shared" si="6"/>
        <v>CEL</v>
      </c>
      <c r="C37" s="139">
        <f>HLOOKUP($L37,'[12]End use share 2006c'!$B$34:$J$42,MATCH($M$34,'[12]End use share 2006c'!$A$34:$A$42,0),)</f>
        <v>0</v>
      </c>
      <c r="D37" s="139">
        <f>HLOOKUP($L37,'[12]End use share 2006c'!$B$34:$J$42,MATCH($M$35,'[12]End use share 2006c'!$A$34:$A$42,0),)</f>
        <v>0</v>
      </c>
      <c r="E37" s="139">
        <f>HLOOKUP($L37,'[12]End use share 2006c'!$B$34:$J$42,MATCH($M$36,'[12]End use share 2006c'!$A$34:$A$42,0),)</f>
        <v>0.17828065881507271</v>
      </c>
      <c r="F37" s="139">
        <f>HLOOKUP($L37,'[12]End use share 2006c'!$B$34:$J$42,MATCH($M$37,'[12]End use share 2006c'!$A$34:$A$42,0),)</f>
        <v>0</v>
      </c>
      <c r="G37" s="139"/>
      <c r="H37" s="139">
        <f>HLOOKUP($L37,'[12]End use share 2006c'!$B$34:$J$42,MATCH($M$39,'[12]End use share 2006c'!$A$34:$A$42,0),)</f>
        <v>0</v>
      </c>
      <c r="I37" s="139">
        <f>HLOOKUP($L37,'[12]End use share 2006c'!$B$34:$J$42,MATCH($M$40,'[12]End use share 2006c'!$A$34:$A$42,0),)</f>
        <v>0</v>
      </c>
      <c r="J37" s="139">
        <f>HLOOKUP($L37,'[12]End use share 2006c'!$B$34:$J$42,MATCH($M$41,'[12]End use share 2006c'!$A$34:$A$42,0),)</f>
        <v>0</v>
      </c>
      <c r="L37" s="115" t="s">
        <v>249</v>
      </c>
      <c r="M37" s="115" t="s">
        <v>413</v>
      </c>
    </row>
    <row r="38" spans="1:55">
      <c r="A38" s="137" t="str">
        <f t="shared" si="5"/>
        <v>Commercial - Refrigeration</v>
      </c>
      <c r="B38" s="138" t="str">
        <f t="shared" si="6"/>
        <v>CER</v>
      </c>
      <c r="C38" s="139">
        <f>HLOOKUP($L38,'[12]End use share 2006c'!$B$34:$J$42,MATCH($M$34,'[12]End use share 2006c'!$A$34:$A$42,0),)</f>
        <v>0</v>
      </c>
      <c r="D38" s="139">
        <f>HLOOKUP($L38,'[12]End use share 2006c'!$B$34:$J$42,MATCH($M$35,'[12]End use share 2006c'!$A$34:$A$42,0),)</f>
        <v>0</v>
      </c>
      <c r="E38" s="139">
        <f>HLOOKUP($L38,'[12]End use share 2006c'!$B$34:$J$42,MATCH($M$36,'[12]End use share 2006c'!$A$34:$A$42,0),)</f>
        <v>0.19733027907087305</v>
      </c>
      <c r="F38" s="139">
        <f>HLOOKUP($L38,'[12]End use share 2006c'!$B$34:$J$42,MATCH($M$37,'[12]End use share 2006c'!$A$34:$A$42,0),)</f>
        <v>0</v>
      </c>
      <c r="G38" s="139"/>
      <c r="H38" s="139">
        <f>HLOOKUP($L38,'[12]End use share 2006c'!$B$34:$J$42,MATCH($M$39,'[12]End use share 2006c'!$A$34:$A$42,0),)</f>
        <v>0</v>
      </c>
      <c r="I38" s="139">
        <f>HLOOKUP($L38,'[12]End use share 2006c'!$B$34:$J$42,MATCH($M$40,'[12]End use share 2006c'!$A$34:$A$42,0),)</f>
        <v>0</v>
      </c>
      <c r="J38" s="139">
        <f>HLOOKUP($L38,'[12]End use share 2006c'!$B$34:$J$42,MATCH($M$41,'[12]End use share 2006c'!$A$34:$A$42,0),)</f>
        <v>0</v>
      </c>
      <c r="L38" s="115" t="s">
        <v>460</v>
      </c>
      <c r="M38" s="115" t="s">
        <v>461</v>
      </c>
    </row>
    <row r="39" spans="1:55">
      <c r="A39" s="137" t="str">
        <f t="shared" si="5"/>
        <v>Commercial - Water Heating</v>
      </c>
      <c r="B39" s="138" t="str">
        <f t="shared" si="6"/>
        <v>CEW</v>
      </c>
      <c r="C39" s="139">
        <f>HLOOKUP($L39,'[12]End use share 2006c'!$B$34:$J$42,MATCH($M$34,'[12]End use share 2006c'!$A$34:$A$42,0),)</f>
        <v>0.45611504726363378</v>
      </c>
      <c r="D39" s="139">
        <f>HLOOKUP($L39,'[12]End use share 2006c'!$B$34:$J$42,MATCH($M$35,'[12]End use share 2006c'!$A$34:$A$42,0),)</f>
        <v>0</v>
      </c>
      <c r="E39" s="139">
        <f>HLOOKUP($L39,'[12]End use share 2006c'!$B$34:$J$42,MATCH($M$36,'[12]End use share 2006c'!$A$34:$A$42,0),)</f>
        <v>8.6253773691933548E-3</v>
      </c>
      <c r="F39" s="139">
        <f>HLOOKUP($L39,'[12]End use share 2006c'!$B$34:$J$42,MATCH($M$37,'[12]End use share 2006c'!$A$34:$A$42,0),)</f>
        <v>0.71141781681304894</v>
      </c>
      <c r="G39" s="139"/>
      <c r="H39" s="139">
        <f>HLOOKUP($L39,'[12]End use share 2006c'!$B$34:$J$42,MATCH($M$39,'[12]End use share 2006c'!$A$34:$A$42,0),)</f>
        <v>0</v>
      </c>
      <c r="I39" s="139">
        <f>HLOOKUP($L39,'[12]End use share 2006c'!$B$34:$J$42,MATCH($M$40,'[12]End use share 2006c'!$A$34:$A$42,0),)</f>
        <v>1</v>
      </c>
      <c r="J39" s="139">
        <f>HLOOKUP($L39,'[12]End use share 2006c'!$B$34:$J$42,MATCH($M$41,'[12]End use share 2006c'!$A$34:$A$42,0),)</f>
        <v>0.89896529330549124</v>
      </c>
      <c r="L39" s="115" t="s">
        <v>462</v>
      </c>
      <c r="M39" s="115" t="s">
        <v>463</v>
      </c>
    </row>
    <row r="40" spans="1:55">
      <c r="A40" s="137" t="str">
        <f t="shared" si="5"/>
        <v>Commercial - Public Lights</v>
      </c>
      <c r="B40" s="138" t="str">
        <f t="shared" si="6"/>
        <v>CEG</v>
      </c>
      <c r="C40" s="139">
        <f>HLOOKUP($L40,'[12]End use share 2006c'!$B$34:$J$42,MATCH($M$34,'[12]End use share 2006c'!$A$34:$A$42,0),)</f>
        <v>0</v>
      </c>
      <c r="D40" s="139">
        <f>HLOOKUP($L40,'[12]End use share 2006c'!$B$34:$J$42,MATCH($M$35,'[12]End use share 2006c'!$A$34:$A$42,0),)</f>
        <v>0</v>
      </c>
      <c r="E40" s="139">
        <f>HLOOKUP($L40,'[12]End use share 2006c'!$B$34:$J$42,MATCH($M$36,'[12]End use share 2006c'!$A$34:$A$42,0),)</f>
        <v>2.0121717674403277E-2</v>
      </c>
      <c r="F40" s="139">
        <f>HLOOKUP($L40,'[12]End use share 2006c'!$B$34:$J$42,MATCH($M$37,'[12]End use share 2006c'!$A$34:$A$42,0),)</f>
        <v>0</v>
      </c>
      <c r="G40" s="139"/>
      <c r="H40" s="139">
        <f>HLOOKUP($L40,'[12]End use share 2006c'!$B$34:$J$42,MATCH($M$39,'[12]End use share 2006c'!$A$34:$A$42,0),)</f>
        <v>0</v>
      </c>
      <c r="I40" s="139">
        <f>HLOOKUP($L40,'[12]End use share 2006c'!$B$34:$J$42,MATCH($M$40,'[12]End use share 2006c'!$A$34:$A$42,0),)</f>
        <v>0</v>
      </c>
      <c r="J40" s="139">
        <f>HLOOKUP($L40,'[12]End use share 2006c'!$B$34:$J$42,MATCH($M$41,'[12]End use share 2006c'!$A$34:$A$42,0),)</f>
        <v>0</v>
      </c>
      <c r="L40" s="115" t="s">
        <v>447</v>
      </c>
      <c r="M40" s="115" t="s">
        <v>464</v>
      </c>
    </row>
    <row r="41" spans="1:55">
      <c r="A41" s="137" t="str">
        <f t="shared" si="5"/>
        <v>Commercial - Public Water</v>
      </c>
      <c r="B41" s="138" t="str">
        <f t="shared" si="6"/>
        <v>CET</v>
      </c>
      <c r="C41" s="139">
        <f>HLOOKUP($L41,'[12]End use share 2006c'!$B$34:$J$42,MATCH($M$34,'[12]End use share 2006c'!$A$34:$A$42,0),)</f>
        <v>0</v>
      </c>
      <c r="D41" s="139">
        <f>HLOOKUP($L41,'[12]End use share 2006c'!$B$34:$J$42,MATCH($M$35,'[12]End use share 2006c'!$A$34:$A$42,0),)</f>
        <v>0</v>
      </c>
      <c r="E41" s="139">
        <f>HLOOKUP($L41,'[12]End use share 2006c'!$B$34:$J$42,MATCH($M$36,'[12]End use share 2006c'!$A$34:$A$42,0),)</f>
        <v>2.3755614613376001E-2</v>
      </c>
      <c r="F41" s="139">
        <f>HLOOKUP($L41,'[12]End use share 2006c'!$B$34:$J$42,MATCH($M$37,'[12]End use share 2006c'!$A$34:$A$42,0),)</f>
        <v>0</v>
      </c>
      <c r="G41" s="139"/>
      <c r="H41" s="139">
        <f>HLOOKUP($L41,'[12]End use share 2006c'!$B$34:$J$42,MATCH($M$39,'[12]End use share 2006c'!$A$34:$A$42,0),)</f>
        <v>0</v>
      </c>
      <c r="I41" s="139">
        <f>HLOOKUP($L41,'[12]End use share 2006c'!$B$34:$J$42,MATCH($M$40,'[12]End use share 2006c'!$A$34:$A$42,0),)</f>
        <v>0</v>
      </c>
      <c r="J41" s="139">
        <f>HLOOKUP($L41,'[12]End use share 2006c'!$B$34:$J$42,MATCH($M$41,'[12]End use share 2006c'!$A$34:$A$42,0),)</f>
        <v>0</v>
      </c>
      <c r="L41" s="115" t="s">
        <v>465</v>
      </c>
      <c r="M41" s="115" t="s">
        <v>361</v>
      </c>
    </row>
    <row r="42" spans="1:55">
      <c r="A42" s="137" t="str">
        <f t="shared" si="5"/>
        <v>Commercial - Other</v>
      </c>
      <c r="B42" s="138" t="str">
        <f t="shared" si="6"/>
        <v>CEO</v>
      </c>
      <c r="C42" s="139">
        <f>HLOOKUP($L42,'[12]End use share 2006c'!$B$34:$J$42,MATCH($M$34,'[12]End use share 2006c'!$A$34:$A$42,0),)</f>
        <v>0</v>
      </c>
      <c r="D42" s="139">
        <f>HLOOKUP($L42,'[12]End use share 2006c'!$B$34:$J$42,MATCH($M$35,'[12]End use share 2006c'!$A$34:$A$42,0),)</f>
        <v>1</v>
      </c>
      <c r="E42" s="139">
        <f>HLOOKUP($L42,'[12]End use share 2006c'!$B$34:$J$42,MATCH($M$36,'[12]End use share 2006c'!$A$34:$A$42,0),)</f>
        <v>0.15929943132341109</v>
      </c>
      <c r="F42" s="139">
        <f>HLOOKUP($L42,'[12]End use share 2006c'!$B$34:$J$42,MATCH($M$37,'[12]End use share 2006c'!$A$34:$A$42,0),)</f>
        <v>0</v>
      </c>
      <c r="G42" s="139"/>
      <c r="H42" s="139">
        <f>HLOOKUP($L42,'[12]End use share 2006c'!$B$34:$J$42,MATCH($M$39,'[12]End use share 2006c'!$A$34:$A$42,0),)</f>
        <v>1</v>
      </c>
      <c r="I42" s="139">
        <f>HLOOKUP($L42,'[12]End use share 2006c'!$B$34:$J$42,MATCH($M$40,'[12]End use share 2006c'!$A$34:$A$42,0),)</f>
        <v>0</v>
      </c>
      <c r="J42" s="139">
        <f>HLOOKUP($L42,'[12]End use share 2006c'!$B$34:$J$42,MATCH($M$41,'[12]End use share 2006c'!$A$34:$A$42,0),)</f>
        <v>0</v>
      </c>
      <c r="L42" s="115" t="s">
        <v>250</v>
      </c>
    </row>
    <row r="43" spans="1:55" ht="14.4">
      <c r="A43" s="137" t="s">
        <v>418</v>
      </c>
      <c r="B43" s="138"/>
      <c r="C43" s="140">
        <f t="shared" ref="C43:J43" si="7">SUM(C34:C42)</f>
        <v>1</v>
      </c>
      <c r="D43" s="140">
        <f t="shared" si="7"/>
        <v>1</v>
      </c>
      <c r="E43" s="140">
        <f t="shared" si="7"/>
        <v>0.99999999999999989</v>
      </c>
      <c r="F43" s="140">
        <f t="shared" si="7"/>
        <v>1</v>
      </c>
      <c r="G43" s="140">
        <f t="shared" si="7"/>
        <v>0</v>
      </c>
      <c r="H43" s="140">
        <f t="shared" si="7"/>
        <v>1</v>
      </c>
      <c r="I43" s="140">
        <f t="shared" si="7"/>
        <v>1</v>
      </c>
      <c r="J43" s="140">
        <f t="shared" si="7"/>
        <v>1</v>
      </c>
      <c r="AQ43" s="141" t="s">
        <v>466</v>
      </c>
      <c r="AR43" s="142"/>
      <c r="AS43" s="142"/>
      <c r="AT43" s="142"/>
      <c r="AU43" s="142"/>
      <c r="AZ43" s="141"/>
      <c r="BA43" s="141" t="s">
        <v>467</v>
      </c>
      <c r="BB43" s="141"/>
      <c r="BC43" s="141"/>
    </row>
    <row r="44" spans="1:55" ht="14.4">
      <c r="C44" s="135"/>
      <c r="D44" s="135"/>
      <c r="E44" s="135"/>
      <c r="F44" s="135"/>
      <c r="G44" s="135"/>
      <c r="H44" s="135"/>
      <c r="I44" s="135"/>
      <c r="J44" s="135"/>
      <c r="AQ44" s="143" t="s">
        <v>468</v>
      </c>
      <c r="AR44" s="143" t="s">
        <v>469</v>
      </c>
      <c r="AS44" s="143" t="s">
        <v>470</v>
      </c>
      <c r="AT44" s="143" t="s">
        <v>471</v>
      </c>
      <c r="AU44" s="143" t="s">
        <v>472</v>
      </c>
      <c r="AZ44" s="143" t="s">
        <v>473</v>
      </c>
      <c r="BA44" s="143" t="s">
        <v>468</v>
      </c>
      <c r="BB44" s="143" t="s">
        <v>474</v>
      </c>
      <c r="BC44" s="143">
        <v>2017</v>
      </c>
    </row>
    <row r="45" spans="1:55" ht="26.4">
      <c r="A45" s="131" t="s">
        <v>475</v>
      </c>
      <c r="B45" s="131" t="s">
        <v>454</v>
      </c>
      <c r="C45" s="136" t="str">
        <f>C33</f>
        <v>Coal</v>
      </c>
      <c r="D45" s="136" t="str">
        <f t="shared" ref="D45:J45" si="8">D33</f>
        <v>Oil Diesel</v>
      </c>
      <c r="E45" s="136" t="str">
        <f t="shared" si="8"/>
        <v>Electricity</v>
      </c>
      <c r="F45" s="136" t="str">
        <f t="shared" si="8"/>
        <v>Gas</v>
      </c>
      <c r="G45" s="136" t="str">
        <f t="shared" si="8"/>
        <v>Oil Gasoline</v>
      </c>
      <c r="H45" s="136" t="str">
        <f t="shared" si="8"/>
        <v>Oil HFO</v>
      </c>
      <c r="I45" s="136" t="str">
        <f t="shared" si="8"/>
        <v>Oil Paraffin</v>
      </c>
      <c r="J45" s="136" t="str">
        <f t="shared" si="8"/>
        <v>Oil LPG</v>
      </c>
      <c r="K45" s="136" t="s">
        <v>418</v>
      </c>
      <c r="AQ45" s="144" t="s">
        <v>476</v>
      </c>
      <c r="AR45" s="145"/>
      <c r="AS45" s="145"/>
      <c r="AT45" s="145" t="s">
        <v>477</v>
      </c>
      <c r="AU45" s="146" t="s">
        <v>478</v>
      </c>
      <c r="AZ45" s="147" t="s">
        <v>476</v>
      </c>
      <c r="BA45" s="148" t="s">
        <v>479</v>
      </c>
      <c r="BB45" s="148" t="s">
        <v>480</v>
      </c>
      <c r="BC45" s="148" t="s">
        <v>481</v>
      </c>
    </row>
    <row r="46" spans="1:55">
      <c r="A46" s="137" t="str">
        <f t="shared" ref="A46:B54" si="9">A34</f>
        <v>Commercial - Cooling</v>
      </c>
      <c r="B46" s="138" t="str">
        <f t="shared" si="9"/>
        <v>CEC</v>
      </c>
      <c r="C46" s="130">
        <f t="shared" ref="C46:J54" si="10">C34*C$10</f>
        <v>0</v>
      </c>
      <c r="D46" s="130">
        <f t="shared" si="10"/>
        <v>0</v>
      </c>
      <c r="E46" s="130">
        <f t="shared" si="10"/>
        <v>45.375519199794304</v>
      </c>
      <c r="F46" s="130">
        <f t="shared" si="10"/>
        <v>0</v>
      </c>
      <c r="G46" s="130">
        <f t="shared" si="10"/>
        <v>0</v>
      </c>
      <c r="H46" s="130">
        <f t="shared" si="10"/>
        <v>0</v>
      </c>
      <c r="I46" s="130">
        <f t="shared" si="10"/>
        <v>0</v>
      </c>
      <c r="J46" s="130">
        <f t="shared" si="10"/>
        <v>0</v>
      </c>
      <c r="K46" s="149">
        <f t="shared" ref="K46:K53" si="11">SUM(C46:J46)</f>
        <v>45.375519199794304</v>
      </c>
      <c r="L46" s="150">
        <f>M70</f>
        <v>45.375519199794311</v>
      </c>
      <c r="M46" s="151">
        <f>L46-K46</f>
        <v>0</v>
      </c>
      <c r="N46" s="152"/>
      <c r="AQ46" s="115" t="s">
        <v>482</v>
      </c>
      <c r="AR46" s="115" t="s">
        <v>483</v>
      </c>
      <c r="AS46" s="115" t="s">
        <v>421</v>
      </c>
      <c r="AT46" s="115" t="s">
        <v>484</v>
      </c>
      <c r="AU46" s="115" t="s">
        <v>485</v>
      </c>
      <c r="AZ46" s="153" t="s">
        <v>438</v>
      </c>
      <c r="BA46" s="154" t="str">
        <f>D64</f>
        <v>CEC</v>
      </c>
      <c r="BB46" s="154" t="s">
        <v>421</v>
      </c>
      <c r="BC46" s="155">
        <f>N70</f>
        <v>128.4127193354179</v>
      </c>
    </row>
    <row r="47" spans="1:55">
      <c r="A47" s="137" t="str">
        <f t="shared" si="9"/>
        <v>Commercial - Space Heating</v>
      </c>
      <c r="B47" s="138" t="str">
        <f t="shared" si="9"/>
        <v>CEH</v>
      </c>
      <c r="C47" s="130">
        <f t="shared" si="10"/>
        <v>15.062139135812419</v>
      </c>
      <c r="D47" s="130">
        <f>D35*D$10</f>
        <v>0</v>
      </c>
      <c r="E47" s="130">
        <f t="shared" si="10"/>
        <v>2.7103061542120312</v>
      </c>
      <c r="F47" s="130">
        <f t="shared" si="10"/>
        <v>0.3555332496863236</v>
      </c>
      <c r="G47" s="130">
        <f t="shared" si="10"/>
        <v>0</v>
      </c>
      <c r="H47" s="130">
        <f t="shared" si="10"/>
        <v>0</v>
      </c>
      <c r="I47" s="130">
        <f t="shared" si="10"/>
        <v>0</v>
      </c>
      <c r="J47" s="130">
        <f t="shared" si="10"/>
        <v>0</v>
      </c>
      <c r="K47" s="149">
        <f t="shared" si="11"/>
        <v>18.127978539710774</v>
      </c>
      <c r="L47" s="150">
        <f>M77</f>
        <v>18.127978539710774</v>
      </c>
      <c r="M47" s="151">
        <f t="shared" ref="M47:M54" si="12">L47-K47</f>
        <v>0</v>
      </c>
      <c r="AQ47" s="115" t="s">
        <v>486</v>
      </c>
      <c r="AR47" s="115" t="s">
        <v>487</v>
      </c>
      <c r="AS47" s="115" t="s">
        <v>421</v>
      </c>
      <c r="AT47" s="115" t="s">
        <v>484</v>
      </c>
      <c r="AU47" s="115" t="s">
        <v>485</v>
      </c>
      <c r="AZ47" s="153" t="s">
        <v>438</v>
      </c>
      <c r="BA47" s="154" t="str">
        <f>D72</f>
        <v>CEH</v>
      </c>
      <c r="BB47" s="154" t="s">
        <v>421</v>
      </c>
      <c r="BC47" s="155">
        <f>N77</f>
        <v>11.992907577983047</v>
      </c>
    </row>
    <row r="48" spans="1:55">
      <c r="A48" s="137" t="str">
        <f t="shared" si="9"/>
        <v>Commercial - Cooking</v>
      </c>
      <c r="B48" s="138" t="str">
        <f t="shared" si="9"/>
        <v>CEK</v>
      </c>
      <c r="C48" s="130">
        <f t="shared" si="10"/>
        <v>1.9790603567018995E-2</v>
      </c>
      <c r="D48" s="130">
        <f>D36*D$10</f>
        <v>0</v>
      </c>
      <c r="E48" s="130">
        <f t="shared" si="10"/>
        <v>8.7526440056734511</v>
      </c>
      <c r="F48" s="130">
        <f t="shared" si="10"/>
        <v>0</v>
      </c>
      <c r="G48" s="130">
        <f t="shared" si="10"/>
        <v>0</v>
      </c>
      <c r="H48" s="130">
        <f t="shared" si="10"/>
        <v>0</v>
      </c>
      <c r="I48" s="130">
        <f t="shared" si="10"/>
        <v>0</v>
      </c>
      <c r="J48" s="130">
        <f t="shared" si="10"/>
        <v>0.21722461939319382</v>
      </c>
      <c r="K48" s="149">
        <f t="shared" si="11"/>
        <v>8.9896592286336645</v>
      </c>
      <c r="L48" s="150">
        <f>M82</f>
        <v>8.9896592286336645</v>
      </c>
      <c r="M48" s="151">
        <f t="shared" si="12"/>
        <v>0</v>
      </c>
      <c r="AQ48" s="115" t="s">
        <v>488</v>
      </c>
      <c r="AR48" s="115" t="s">
        <v>489</v>
      </c>
      <c r="AS48" s="115" t="s">
        <v>421</v>
      </c>
      <c r="AT48" s="115" t="s">
        <v>484</v>
      </c>
      <c r="AU48" s="115" t="s">
        <v>485</v>
      </c>
      <c r="AZ48" s="153" t="s">
        <v>438</v>
      </c>
      <c r="BA48" s="154" t="str">
        <f>D79</f>
        <v>CEK</v>
      </c>
      <c r="BB48" s="154" t="s">
        <v>421</v>
      </c>
      <c r="BC48" s="155">
        <f>N82</f>
        <v>8.9629891158025909</v>
      </c>
    </row>
    <row r="49" spans="1:60">
      <c r="A49" s="137" t="str">
        <f t="shared" si="9"/>
        <v>Commercial - Lighting</v>
      </c>
      <c r="B49" s="138" t="str">
        <f t="shared" si="9"/>
        <v>CEL</v>
      </c>
      <c r="C49" s="130">
        <f t="shared" si="10"/>
        <v>0</v>
      </c>
      <c r="D49" s="130">
        <f>D37*D$10</f>
        <v>0</v>
      </c>
      <c r="E49" s="130">
        <f t="shared" si="10"/>
        <v>24.560157495154996</v>
      </c>
      <c r="F49" s="130">
        <f t="shared" si="10"/>
        <v>0</v>
      </c>
      <c r="G49" s="130">
        <f t="shared" si="10"/>
        <v>0</v>
      </c>
      <c r="H49" s="130">
        <f t="shared" si="10"/>
        <v>0</v>
      </c>
      <c r="I49" s="130">
        <f t="shared" si="10"/>
        <v>0</v>
      </c>
      <c r="J49" s="130">
        <f t="shared" si="10"/>
        <v>0</v>
      </c>
      <c r="K49" s="149">
        <f t="shared" si="11"/>
        <v>24.560157495154996</v>
      </c>
      <c r="L49" s="150">
        <f>M90</f>
        <v>24.560157495154996</v>
      </c>
      <c r="M49" s="151">
        <f t="shared" si="12"/>
        <v>0</v>
      </c>
      <c r="AQ49" s="115" t="s">
        <v>490</v>
      </c>
      <c r="AR49" s="115" t="s">
        <v>491</v>
      </c>
      <c r="AS49" s="115" t="s">
        <v>421</v>
      </c>
      <c r="AT49" s="115" t="s">
        <v>484</v>
      </c>
      <c r="AU49" s="115" t="s">
        <v>485</v>
      </c>
      <c r="AZ49" s="153" t="s">
        <v>438</v>
      </c>
      <c r="BA49" s="154" t="str">
        <f>D84</f>
        <v>CEL</v>
      </c>
      <c r="BB49" s="153" t="s">
        <v>421</v>
      </c>
      <c r="BC49" s="156">
        <f>N90</f>
        <v>111.74871660295524</v>
      </c>
    </row>
    <row r="50" spans="1:60">
      <c r="A50" s="137" t="str">
        <f t="shared" si="9"/>
        <v>Commercial - Refrigeration</v>
      </c>
      <c r="B50" s="138" t="str">
        <f t="shared" si="9"/>
        <v>CER</v>
      </c>
      <c r="C50" s="130">
        <f t="shared" si="10"/>
        <v>0</v>
      </c>
      <c r="D50" s="130">
        <f>D38*D$10</f>
        <v>0</v>
      </c>
      <c r="E50" s="130">
        <f t="shared" si="10"/>
        <v>27.184456041138358</v>
      </c>
      <c r="F50" s="130">
        <f t="shared" si="10"/>
        <v>0</v>
      </c>
      <c r="G50" s="130">
        <f t="shared" si="10"/>
        <v>0</v>
      </c>
      <c r="H50" s="130">
        <f t="shared" si="10"/>
        <v>0</v>
      </c>
      <c r="I50" s="130">
        <f t="shared" si="10"/>
        <v>0</v>
      </c>
      <c r="J50" s="130">
        <f t="shared" si="10"/>
        <v>0</v>
      </c>
      <c r="K50" s="149">
        <f t="shared" si="11"/>
        <v>27.184456041138358</v>
      </c>
      <c r="L50" s="150">
        <f>M94</f>
        <v>27.184456041138358</v>
      </c>
      <c r="M50" s="151">
        <f t="shared" si="12"/>
        <v>0</v>
      </c>
      <c r="AQ50" s="115" t="s">
        <v>492</v>
      </c>
      <c r="AR50" s="115" t="s">
        <v>493</v>
      </c>
      <c r="AS50" s="115" t="s">
        <v>421</v>
      </c>
      <c r="AT50" s="115" t="s">
        <v>484</v>
      </c>
      <c r="AU50" s="115" t="s">
        <v>485</v>
      </c>
      <c r="AZ50" s="153" t="s">
        <v>438</v>
      </c>
      <c r="BA50" s="154" t="str">
        <f>D92</f>
        <v>CER</v>
      </c>
      <c r="BB50" s="153" t="s">
        <v>421</v>
      </c>
      <c r="BC50" s="156">
        <f>N94</f>
        <v>27.184456041138358</v>
      </c>
    </row>
    <row r="51" spans="1:60">
      <c r="A51" s="137" t="str">
        <f t="shared" si="9"/>
        <v>Commercial - Water Heating</v>
      </c>
      <c r="B51" s="138" t="str">
        <f t="shared" si="9"/>
        <v>CEW</v>
      </c>
      <c r="C51" s="130">
        <f t="shared" si="10"/>
        <v>12.648070260620566</v>
      </c>
      <c r="D51" s="130">
        <f>D39*D$10</f>
        <v>0</v>
      </c>
      <c r="E51" s="130">
        <f t="shared" si="10"/>
        <v>1.1882423368329196</v>
      </c>
      <c r="F51" s="130">
        <f t="shared" si="10"/>
        <v>0.87646675031367627</v>
      </c>
      <c r="G51" s="130">
        <f t="shared" si="10"/>
        <v>0</v>
      </c>
      <c r="H51" s="130">
        <f t="shared" si="10"/>
        <v>0</v>
      </c>
      <c r="I51" s="130">
        <f t="shared" si="10"/>
        <v>5.28</v>
      </c>
      <c r="J51" s="130">
        <f t="shared" si="10"/>
        <v>1.932775380606806</v>
      </c>
      <c r="K51" s="149">
        <f t="shared" si="11"/>
        <v>21.925554728373967</v>
      </c>
      <c r="L51" s="150">
        <f>M103</f>
        <v>21.925554728373967</v>
      </c>
      <c r="M51" s="151">
        <f t="shared" si="12"/>
        <v>0</v>
      </c>
      <c r="AQ51" s="115" t="s">
        <v>494</v>
      </c>
      <c r="AR51" s="115" t="s">
        <v>495</v>
      </c>
      <c r="AS51" s="115" t="s">
        <v>421</v>
      </c>
      <c r="AT51" s="115" t="s">
        <v>484</v>
      </c>
      <c r="AU51" s="115" t="s">
        <v>485</v>
      </c>
      <c r="AZ51" s="153" t="s">
        <v>438</v>
      </c>
      <c r="BA51" s="115" t="str">
        <f>D96</f>
        <v>CEW</v>
      </c>
      <c r="BB51" s="153" t="s">
        <v>421</v>
      </c>
      <c r="BC51" s="150">
        <f>N103</f>
        <v>14.392133809734325</v>
      </c>
    </row>
    <row r="52" spans="1:60">
      <c r="A52" s="137" t="str">
        <f t="shared" si="9"/>
        <v>Commercial - Public Lights</v>
      </c>
      <c r="B52" s="138" t="str">
        <f t="shared" si="9"/>
        <v>CEG</v>
      </c>
      <c r="C52" s="130">
        <f t="shared" si="10"/>
        <v>0</v>
      </c>
      <c r="D52" s="130">
        <f t="shared" si="10"/>
        <v>0</v>
      </c>
      <c r="E52" s="130">
        <f t="shared" si="10"/>
        <v>2.7719919728870046</v>
      </c>
      <c r="F52" s="130">
        <f t="shared" si="10"/>
        <v>0</v>
      </c>
      <c r="G52" s="130">
        <f t="shared" si="10"/>
        <v>0</v>
      </c>
      <c r="H52" s="130">
        <f t="shared" si="10"/>
        <v>0</v>
      </c>
      <c r="I52" s="130">
        <f t="shared" si="10"/>
        <v>0</v>
      </c>
      <c r="J52" s="130">
        <f t="shared" si="10"/>
        <v>0</v>
      </c>
      <c r="K52" s="149">
        <f t="shared" si="11"/>
        <v>2.7719919728870046</v>
      </c>
      <c r="L52" s="150">
        <f>M111</f>
        <v>2.7719919728870046</v>
      </c>
      <c r="M52" s="151">
        <f t="shared" si="12"/>
        <v>0</v>
      </c>
      <c r="AQ52" s="115" t="s">
        <v>496</v>
      </c>
      <c r="AR52" s="115" t="s">
        <v>497</v>
      </c>
      <c r="AS52" s="115" t="s">
        <v>421</v>
      </c>
      <c r="AT52" s="115" t="s">
        <v>484</v>
      </c>
      <c r="AU52" s="115" t="s">
        <v>485</v>
      </c>
      <c r="AZ52" s="153" t="s">
        <v>438</v>
      </c>
      <c r="BA52" s="115" t="str">
        <f>D105</f>
        <v>CEG</v>
      </c>
      <c r="BB52" s="153" t="s">
        <v>421</v>
      </c>
      <c r="BC52" s="150">
        <f>N111</f>
        <v>9.4707173671475093</v>
      </c>
    </row>
    <row r="53" spans="1:60">
      <c r="A53" s="137" t="str">
        <f t="shared" si="9"/>
        <v>Commercial - Public Water</v>
      </c>
      <c r="B53" s="138" t="str">
        <f t="shared" si="9"/>
        <v>CET</v>
      </c>
      <c r="C53" s="130"/>
      <c r="D53" s="130"/>
      <c r="E53" s="130">
        <f t="shared" si="10"/>
        <v>3.2726019758762139</v>
      </c>
      <c r="F53" s="130"/>
      <c r="G53" s="130"/>
      <c r="H53" s="130"/>
      <c r="I53" s="130"/>
      <c r="J53" s="130"/>
      <c r="K53" s="149">
        <f t="shared" si="11"/>
        <v>3.2726019758762139</v>
      </c>
      <c r="L53" s="150">
        <f>M113</f>
        <v>3.2726019758762139</v>
      </c>
      <c r="M53" s="151">
        <f t="shared" si="12"/>
        <v>0</v>
      </c>
      <c r="AQ53" s="115" t="s">
        <v>498</v>
      </c>
      <c r="AR53" s="115" t="s">
        <v>499</v>
      </c>
      <c r="AS53" s="115" t="s">
        <v>421</v>
      </c>
      <c r="AT53" s="115" t="s">
        <v>484</v>
      </c>
      <c r="AU53" s="115" t="s">
        <v>485</v>
      </c>
      <c r="AZ53" s="153" t="s">
        <v>438</v>
      </c>
      <c r="BA53" s="115" t="str">
        <f>D113</f>
        <v>CET</v>
      </c>
      <c r="BB53" s="153" t="s">
        <v>421</v>
      </c>
      <c r="BC53" s="150">
        <f>N113</f>
        <v>3.2726019758762139</v>
      </c>
    </row>
    <row r="54" spans="1:60">
      <c r="A54" s="137" t="str">
        <f t="shared" si="9"/>
        <v>Commercial - Other</v>
      </c>
      <c r="B54" s="138" t="str">
        <f t="shared" si="9"/>
        <v>CEO</v>
      </c>
      <c r="C54" s="130">
        <f>C42*C$10</f>
        <v>0</v>
      </c>
      <c r="D54" s="130">
        <f>D42*D$10</f>
        <v>1.1000000000000001</v>
      </c>
      <c r="E54" s="130">
        <f t="shared" si="10"/>
        <v>21.9452808184307</v>
      </c>
      <c r="F54" s="130">
        <f>F42*F$10</f>
        <v>0</v>
      </c>
      <c r="G54" s="130">
        <f>G42*G$10</f>
        <v>0</v>
      </c>
      <c r="H54" s="130">
        <f>H42*H$10</f>
        <v>2.75</v>
      </c>
      <c r="I54" s="130">
        <f>I42*I$10</f>
        <v>0</v>
      </c>
      <c r="J54" s="130">
        <f>J42*J$10</f>
        <v>0</v>
      </c>
      <c r="K54" s="149">
        <f>SUM(C54:J54)</f>
        <v>25.795280818430701</v>
      </c>
      <c r="L54" s="150">
        <f>M123</f>
        <v>25.795280818430701</v>
      </c>
      <c r="M54" s="151">
        <f t="shared" si="12"/>
        <v>0</v>
      </c>
      <c r="Q54" s="115">
        <v>2015</v>
      </c>
      <c r="R54" s="115">
        <v>2017</v>
      </c>
      <c r="S54" s="115">
        <v>2020</v>
      </c>
      <c r="T54" s="115">
        <v>2025</v>
      </c>
      <c r="U54" s="115">
        <v>2030</v>
      </c>
      <c r="V54" s="115">
        <v>2035</v>
      </c>
      <c r="W54" s="115">
        <v>2040</v>
      </c>
      <c r="X54" s="115">
        <v>2045</v>
      </c>
      <c r="Y54" s="115">
        <v>2050</v>
      </c>
      <c r="AB54" s="115">
        <v>2015</v>
      </c>
      <c r="AC54" s="115">
        <v>2017</v>
      </c>
      <c r="AD54" s="115">
        <v>2020</v>
      </c>
      <c r="AE54" s="115">
        <v>2025</v>
      </c>
      <c r="AF54" s="115">
        <v>2030</v>
      </c>
      <c r="AG54" s="115">
        <v>2035</v>
      </c>
      <c r="AH54" s="115">
        <v>2040</v>
      </c>
      <c r="AI54" s="115">
        <v>2045</v>
      </c>
      <c r="AJ54" s="115">
        <v>2050</v>
      </c>
      <c r="AQ54" s="115" t="s">
        <v>500</v>
      </c>
      <c r="AR54" s="115" t="s">
        <v>501</v>
      </c>
      <c r="AS54" s="115" t="s">
        <v>421</v>
      </c>
      <c r="AT54" s="115" t="s">
        <v>484</v>
      </c>
      <c r="AU54" s="115" t="s">
        <v>485</v>
      </c>
      <c r="AZ54" s="153" t="s">
        <v>438</v>
      </c>
      <c r="BA54" s="115" t="str">
        <f>D116</f>
        <v>CEO</v>
      </c>
      <c r="BB54" s="153" t="s">
        <v>421</v>
      </c>
      <c r="BC54" s="150">
        <f>N123</f>
        <v>20.198960613823022</v>
      </c>
    </row>
    <row r="55" spans="1:60" ht="13.8">
      <c r="A55" s="157" t="str">
        <f>A43</f>
        <v>Total</v>
      </c>
      <c r="B55" s="137"/>
      <c r="C55" s="149">
        <f t="shared" ref="C55:K55" si="13">SUM(C46:C54)</f>
        <v>27.730000000000004</v>
      </c>
      <c r="D55" s="149">
        <f t="shared" si="13"/>
        <v>1.1000000000000001</v>
      </c>
      <c r="E55" s="149">
        <f t="shared" si="13"/>
        <v>137.76119999999997</v>
      </c>
      <c r="F55" s="149">
        <f t="shared" si="13"/>
        <v>1.2319999999999998</v>
      </c>
      <c r="G55" s="149">
        <f t="shared" si="13"/>
        <v>0</v>
      </c>
      <c r="H55" s="149">
        <f t="shared" si="13"/>
        <v>2.75</v>
      </c>
      <c r="I55" s="149">
        <f t="shared" si="13"/>
        <v>5.28</v>
      </c>
      <c r="J55" s="149">
        <f t="shared" si="13"/>
        <v>2.15</v>
      </c>
      <c r="K55" s="149">
        <f t="shared" si="13"/>
        <v>178.00320000000002</v>
      </c>
      <c r="O55" s="158" t="s">
        <v>502</v>
      </c>
      <c r="P55" s="158"/>
      <c r="Q55" s="159">
        <v>0.05</v>
      </c>
      <c r="R55" s="159"/>
      <c r="S55" s="159">
        <f>0.03</f>
        <v>0.03</v>
      </c>
      <c r="T55" s="159">
        <v>0.1</v>
      </c>
      <c r="U55" s="159">
        <v>0.3</v>
      </c>
      <c r="V55" s="159">
        <v>0.55000000000000004</v>
      </c>
      <c r="W55" s="159">
        <v>0.85</v>
      </c>
      <c r="X55" s="159">
        <v>0.95</v>
      </c>
      <c r="Y55" s="159">
        <v>1</v>
      </c>
      <c r="Z55" s="158" t="s">
        <v>503</v>
      </c>
      <c r="AA55" s="158"/>
      <c r="AB55" s="159"/>
      <c r="AC55" s="159"/>
      <c r="AD55" s="159">
        <v>0.97</v>
      </c>
      <c r="AE55" s="159">
        <v>0.9</v>
      </c>
      <c r="AF55" s="159">
        <v>0.7</v>
      </c>
      <c r="AG55" s="159">
        <v>0.45</v>
      </c>
      <c r="AH55" s="159">
        <v>0.15</v>
      </c>
      <c r="AI55" s="159">
        <v>0.05</v>
      </c>
      <c r="AJ55" s="159">
        <v>0</v>
      </c>
    </row>
    <row r="56" spans="1:60">
      <c r="A56" s="160"/>
      <c r="B56" s="161"/>
      <c r="C56" s="162"/>
      <c r="D56" s="162"/>
      <c r="E56" s="162"/>
      <c r="F56" s="162"/>
      <c r="G56" s="162"/>
      <c r="H56" s="162"/>
      <c r="I56" s="162"/>
      <c r="J56" s="162"/>
      <c r="K56" s="162"/>
      <c r="T56" s="163">
        <v>0.5</v>
      </c>
      <c r="U56" s="163">
        <v>0.75</v>
      </c>
      <c r="V56" s="163">
        <v>1</v>
      </c>
      <c r="W56" s="163">
        <v>1</v>
      </c>
      <c r="X56" s="163">
        <v>1</v>
      </c>
      <c r="Y56" s="163">
        <v>1</v>
      </c>
      <c r="AM56" s="115">
        <v>5</v>
      </c>
    </row>
    <row r="57" spans="1:60">
      <c r="C57" s="126"/>
      <c r="D57" s="126"/>
      <c r="E57" s="126"/>
      <c r="F57" s="126"/>
      <c r="G57" s="126"/>
      <c r="H57" s="126"/>
      <c r="AM57" s="115">
        <f>12/5</f>
        <v>2.4</v>
      </c>
    </row>
    <row r="58" spans="1:60">
      <c r="C58" s="126"/>
      <c r="D58" s="113" t="s">
        <v>467</v>
      </c>
      <c r="G58" s="164" t="s">
        <v>504</v>
      </c>
      <c r="H58" s="165">
        <v>0</v>
      </c>
      <c r="J58" s="126"/>
      <c r="P58" s="163">
        <v>0.01</v>
      </c>
      <c r="Q58" s="166">
        <v>0.02</v>
      </c>
      <c r="AA58" s="163">
        <v>0.01</v>
      </c>
      <c r="AB58" s="166">
        <v>-1.4999999999999999E-2</v>
      </c>
      <c r="AM58" s="115">
        <f>AM56*AM57</f>
        <v>12</v>
      </c>
      <c r="AQ58" s="167" t="s">
        <v>505</v>
      </c>
      <c r="AZ58" s="167"/>
      <c r="BA58" s="167"/>
    </row>
    <row r="59" spans="1:60" ht="39.6">
      <c r="A59" s="168" t="s">
        <v>506</v>
      </c>
      <c r="B59" s="168" t="s">
        <v>507</v>
      </c>
      <c r="C59" s="168" t="s">
        <v>508</v>
      </c>
      <c r="D59" s="168" t="s">
        <v>509</v>
      </c>
      <c r="E59" s="168" t="s">
        <v>510</v>
      </c>
      <c r="F59" s="168" t="s">
        <v>511</v>
      </c>
      <c r="G59" s="168" t="s">
        <v>512</v>
      </c>
      <c r="H59" s="168" t="s">
        <v>513</v>
      </c>
      <c r="I59" s="168" t="s">
        <v>514</v>
      </c>
      <c r="J59" s="168" t="s">
        <v>515</v>
      </c>
      <c r="K59" s="169" t="s">
        <v>516</v>
      </c>
      <c r="L59" s="168" t="s">
        <v>517</v>
      </c>
      <c r="M59" s="168" t="s">
        <v>517</v>
      </c>
      <c r="N59" s="168" t="s">
        <v>517</v>
      </c>
      <c r="O59" s="168" t="s">
        <v>517</v>
      </c>
      <c r="P59" s="168" t="s">
        <v>517</v>
      </c>
      <c r="Q59" s="168" t="s">
        <v>517</v>
      </c>
      <c r="R59" s="170" t="s">
        <v>518</v>
      </c>
      <c r="S59" s="170" t="s">
        <v>519</v>
      </c>
      <c r="T59" s="170" t="s">
        <v>520</v>
      </c>
      <c r="U59" s="170" t="s">
        <v>521</v>
      </c>
      <c r="V59" s="170" t="s">
        <v>522</v>
      </c>
      <c r="W59" s="170" t="s">
        <v>523</v>
      </c>
      <c r="X59" s="170" t="s">
        <v>524</v>
      </c>
      <c r="Y59" s="170" t="s">
        <v>525</v>
      </c>
      <c r="Z59" s="168" t="s">
        <v>517</v>
      </c>
      <c r="AA59" s="168" t="s">
        <v>517</v>
      </c>
      <c r="AB59" s="168" t="s">
        <v>517</v>
      </c>
      <c r="AC59" s="170" t="s">
        <v>526</v>
      </c>
      <c r="AD59" s="170" t="s">
        <v>527</v>
      </c>
      <c r="AE59" s="170" t="s">
        <v>528</v>
      </c>
      <c r="AF59" s="170" t="s">
        <v>529</v>
      </c>
      <c r="AG59" s="170" t="s">
        <v>530</v>
      </c>
      <c r="AH59" s="170" t="s">
        <v>531</v>
      </c>
      <c r="AI59" s="170" t="s">
        <v>532</v>
      </c>
      <c r="AJ59" s="170" t="s">
        <v>533</v>
      </c>
      <c r="AK59" s="168" t="s">
        <v>517</v>
      </c>
      <c r="AL59" s="168" t="s">
        <v>517</v>
      </c>
      <c r="AM59" s="168" t="s">
        <v>517</v>
      </c>
      <c r="AQ59" s="171" t="s">
        <v>534</v>
      </c>
      <c r="AR59" s="171" t="s">
        <v>507</v>
      </c>
      <c r="AS59" s="171" t="s">
        <v>506</v>
      </c>
      <c r="AT59" s="171" t="s">
        <v>535</v>
      </c>
      <c r="AU59" s="171" t="s">
        <v>536</v>
      </c>
      <c r="AV59" s="171" t="s">
        <v>537</v>
      </c>
      <c r="AW59" s="171" t="s">
        <v>538</v>
      </c>
      <c r="AZ59" s="172"/>
      <c r="BA59" s="172"/>
      <c r="BB59" s="172"/>
      <c r="BC59" s="172"/>
      <c r="BD59" s="172"/>
      <c r="BE59" s="172"/>
      <c r="BF59" s="172"/>
      <c r="BG59" s="172"/>
      <c r="BH59" s="172"/>
    </row>
    <row r="60" spans="1:60" ht="66.599999999999994" thickBot="1">
      <c r="A60" s="173" t="s">
        <v>539</v>
      </c>
      <c r="B60" s="174" t="s">
        <v>540</v>
      </c>
      <c r="C60" s="174" t="s">
        <v>541</v>
      </c>
      <c r="D60" s="174" t="s">
        <v>542</v>
      </c>
      <c r="E60" s="174" t="s">
        <v>543</v>
      </c>
      <c r="F60" s="174" t="s">
        <v>544</v>
      </c>
      <c r="G60" s="174" t="s">
        <v>140</v>
      </c>
      <c r="H60" s="174" t="s">
        <v>545</v>
      </c>
      <c r="I60" s="174" t="s">
        <v>546</v>
      </c>
      <c r="J60" s="174" t="s">
        <v>547</v>
      </c>
      <c r="L60" s="174" t="s">
        <v>548</v>
      </c>
      <c r="M60" s="174" t="s">
        <v>549</v>
      </c>
      <c r="N60" s="174" t="s">
        <v>550</v>
      </c>
      <c r="O60" s="174" t="s">
        <v>551</v>
      </c>
      <c r="P60" s="174" t="s">
        <v>552</v>
      </c>
      <c r="Q60" s="174" t="s">
        <v>553</v>
      </c>
      <c r="R60" s="174" t="s">
        <v>553</v>
      </c>
      <c r="S60" s="174" t="s">
        <v>553</v>
      </c>
      <c r="T60" s="174" t="s">
        <v>553</v>
      </c>
      <c r="U60" s="174" t="s">
        <v>553</v>
      </c>
      <c r="V60" s="174" t="s">
        <v>553</v>
      </c>
      <c r="W60" s="174" t="s">
        <v>553</v>
      </c>
      <c r="X60" s="174" t="s">
        <v>553</v>
      </c>
      <c r="Y60" s="174" t="s">
        <v>553</v>
      </c>
      <c r="AA60" s="174" t="s">
        <v>552</v>
      </c>
      <c r="AB60" s="174" t="s">
        <v>554</v>
      </c>
      <c r="AC60" s="174" t="s">
        <v>554</v>
      </c>
      <c r="AD60" s="174" t="s">
        <v>554</v>
      </c>
      <c r="AE60" s="174" t="s">
        <v>554</v>
      </c>
      <c r="AF60" s="174" t="s">
        <v>554</v>
      </c>
      <c r="AG60" s="174" t="s">
        <v>554</v>
      </c>
      <c r="AH60" s="174" t="s">
        <v>554</v>
      </c>
      <c r="AI60" s="174" t="s">
        <v>554</v>
      </c>
      <c r="AJ60" s="174" t="s">
        <v>554</v>
      </c>
      <c r="AK60" s="174" t="s">
        <v>555</v>
      </c>
      <c r="AL60" s="175"/>
      <c r="AM60" s="176" t="s">
        <v>556</v>
      </c>
      <c r="AQ60" s="177" t="s">
        <v>557</v>
      </c>
      <c r="AR60" s="178" t="s">
        <v>540</v>
      </c>
      <c r="AS60" s="178" t="s">
        <v>558</v>
      </c>
      <c r="AT60" s="178" t="s">
        <v>559</v>
      </c>
      <c r="AU60" s="178" t="s">
        <v>560</v>
      </c>
      <c r="AV60" s="178" t="s">
        <v>561</v>
      </c>
      <c r="AW60" s="179" t="s">
        <v>562</v>
      </c>
    </row>
    <row r="61" spans="1:60" ht="26.4">
      <c r="A61" s="180" t="s">
        <v>563</v>
      </c>
      <c r="B61" s="181"/>
      <c r="C61" s="181"/>
      <c r="D61" s="181"/>
      <c r="E61" s="182" t="s">
        <v>564</v>
      </c>
      <c r="F61" s="182" t="s">
        <v>565</v>
      </c>
      <c r="G61" s="121" t="s">
        <v>566</v>
      </c>
      <c r="H61" s="120" t="s">
        <v>567</v>
      </c>
      <c r="I61" s="115" t="s">
        <v>568</v>
      </c>
      <c r="J61" s="115" t="s">
        <v>569</v>
      </c>
      <c r="L61" s="121" t="s">
        <v>570</v>
      </c>
      <c r="M61" s="121" t="s">
        <v>571</v>
      </c>
      <c r="N61" s="121" t="s">
        <v>571</v>
      </c>
      <c r="P61" s="115" t="s">
        <v>572</v>
      </c>
      <c r="Q61" s="115" t="str">
        <f t="shared" ref="Q61:Y61" si="14">"U"&amp;Q$54</f>
        <v>U2015</v>
      </c>
      <c r="R61" s="115" t="str">
        <f t="shared" si="14"/>
        <v>U2017</v>
      </c>
      <c r="S61" s="115" t="str">
        <f t="shared" si="14"/>
        <v>U2020</v>
      </c>
      <c r="T61" s="115" t="str">
        <f t="shared" si="14"/>
        <v>U2025</v>
      </c>
      <c r="U61" s="115" t="str">
        <f t="shared" si="14"/>
        <v>U2030</v>
      </c>
      <c r="V61" s="115" t="str">
        <f t="shared" si="14"/>
        <v>U2035</v>
      </c>
      <c r="W61" s="115" t="str">
        <f t="shared" si="14"/>
        <v>U2040</v>
      </c>
      <c r="X61" s="115" t="str">
        <f t="shared" si="14"/>
        <v>U2045</v>
      </c>
      <c r="Y61" s="115" t="str">
        <f t="shared" si="14"/>
        <v>U2050</v>
      </c>
      <c r="AA61" s="115" t="s">
        <v>573</v>
      </c>
      <c r="AB61" s="115" t="str">
        <f t="shared" ref="AB61:AJ61" si="15">"L"&amp;AB$54</f>
        <v>L2015</v>
      </c>
      <c r="AC61" s="115" t="str">
        <f t="shared" si="15"/>
        <v>L2017</v>
      </c>
      <c r="AD61" s="115" t="str">
        <f t="shared" si="15"/>
        <v>L2020</v>
      </c>
      <c r="AE61" s="115" t="str">
        <f t="shared" si="15"/>
        <v>L2025</v>
      </c>
      <c r="AF61" s="115" t="str">
        <f t="shared" si="15"/>
        <v>L2030</v>
      </c>
      <c r="AG61" s="115" t="str">
        <f t="shared" si="15"/>
        <v>L2035</v>
      </c>
      <c r="AH61" s="115" t="str">
        <f t="shared" si="15"/>
        <v>L2040</v>
      </c>
      <c r="AI61" s="115" t="str">
        <f t="shared" si="15"/>
        <v>L2045</v>
      </c>
      <c r="AJ61" s="115" t="str">
        <f t="shared" si="15"/>
        <v>L2050</v>
      </c>
      <c r="AQ61" s="183" t="s">
        <v>476</v>
      </c>
    </row>
    <row r="62" spans="1:60">
      <c r="A62" s="184" t="s">
        <v>476</v>
      </c>
      <c r="B62" s="137"/>
      <c r="C62" s="185">
        <v>1</v>
      </c>
      <c r="D62" s="185">
        <f t="shared" ref="D62:J62" si="16">C62+1</f>
        <v>2</v>
      </c>
      <c r="E62" s="185">
        <f t="shared" si="16"/>
        <v>3</v>
      </c>
      <c r="F62" s="185">
        <f t="shared" si="16"/>
        <v>4</v>
      </c>
      <c r="G62" s="185">
        <f t="shared" si="16"/>
        <v>5</v>
      </c>
      <c r="H62" s="185">
        <f t="shared" si="16"/>
        <v>6</v>
      </c>
      <c r="I62" s="185">
        <f t="shared" si="16"/>
        <v>7</v>
      </c>
      <c r="J62" s="185">
        <f t="shared" si="16"/>
        <v>8</v>
      </c>
      <c r="L62" s="186"/>
      <c r="M62" s="135"/>
      <c r="N62" s="135"/>
      <c r="AQ62" s="187" t="s">
        <v>476</v>
      </c>
    </row>
    <row r="63" spans="1:60">
      <c r="A63" s="137" t="s">
        <v>574</v>
      </c>
      <c r="B63" s="181"/>
      <c r="AQ63" s="183" t="s">
        <v>476</v>
      </c>
    </row>
    <row r="64" spans="1:60" ht="13.8">
      <c r="A64" s="137" t="str">
        <f>A46&amp;" - Electricity - Chiller - Existing"</f>
        <v>Commercial - Cooling - Electricity - Chiller - Existing</v>
      </c>
      <c r="B64" s="137" t="str">
        <f>D64&amp;RIGHT(C64,3)&amp;"CHIL-E"</f>
        <v>CECELCCHIL-E</v>
      </c>
      <c r="C64" s="138" t="str">
        <f t="shared" ref="C64:C69" si="17">$E$9</f>
        <v>COMELC</v>
      </c>
      <c r="D64" s="138" t="str">
        <f t="shared" ref="D64:D69" si="18">$B$46</f>
        <v>CEC</v>
      </c>
      <c r="E64" s="188">
        <f>[12]Appliances!J56</f>
        <v>2.2000000000000002</v>
      </c>
      <c r="F64" s="189" t="e">
        <f>SUMIF([12]AFA!$B$3:$S$3,D64,[12]AFA!$B$4:$J$4)</f>
        <v>#VALUE!</v>
      </c>
      <c r="G64" s="190">
        <v>15</v>
      </c>
      <c r="H64" s="191" t="e">
        <f>(N64/F64)*(1+$H$58)</f>
        <v>#VALUE!</v>
      </c>
      <c r="I64" s="191" t="e">
        <f>SUMIF('[12]Technology costs'!$B$7:$B$28,COM_2017!B64,'[12]Technology costs'!$L$7:$L$28)</f>
        <v>#VALUE!</v>
      </c>
      <c r="J64" s="191" t="e">
        <f>I64*0.1</f>
        <v>#VALUE!</v>
      </c>
      <c r="K64" s="115">
        <v>0</v>
      </c>
      <c r="L64" s="192">
        <f>[12]Appliances!F56</f>
        <v>0.05</v>
      </c>
      <c r="M64" s="191">
        <f>L64*SUMIF($C$9:$J$9,C64,$C$46:$J$46)</f>
        <v>2.2687759599897155</v>
      </c>
      <c r="N64" s="191">
        <f>M64*E64</f>
        <v>4.9913071119773749</v>
      </c>
      <c r="P64" s="193"/>
      <c r="Q64" s="194"/>
      <c r="R64" s="194">
        <f t="shared" ref="R64:R69" si="19">N64/SUMIF($D$64:$D$124,$D64,$N$64:$N$124)*(1+$P$58)</f>
        <v>3.9257950530035342E-2</v>
      </c>
      <c r="S64" s="194">
        <f t="shared" ref="S64:Y69" si="20">MIN(1,$R64+S$55)</f>
        <v>6.9257950530035334E-2</v>
      </c>
      <c r="T64" s="194">
        <f t="shared" si="20"/>
        <v>0.13925795053003534</v>
      </c>
      <c r="U64" s="194">
        <f t="shared" si="20"/>
        <v>0.33925795053003532</v>
      </c>
      <c r="V64" s="194">
        <f t="shared" si="20"/>
        <v>0.58925795053003538</v>
      </c>
      <c r="W64" s="194">
        <f t="shared" si="20"/>
        <v>0.88925795053003531</v>
      </c>
      <c r="X64" s="194">
        <f t="shared" si="20"/>
        <v>0.98925795053003529</v>
      </c>
      <c r="Y64" s="194">
        <f t="shared" si="20"/>
        <v>1</v>
      </c>
      <c r="AA64" s="195"/>
      <c r="AB64" s="194"/>
      <c r="AC64" s="194">
        <f t="shared" ref="AC64:AC69" si="21">R64/(1+$P$58+$AA$58)</f>
        <v>3.8488186794152293E-2</v>
      </c>
      <c r="AD64" s="196">
        <f>$AC64*AD$55</f>
        <v>3.7333541190327724E-2</v>
      </c>
      <c r="AE64" s="196">
        <f t="shared" ref="AE64:AJ69" si="22">$AC64*AE$55</f>
        <v>3.4639368114737064E-2</v>
      </c>
      <c r="AF64" s="196">
        <f t="shared" si="22"/>
        <v>2.6941730755906605E-2</v>
      </c>
      <c r="AG64" s="196">
        <f t="shared" si="22"/>
        <v>1.7319684057368532E-2</v>
      </c>
      <c r="AH64" s="196">
        <f t="shared" si="22"/>
        <v>5.773228019122844E-3</v>
      </c>
      <c r="AI64" s="196">
        <f t="shared" si="22"/>
        <v>1.9244093397076147E-3</v>
      </c>
      <c r="AJ64" s="196">
        <f t="shared" si="22"/>
        <v>0</v>
      </c>
      <c r="AK64" s="115">
        <v>1</v>
      </c>
      <c r="AQ64" s="187" t="s">
        <v>575</v>
      </c>
      <c r="AR64" s="115" t="s">
        <v>576</v>
      </c>
      <c r="AS64" s="137" t="s">
        <v>577</v>
      </c>
      <c r="AT64" s="115" t="s">
        <v>421</v>
      </c>
      <c r="AU64" s="115" t="s">
        <v>436</v>
      </c>
      <c r="AV64" s="115" t="s">
        <v>485</v>
      </c>
    </row>
    <row r="65" spans="1:48" ht="13.8">
      <c r="A65" s="137" t="str">
        <f>A46&amp;" - Electricity - Central - Existing"</f>
        <v>Commercial - Cooling - Electricity - Central - Existing</v>
      </c>
      <c r="B65" s="137" t="str">
        <f>D65&amp;RIGHT(C65,3)&amp;"CEN-E"</f>
        <v>CECELCCEN-E</v>
      </c>
      <c r="C65" s="138" t="str">
        <f t="shared" si="17"/>
        <v>COMELC</v>
      </c>
      <c r="D65" s="138" t="str">
        <f t="shared" si="18"/>
        <v>CEC</v>
      </c>
      <c r="E65" s="188">
        <f>[12]Appliances!J57</f>
        <v>3.1</v>
      </c>
      <c r="F65" s="189" t="e">
        <f>SUMIF([12]AFA!$B$3:$S$3,D65,[12]AFA!$B$4:$J$4)</f>
        <v>#VALUE!</v>
      </c>
      <c r="G65" s="190">
        <v>15</v>
      </c>
      <c r="H65" s="191" t="e">
        <f>(N65/F65)*(1+$H$58)</f>
        <v>#VALUE!</v>
      </c>
      <c r="I65" s="191" t="e">
        <f>SUMIF('[12]Technology costs'!$B$7:$B$28,COM_2017!B65,'[12]Technology costs'!$L$7:$L$28)</f>
        <v>#VALUE!</v>
      </c>
      <c r="J65" s="191" t="e">
        <f>I65*0.1</f>
        <v>#VALUE!</v>
      </c>
      <c r="K65" s="115">
        <v>0</v>
      </c>
      <c r="L65" s="192">
        <f>[12]Appliances!F57</f>
        <v>0.60000000000000009</v>
      </c>
      <c r="M65" s="191">
        <f>L65*SUMIF($C$9:$J$9,C65,$C$46:$J$46)</f>
        <v>27.225311519876588</v>
      </c>
      <c r="N65" s="191">
        <f>M65*E65</f>
        <v>84.398465711617419</v>
      </c>
      <c r="P65" s="197"/>
      <c r="Q65" s="194"/>
      <c r="R65" s="194">
        <f t="shared" si="19"/>
        <v>0.66381625441696113</v>
      </c>
      <c r="S65" s="194">
        <f t="shared" si="20"/>
        <v>0.69381625441696115</v>
      </c>
      <c r="T65" s="194">
        <f t="shared" si="20"/>
        <v>0.7638162544169611</v>
      </c>
      <c r="U65" s="194">
        <f t="shared" si="20"/>
        <v>0.96381625441696106</v>
      </c>
      <c r="V65" s="194">
        <f t="shared" si="20"/>
        <v>1</v>
      </c>
      <c r="W65" s="194">
        <f t="shared" si="20"/>
        <v>1</v>
      </c>
      <c r="X65" s="194">
        <f t="shared" si="20"/>
        <v>1</v>
      </c>
      <c r="Y65" s="194">
        <f t="shared" si="20"/>
        <v>1</v>
      </c>
      <c r="AA65" s="195"/>
      <c r="AB65" s="194"/>
      <c r="AC65" s="194">
        <f t="shared" si="21"/>
        <v>0.65080024942839321</v>
      </c>
      <c r="AD65" s="196">
        <f t="shared" ref="AD65:AD69" si="23">$AC65*AD$55</f>
        <v>0.63127624194554144</v>
      </c>
      <c r="AE65" s="196">
        <f t="shared" si="22"/>
        <v>0.58572022448555394</v>
      </c>
      <c r="AF65" s="196">
        <f t="shared" si="22"/>
        <v>0.45556017459987519</v>
      </c>
      <c r="AG65" s="196">
        <f t="shared" si="22"/>
        <v>0.29286011224277697</v>
      </c>
      <c r="AH65" s="196">
        <f t="shared" si="22"/>
        <v>9.7620037414258981E-2</v>
      </c>
      <c r="AI65" s="196">
        <f t="shared" si="22"/>
        <v>3.254001247141966E-2</v>
      </c>
      <c r="AJ65" s="196">
        <f t="shared" si="22"/>
        <v>0</v>
      </c>
      <c r="AK65" s="115">
        <f>AK64+1</f>
        <v>2</v>
      </c>
      <c r="AQ65" s="187" t="s">
        <v>575</v>
      </c>
      <c r="AR65" s="115" t="s">
        <v>578</v>
      </c>
      <c r="AS65" s="137" t="s">
        <v>579</v>
      </c>
      <c r="AT65" s="115" t="s">
        <v>421</v>
      </c>
      <c r="AU65" s="115" t="s">
        <v>436</v>
      </c>
      <c r="AV65" s="115" t="s">
        <v>485</v>
      </c>
    </row>
    <row r="66" spans="1:48" ht="13.8">
      <c r="A66" s="137" t="str">
        <f>A46&amp;" - Electricity - Heat Pump - Existing"</f>
        <v>Commercial - Cooling - Electricity - Heat Pump - Existing</v>
      </c>
      <c r="B66" s="137" t="str">
        <f>D66&amp;RIGHT(C66,3)&amp;"HP-E"</f>
        <v>CECELCHP-E</v>
      </c>
      <c r="C66" s="138" t="str">
        <f t="shared" si="17"/>
        <v>COMELC</v>
      </c>
      <c r="D66" s="138" t="str">
        <f t="shared" si="18"/>
        <v>CEC</v>
      </c>
      <c r="E66" s="188">
        <f>[12]Appliances!J58</f>
        <v>2.5</v>
      </c>
      <c r="F66" s="189" t="e">
        <f>SUMIF([12]AFA!$B$3:$S$3,D66,[12]AFA!$B$4:$J$4)</f>
        <v>#VALUE!</v>
      </c>
      <c r="G66" s="190">
        <v>15</v>
      </c>
      <c r="H66" s="191" t="e">
        <f>(N66/F66)*(1+$H$58)</f>
        <v>#VALUE!</v>
      </c>
      <c r="I66" s="191" t="e">
        <f>SUMIF('[12]Technology costs'!$B$7:$B$28,COM_2017!B66,'[12]Technology costs'!$L$7:$L$28)</f>
        <v>#VALUE!</v>
      </c>
      <c r="J66" s="191" t="e">
        <f t="shared" ref="J66:J121" si="24">I66*0.1</f>
        <v>#VALUE!</v>
      </c>
      <c r="K66" s="115">
        <v>0</v>
      </c>
      <c r="L66" s="192">
        <f>[12]Appliances!F58</f>
        <v>0.2</v>
      </c>
      <c r="M66" s="191">
        <f>L66*SUMIF($C$9:$J$9,C66,$C$46:$J$46)</f>
        <v>9.0751038399588619</v>
      </c>
      <c r="N66" s="191">
        <f>M66*E66</f>
        <v>22.687759599897156</v>
      </c>
      <c r="O66" s="150"/>
      <c r="P66" s="197"/>
      <c r="Q66" s="194"/>
      <c r="R66" s="194">
        <f t="shared" si="19"/>
        <v>0.17844522968197882</v>
      </c>
      <c r="S66" s="194">
        <f t="shared" si="20"/>
        <v>0.20844522968197882</v>
      </c>
      <c r="T66" s="194">
        <f t="shared" si="20"/>
        <v>0.27844522968197882</v>
      </c>
      <c r="U66" s="194">
        <f t="shared" si="20"/>
        <v>0.47844522968197878</v>
      </c>
      <c r="V66" s="194">
        <f t="shared" si="20"/>
        <v>0.72844522968197889</v>
      </c>
      <c r="W66" s="194">
        <f t="shared" si="20"/>
        <v>1</v>
      </c>
      <c r="X66" s="194">
        <f t="shared" si="20"/>
        <v>1</v>
      </c>
      <c r="Y66" s="194">
        <f t="shared" si="20"/>
        <v>1</v>
      </c>
      <c r="AA66" s="195"/>
      <c r="AB66" s="194"/>
      <c r="AC66" s="194">
        <f t="shared" si="21"/>
        <v>0.17494630360978314</v>
      </c>
      <c r="AD66" s="196">
        <f t="shared" si="23"/>
        <v>0.16969791450148963</v>
      </c>
      <c r="AE66" s="196">
        <f t="shared" si="22"/>
        <v>0.15745167324880482</v>
      </c>
      <c r="AF66" s="196">
        <f t="shared" si="22"/>
        <v>0.12246241252684818</v>
      </c>
      <c r="AG66" s="196">
        <f t="shared" si="22"/>
        <v>7.8725836624402412E-2</v>
      </c>
      <c r="AH66" s="196">
        <f t="shared" si="22"/>
        <v>2.6241945541467471E-2</v>
      </c>
      <c r="AI66" s="196">
        <f t="shared" si="22"/>
        <v>8.7473151804891569E-3</v>
      </c>
      <c r="AJ66" s="196">
        <f t="shared" si="22"/>
        <v>0</v>
      </c>
      <c r="AK66" s="115">
        <f>AK65+1</f>
        <v>3</v>
      </c>
      <c r="AQ66" s="187" t="s">
        <v>575</v>
      </c>
      <c r="AR66" s="115" t="s">
        <v>580</v>
      </c>
      <c r="AS66" s="137" t="s">
        <v>581</v>
      </c>
      <c r="AT66" s="115" t="s">
        <v>421</v>
      </c>
      <c r="AU66" s="115" t="s">
        <v>436</v>
      </c>
      <c r="AV66" s="115" t="s">
        <v>485</v>
      </c>
    </row>
    <row r="67" spans="1:48" ht="13.8">
      <c r="A67" s="137" t="str">
        <f>A46&amp;" - Electricity - Room - Existing"</f>
        <v>Commercial - Cooling - Electricity - Room - Existing</v>
      </c>
      <c r="B67" s="137" t="str">
        <f>D67&amp;RIGHT(C67,3)&amp;"ROOM-E"</f>
        <v>CECELCROOM-E</v>
      </c>
      <c r="C67" s="138" t="str">
        <f t="shared" si="17"/>
        <v>COMELC</v>
      </c>
      <c r="D67" s="138" t="str">
        <f t="shared" si="18"/>
        <v>CEC</v>
      </c>
      <c r="E67" s="188">
        <f>[12]Appliances!J59</f>
        <v>2.4</v>
      </c>
      <c r="F67" s="189" t="e">
        <f>SUMIF([12]AFA!$B$3:$S$3,D67,[12]AFA!$B$4:$J$4)</f>
        <v>#VALUE!</v>
      </c>
      <c r="G67" s="190">
        <v>15</v>
      </c>
      <c r="H67" s="191" t="e">
        <f>(N67/F67)*(1+$H$58)</f>
        <v>#VALUE!</v>
      </c>
      <c r="I67" s="198" t="e">
        <f>SUMIF('[12]Technology costs'!$B$7:$B$28,COM_2017!B67,'[12]Technology costs'!$L$7:$L$28)</f>
        <v>#VALUE!</v>
      </c>
      <c r="J67" s="191" t="e">
        <f t="shared" si="24"/>
        <v>#VALUE!</v>
      </c>
      <c r="K67" s="115">
        <v>0</v>
      </c>
      <c r="L67" s="192">
        <f>[12]Appliances!F59</f>
        <v>0.15</v>
      </c>
      <c r="M67" s="191">
        <f>L67*SUMIF($C$9:$J$9,C67,$C$46:$J$46)</f>
        <v>6.8063278799691451</v>
      </c>
      <c r="N67" s="191">
        <f>M67*E67</f>
        <v>16.335186911925948</v>
      </c>
      <c r="P67" s="197"/>
      <c r="Q67" s="194"/>
      <c r="R67" s="194">
        <f t="shared" si="19"/>
        <v>0.1284805653710247</v>
      </c>
      <c r="S67" s="194">
        <f t="shared" si="20"/>
        <v>0.1584805653710247</v>
      </c>
      <c r="T67" s="194">
        <f t="shared" si="20"/>
        <v>0.22848056537102471</v>
      </c>
      <c r="U67" s="194">
        <f t="shared" si="20"/>
        <v>0.42848056537102469</v>
      </c>
      <c r="V67" s="194">
        <f t="shared" si="20"/>
        <v>0.67848056537102475</v>
      </c>
      <c r="W67" s="194">
        <f t="shared" si="20"/>
        <v>0.97848056537102468</v>
      </c>
      <c r="X67" s="194">
        <f t="shared" si="20"/>
        <v>1</v>
      </c>
      <c r="Y67" s="194">
        <f t="shared" si="20"/>
        <v>1</v>
      </c>
      <c r="AA67" s="195"/>
      <c r="AB67" s="194"/>
      <c r="AC67" s="194">
        <f t="shared" si="21"/>
        <v>0.12596133859904382</v>
      </c>
      <c r="AD67" s="196">
        <f t="shared" si="23"/>
        <v>0.1221824984410725</v>
      </c>
      <c r="AE67" s="196">
        <f t="shared" si="22"/>
        <v>0.11336520473913944</v>
      </c>
      <c r="AF67" s="196">
        <f t="shared" si="22"/>
        <v>8.8172937019330669E-2</v>
      </c>
      <c r="AG67" s="196">
        <f t="shared" si="22"/>
        <v>5.6682602369569721E-2</v>
      </c>
      <c r="AH67" s="196">
        <f t="shared" si="22"/>
        <v>1.8894200789856572E-2</v>
      </c>
      <c r="AI67" s="196">
        <f t="shared" si="22"/>
        <v>6.2980669299521914E-3</v>
      </c>
      <c r="AJ67" s="196">
        <f t="shared" si="22"/>
        <v>0</v>
      </c>
      <c r="AK67" s="115">
        <f t="shared" ref="AK67:AK124" si="25">AK66+1</f>
        <v>4</v>
      </c>
      <c r="AQ67" s="187" t="s">
        <v>575</v>
      </c>
      <c r="AR67" s="115" t="s">
        <v>582</v>
      </c>
      <c r="AS67" s="137" t="s">
        <v>583</v>
      </c>
      <c r="AT67" s="115" t="s">
        <v>421</v>
      </c>
      <c r="AU67" s="115" t="s">
        <v>436</v>
      </c>
      <c r="AV67" s="115" t="s">
        <v>485</v>
      </c>
    </row>
    <row r="68" spans="1:48" ht="15.75" customHeight="1">
      <c r="A68" s="137" t="str">
        <f>A46&amp;" - Electricity - Central - New"</f>
        <v>Commercial - Cooling - Electricity - Central - New</v>
      </c>
      <c r="B68" s="137" t="str">
        <f>D68&amp;RIGHT(C68,3)&amp;"CEN-N"</f>
        <v>CECELCCEN-N</v>
      </c>
      <c r="C68" s="138" t="str">
        <f t="shared" si="17"/>
        <v>COMELC</v>
      </c>
      <c r="D68" s="138" t="str">
        <f t="shared" si="18"/>
        <v>CEC</v>
      </c>
      <c r="E68" s="188">
        <f>(0.19/0.17)*E65</f>
        <v>3.4647058823529413</v>
      </c>
      <c r="F68" s="189" t="e">
        <f>SUMIF([12]AFA!$B$3:$S$3,D68,[12]AFA!$B$4:$J$4)</f>
        <v>#VALUE!</v>
      </c>
      <c r="G68" s="190">
        <f>G65</f>
        <v>15</v>
      </c>
      <c r="H68" s="191"/>
      <c r="I68" s="191" t="e">
        <f>(10/3.74)*I65</f>
        <v>#VALUE!</v>
      </c>
      <c r="J68" s="191" t="e">
        <f>J65</f>
        <v>#VALUE!</v>
      </c>
      <c r="K68" s="115">
        <v>0</v>
      </c>
      <c r="L68" s="192">
        <v>0</v>
      </c>
      <c r="M68" s="191">
        <v>0</v>
      </c>
      <c r="N68" s="191">
        <v>0</v>
      </c>
      <c r="P68" s="197"/>
      <c r="Q68" s="194"/>
      <c r="R68" s="194">
        <f t="shared" si="19"/>
        <v>0</v>
      </c>
      <c r="S68" s="194">
        <f t="shared" si="20"/>
        <v>0.03</v>
      </c>
      <c r="T68" s="194">
        <f t="shared" si="20"/>
        <v>0.1</v>
      </c>
      <c r="U68" s="194">
        <f t="shared" si="20"/>
        <v>0.3</v>
      </c>
      <c r="V68" s="194">
        <f t="shared" si="20"/>
        <v>0.55000000000000004</v>
      </c>
      <c r="W68" s="194">
        <f t="shared" si="20"/>
        <v>0.85</v>
      </c>
      <c r="X68" s="194">
        <f t="shared" si="20"/>
        <v>0.95</v>
      </c>
      <c r="Y68" s="194">
        <f t="shared" si="20"/>
        <v>1</v>
      </c>
      <c r="AA68" s="195"/>
      <c r="AB68" s="194"/>
      <c r="AC68" s="194">
        <f t="shared" si="21"/>
        <v>0</v>
      </c>
      <c r="AD68" s="196">
        <f t="shared" si="23"/>
        <v>0</v>
      </c>
      <c r="AE68" s="196">
        <f t="shared" si="22"/>
        <v>0</v>
      </c>
      <c r="AF68" s="196">
        <f t="shared" si="22"/>
        <v>0</v>
      </c>
      <c r="AG68" s="196">
        <f t="shared" si="22"/>
        <v>0</v>
      </c>
      <c r="AH68" s="196">
        <f t="shared" si="22"/>
        <v>0</v>
      </c>
      <c r="AI68" s="196">
        <f t="shared" si="22"/>
        <v>0</v>
      </c>
      <c r="AJ68" s="196">
        <f t="shared" si="22"/>
        <v>0</v>
      </c>
      <c r="AK68" s="115">
        <f t="shared" si="25"/>
        <v>5</v>
      </c>
      <c r="AQ68" s="187" t="s">
        <v>575</v>
      </c>
      <c r="AR68" s="115" t="s">
        <v>584</v>
      </c>
      <c r="AS68" s="137" t="s">
        <v>585</v>
      </c>
      <c r="AT68" s="115" t="s">
        <v>421</v>
      </c>
      <c r="AU68" s="115" t="s">
        <v>436</v>
      </c>
      <c r="AV68" s="115" t="s">
        <v>485</v>
      </c>
    </row>
    <row r="69" spans="1:48" ht="15.75" customHeight="1">
      <c r="A69" s="137" t="str">
        <f>A46&amp;" - Electricity - Heat Pump - New"</f>
        <v>Commercial - Cooling - Electricity - Heat Pump - New</v>
      </c>
      <c r="B69" s="137" t="str">
        <f>D69&amp;RIGHT(C69,3)&amp;"HP-N"</f>
        <v>CECELCHP-N</v>
      </c>
      <c r="C69" s="138" t="str">
        <f t="shared" si="17"/>
        <v>COMELC</v>
      </c>
      <c r="D69" s="138" t="str">
        <f t="shared" si="18"/>
        <v>CEC</v>
      </c>
      <c r="E69" s="188">
        <f>(3.4/3.52)*E68</f>
        <v>3.3465909090909087</v>
      </c>
      <c r="F69" s="189" t="e">
        <f>SUMIF([12]AFA!$B$3:$S$3,D69,[12]AFA!$B$4:$J$4)</f>
        <v>#VALUE!</v>
      </c>
      <c r="G69" s="190">
        <v>15</v>
      </c>
      <c r="H69" s="191"/>
      <c r="I69" s="191" t="e">
        <f>(10.68/10)*I68</f>
        <v>#VALUE!</v>
      </c>
      <c r="J69" s="191" t="e">
        <f>(0.15/0.11)*J68</f>
        <v>#VALUE!</v>
      </c>
      <c r="K69" s="115">
        <v>0</v>
      </c>
      <c r="L69" s="192">
        <v>0</v>
      </c>
      <c r="M69" s="191">
        <v>0</v>
      </c>
      <c r="N69" s="191">
        <v>0</v>
      </c>
      <c r="P69" s="197"/>
      <c r="Q69" s="194"/>
      <c r="R69" s="194">
        <f t="shared" si="19"/>
        <v>0</v>
      </c>
      <c r="S69" s="194">
        <f t="shared" si="20"/>
        <v>0.03</v>
      </c>
      <c r="T69" s="194">
        <f t="shared" si="20"/>
        <v>0.1</v>
      </c>
      <c r="U69" s="194">
        <f t="shared" si="20"/>
        <v>0.3</v>
      </c>
      <c r="V69" s="194">
        <f t="shared" si="20"/>
        <v>0.55000000000000004</v>
      </c>
      <c r="W69" s="194">
        <f t="shared" si="20"/>
        <v>0.85</v>
      </c>
      <c r="X69" s="194">
        <f t="shared" si="20"/>
        <v>0.95</v>
      </c>
      <c r="Y69" s="194">
        <f t="shared" si="20"/>
        <v>1</v>
      </c>
      <c r="AA69" s="195"/>
      <c r="AB69" s="194"/>
      <c r="AC69" s="194">
        <f t="shared" si="21"/>
        <v>0</v>
      </c>
      <c r="AD69" s="196">
        <f t="shared" si="23"/>
        <v>0</v>
      </c>
      <c r="AE69" s="196">
        <f t="shared" si="22"/>
        <v>0</v>
      </c>
      <c r="AF69" s="196">
        <f t="shared" si="22"/>
        <v>0</v>
      </c>
      <c r="AG69" s="196">
        <f t="shared" si="22"/>
        <v>0</v>
      </c>
      <c r="AH69" s="196">
        <f t="shared" si="22"/>
        <v>0</v>
      </c>
      <c r="AI69" s="196">
        <f t="shared" si="22"/>
        <v>0</v>
      </c>
      <c r="AJ69" s="196">
        <f t="shared" si="22"/>
        <v>0</v>
      </c>
      <c r="AK69" s="115">
        <f t="shared" si="25"/>
        <v>6</v>
      </c>
      <c r="AQ69" s="187" t="s">
        <v>575</v>
      </c>
      <c r="AR69" s="115" t="s">
        <v>586</v>
      </c>
      <c r="AS69" s="137" t="s">
        <v>587</v>
      </c>
      <c r="AT69" s="115" t="s">
        <v>421</v>
      </c>
      <c r="AU69" s="115" t="s">
        <v>436</v>
      </c>
      <c r="AV69" s="115" t="s">
        <v>485</v>
      </c>
    </row>
    <row r="70" spans="1:48" ht="13.8">
      <c r="A70" s="199" t="s">
        <v>588</v>
      </c>
      <c r="B70" s="137"/>
      <c r="C70" s="200"/>
      <c r="D70" s="200"/>
      <c r="E70" s="201"/>
      <c r="F70" s="189"/>
      <c r="G70" s="185"/>
      <c r="H70" s="200" t="e">
        <f>SUM(H64:H67)/4</f>
        <v>#VALUE!</v>
      </c>
      <c r="I70" s="191"/>
      <c r="J70" s="191"/>
      <c r="L70" s="202">
        <f>SUM(L64:L67)</f>
        <v>1</v>
      </c>
      <c r="M70" s="203">
        <f>SUM(M64:M67)</f>
        <v>45.375519199794311</v>
      </c>
      <c r="N70" s="203">
        <f>SUM(N64:N69)</f>
        <v>128.4127193354179</v>
      </c>
      <c r="AK70" s="115">
        <f t="shared" si="25"/>
        <v>7</v>
      </c>
      <c r="AL70" s="115" t="str">
        <f>LEFT(B69,3)</f>
        <v>CEC</v>
      </c>
      <c r="AQ70" s="187" t="s">
        <v>476</v>
      </c>
      <c r="AS70" s="137"/>
    </row>
    <row r="71" spans="1:48" ht="13.8">
      <c r="A71" s="137" t="s">
        <v>589</v>
      </c>
      <c r="B71" s="137"/>
      <c r="C71" s="200"/>
      <c r="D71" s="200"/>
      <c r="E71" s="181"/>
      <c r="F71" s="189"/>
      <c r="G71" s="181"/>
      <c r="H71" s="181"/>
      <c r="I71" s="191"/>
      <c r="J71" s="191"/>
      <c r="L71" s="175"/>
      <c r="M71" s="175"/>
      <c r="AK71" s="115">
        <f t="shared" si="25"/>
        <v>8</v>
      </c>
      <c r="AQ71" s="187" t="s">
        <v>476</v>
      </c>
      <c r="AS71" s="137"/>
    </row>
    <row r="72" spans="1:48" ht="13.8">
      <c r="A72" s="137" t="str">
        <f>A$47&amp;" - "&amp;VLOOKUP(RIGHT(C72,3),[12]NameConv!$E$3:$F$16,2,FALSE)&amp;" - Existing"</f>
        <v>Commercial - Space Heating - Coal - Existing</v>
      </c>
      <c r="B72" s="137" t="str">
        <f>D72&amp;RIGHT(C72,3)&amp;"-E"</f>
        <v>CEHCOA-E</v>
      </c>
      <c r="C72" s="138" t="str">
        <f>$C$9</f>
        <v>COMCOA</v>
      </c>
      <c r="D72" s="138" t="str">
        <f>$B$47</f>
        <v>CEH</v>
      </c>
      <c r="E72" s="188">
        <f>[12]Appliances!J14</f>
        <v>0.60000000000000009</v>
      </c>
      <c r="F72" s="189" t="e">
        <f>SUMIF([12]AFA!$B$3:$S$3,D72,[12]AFA!$B$4:$J$4)</f>
        <v>#VALUE!</v>
      </c>
      <c r="G72" s="190">
        <v>15</v>
      </c>
      <c r="H72" s="191" t="e">
        <f>(N72/F72)*(1+$H$58)</f>
        <v>#VALUE!</v>
      </c>
      <c r="I72" s="198" t="e">
        <f>I75</f>
        <v>#VALUE!</v>
      </c>
      <c r="J72" s="191" t="e">
        <f t="shared" si="24"/>
        <v>#VALUE!</v>
      </c>
      <c r="K72" s="115">
        <v>0</v>
      </c>
      <c r="L72" s="192">
        <f>[12]Appliances!F14</f>
        <v>1</v>
      </c>
      <c r="M72" s="191">
        <f>L72*SUMIF($C$9:$J$9,C72,$C$47:$J$47)</f>
        <v>15.062139135812419</v>
      </c>
      <c r="N72" s="191">
        <f>M72*E72</f>
        <v>9.037283481487453</v>
      </c>
      <c r="P72" s="197"/>
      <c r="Q72" s="204"/>
      <c r="R72" s="194">
        <f>N72/SUMIF($D$64:$D$124,$D72,$N$64:$N$124)*(1+$P$58)</f>
        <v>0.76108785604744955</v>
      </c>
      <c r="S72" s="194">
        <f t="shared" ref="S72:Y77" si="26">MIN(1,$R72+S$55)</f>
        <v>0.79108785604744958</v>
      </c>
      <c r="T72" s="194">
        <f t="shared" si="26"/>
        <v>0.86108785604744953</v>
      </c>
      <c r="U72" s="194">
        <f t="shared" si="26"/>
        <v>1</v>
      </c>
      <c r="V72" s="194">
        <f t="shared" si="26"/>
        <v>1</v>
      </c>
      <c r="W72" s="194">
        <f t="shared" si="26"/>
        <v>1</v>
      </c>
      <c r="X72" s="194">
        <f t="shared" si="26"/>
        <v>1</v>
      </c>
      <c r="Y72" s="194">
        <f t="shared" si="26"/>
        <v>1</v>
      </c>
      <c r="AA72" s="197"/>
      <c r="AB72" s="194"/>
      <c r="AC72" s="194">
        <f>R72/(1+$P$58+$AA$58)</f>
        <v>0.74616456475240156</v>
      </c>
      <c r="AD72" s="196">
        <f t="shared" ref="AD72:AJ76" si="27">$AC72*AD$55</f>
        <v>0.72377962780982952</v>
      </c>
      <c r="AE72" s="196">
        <f t="shared" si="27"/>
        <v>0.67154810827716138</v>
      </c>
      <c r="AF72" s="196">
        <f t="shared" si="27"/>
        <v>0.52231519532668103</v>
      </c>
      <c r="AG72" s="196">
        <f t="shared" si="27"/>
        <v>0.33577405413858069</v>
      </c>
      <c r="AH72" s="196">
        <f t="shared" si="27"/>
        <v>0.11192468471286023</v>
      </c>
      <c r="AI72" s="196">
        <f t="shared" si="27"/>
        <v>3.7308228237620082E-2</v>
      </c>
      <c r="AJ72" s="196">
        <f t="shared" si="27"/>
        <v>0</v>
      </c>
      <c r="AK72" s="115">
        <f t="shared" si="25"/>
        <v>9</v>
      </c>
      <c r="AQ72" s="187" t="s">
        <v>575</v>
      </c>
      <c r="AR72" s="115" t="s">
        <v>590</v>
      </c>
      <c r="AS72" s="137" t="s">
        <v>591</v>
      </c>
      <c r="AT72" s="115" t="s">
        <v>421</v>
      </c>
      <c r="AU72" s="115" t="s">
        <v>436</v>
      </c>
      <c r="AV72" s="115" t="s">
        <v>592</v>
      </c>
    </row>
    <row r="73" spans="1:48" ht="13.8">
      <c r="A73" s="137" t="str">
        <f>A$47&amp;" - "&amp;VLOOKUP(RIGHT(C73,3),[12]NameConv!$E$3:$F$16,2,FALSE)&amp;" - Existing"</f>
        <v>Commercial - Space Heating - Electricity - Existing</v>
      </c>
      <c r="B73" s="137" t="str">
        <f>D73&amp;RIGHT(C73,3)&amp;"-E"</f>
        <v>CEHELC-E</v>
      </c>
      <c r="C73" s="138" t="str">
        <f>$E$9</f>
        <v>COMELC</v>
      </c>
      <c r="D73" s="138" t="str">
        <f>$B$47</f>
        <v>CEH</v>
      </c>
      <c r="E73" s="188">
        <f>[12]Appliances!J11</f>
        <v>1</v>
      </c>
      <c r="F73" s="189" t="e">
        <f>SUMIF([12]AFA!$B$3:$S$3,D73,[12]AFA!$B$4:$J$4)</f>
        <v>#VALUE!</v>
      </c>
      <c r="G73" s="190">
        <v>15</v>
      </c>
      <c r="H73" s="191" t="e">
        <f>(N73/F73)*(1+$H$58)</f>
        <v>#VALUE!</v>
      </c>
      <c r="I73" s="191" t="e">
        <f>SUMIF('[12]Technology costs'!$B$7:$B$28,COM_2017!B73,'[12]Technology costs'!$L$7:$L$28)</f>
        <v>#VALUE!</v>
      </c>
      <c r="J73" s="191" t="e">
        <f t="shared" si="24"/>
        <v>#VALUE!</v>
      </c>
      <c r="K73" s="115">
        <v>0</v>
      </c>
      <c r="L73" s="192">
        <f>[12]Appliances!F11</f>
        <v>1</v>
      </c>
      <c r="M73" s="191">
        <f>L73*SUMIF($C$9:$J$9,C73,$C$47:$J$47)</f>
        <v>2.7103061542120312</v>
      </c>
      <c r="N73" s="191">
        <f>M73*E73</f>
        <v>2.7103061542120312</v>
      </c>
      <c r="P73" s="197"/>
      <c r="Q73" s="194"/>
      <c r="R73" s="194">
        <f>N73/SUMIF($D$64:$D$124,$D73,$N$64:$N$124)*(1+$P$58)</f>
        <v>0.22825233980620116</v>
      </c>
      <c r="S73" s="194">
        <f t="shared" si="26"/>
        <v>0.25825233980620116</v>
      </c>
      <c r="T73" s="194">
        <f t="shared" si="26"/>
        <v>0.32825233980620117</v>
      </c>
      <c r="U73" s="194">
        <f t="shared" si="26"/>
        <v>0.52825233980620112</v>
      </c>
      <c r="V73" s="194">
        <f t="shared" si="26"/>
        <v>0.77825233980620123</v>
      </c>
      <c r="W73" s="194">
        <f t="shared" si="26"/>
        <v>1</v>
      </c>
      <c r="X73" s="194">
        <f t="shared" si="26"/>
        <v>1</v>
      </c>
      <c r="Y73" s="194">
        <f t="shared" si="26"/>
        <v>1</v>
      </c>
      <c r="AA73" s="197"/>
      <c r="AB73" s="194"/>
      <c r="AC73" s="194">
        <f>R73/(1+$P$58+$AA$58)</f>
        <v>0.22377680373156977</v>
      </c>
      <c r="AD73" s="196">
        <f t="shared" si="27"/>
        <v>0.21706349961962268</v>
      </c>
      <c r="AE73" s="196">
        <f t="shared" si="27"/>
        <v>0.20139912335841281</v>
      </c>
      <c r="AF73" s="196">
        <f t="shared" si="27"/>
        <v>0.15664376261209884</v>
      </c>
      <c r="AG73" s="196">
        <f t="shared" si="27"/>
        <v>0.10069956167920641</v>
      </c>
      <c r="AH73" s="196">
        <f t="shared" si="27"/>
        <v>3.3566520559735462E-2</v>
      </c>
      <c r="AI73" s="196">
        <f t="shared" si="27"/>
        <v>1.1188840186578489E-2</v>
      </c>
      <c r="AJ73" s="196">
        <f t="shared" si="27"/>
        <v>0</v>
      </c>
      <c r="AK73" s="115">
        <f t="shared" si="25"/>
        <v>10</v>
      </c>
      <c r="AQ73" s="187" t="s">
        <v>575</v>
      </c>
      <c r="AR73" s="115" t="s">
        <v>593</v>
      </c>
      <c r="AS73" s="137" t="s">
        <v>594</v>
      </c>
      <c r="AT73" s="115" t="s">
        <v>421</v>
      </c>
      <c r="AU73" s="115" t="s">
        <v>436</v>
      </c>
      <c r="AV73" s="115" t="s">
        <v>485</v>
      </c>
    </row>
    <row r="74" spans="1:48" ht="13.8">
      <c r="A74" s="137" t="str">
        <f>A$47&amp;" - "&amp;VLOOKUP(RIGHT(C74,3),[12]NameConv!$E$3:$F$16,2,FALSE)&amp;" - Existing"</f>
        <v>Commercial - Space Heating - Gas - Existing</v>
      </c>
      <c r="B74" s="137" t="str">
        <f>D74&amp;RIGHT(C74,3)&amp;"-E"</f>
        <v>CEHGAS-E</v>
      </c>
      <c r="C74" s="138" t="str">
        <f>$F$9</f>
        <v>COMGAS</v>
      </c>
      <c r="D74" s="138" t="str">
        <f>$B$47</f>
        <v>CEH</v>
      </c>
      <c r="E74" s="188">
        <f>[12]Appliances!J16</f>
        <v>0.69</v>
      </c>
      <c r="F74" s="189" t="e">
        <f>SUMIF([12]AFA!$B$3:$S$3,D74,[12]AFA!$B$4:$J$4)</f>
        <v>#VALUE!</v>
      </c>
      <c r="G74" s="190">
        <v>15</v>
      </c>
      <c r="H74" s="191" t="e">
        <f>(N74/F74)*(1+$H$58)</f>
        <v>#VALUE!</v>
      </c>
      <c r="I74" s="205">
        <f>I76</f>
        <v>49.003487536247462</v>
      </c>
      <c r="J74" s="191">
        <f t="shared" si="24"/>
        <v>4.9003487536247468</v>
      </c>
      <c r="K74" s="115">
        <v>0</v>
      </c>
      <c r="L74" s="192">
        <f>[12]Appliances!F16</f>
        <v>1</v>
      </c>
      <c r="M74" s="191">
        <f>L74*SUMIF($C$9:$J$9,C74,$C$47:$J$47)</f>
        <v>0.3555332496863236</v>
      </c>
      <c r="N74" s="191">
        <f>M74*E74</f>
        <v>0.24531794228356327</v>
      </c>
      <c r="P74" s="197"/>
      <c r="Q74" s="194"/>
      <c r="R74" s="194">
        <f>N74/SUMIF($D$64:$D$124,$D74,$N$64:$N$124)*(1+$P$58)</f>
        <v>2.0659804146349367E-2</v>
      </c>
      <c r="S74" s="194">
        <f t="shared" si="26"/>
        <v>5.0659804146349366E-2</v>
      </c>
      <c r="T74" s="194">
        <f t="shared" si="26"/>
        <v>0.12065980414634937</v>
      </c>
      <c r="U74" s="194">
        <f t="shared" si="26"/>
        <v>0.32065980414634937</v>
      </c>
      <c r="V74" s="194">
        <f t="shared" si="26"/>
        <v>0.57065980414634943</v>
      </c>
      <c r="W74" s="194">
        <f t="shared" si="26"/>
        <v>0.87065980414634936</v>
      </c>
      <c r="X74" s="194">
        <f t="shared" si="26"/>
        <v>0.97065980414634934</v>
      </c>
      <c r="Y74" s="194">
        <f t="shared" si="26"/>
        <v>1</v>
      </c>
      <c r="AA74" s="197"/>
      <c r="AB74" s="194"/>
      <c r="AC74" s="194">
        <f>R74/(1+$P$58+$AA$58)</f>
        <v>2.0254709947401341E-2</v>
      </c>
      <c r="AD74" s="196">
        <f t="shared" si="27"/>
        <v>1.9647068648979301E-2</v>
      </c>
      <c r="AE74" s="196">
        <f t="shared" si="27"/>
        <v>1.8229238952661209E-2</v>
      </c>
      <c r="AF74" s="196">
        <f t="shared" si="27"/>
        <v>1.4178296963180938E-2</v>
      </c>
      <c r="AG74" s="196">
        <f t="shared" si="27"/>
        <v>9.1146194763306043E-3</v>
      </c>
      <c r="AH74" s="196">
        <f t="shared" si="27"/>
        <v>3.038206492110201E-3</v>
      </c>
      <c r="AI74" s="196">
        <f t="shared" si="27"/>
        <v>1.0127354973700671E-3</v>
      </c>
      <c r="AJ74" s="196">
        <f t="shared" si="27"/>
        <v>0</v>
      </c>
      <c r="AK74" s="115">
        <f t="shared" si="25"/>
        <v>11</v>
      </c>
      <c r="AQ74" s="187" t="s">
        <v>575</v>
      </c>
      <c r="AR74" s="115" t="s">
        <v>595</v>
      </c>
      <c r="AS74" s="137" t="s">
        <v>596</v>
      </c>
      <c r="AT74" s="115" t="s">
        <v>421</v>
      </c>
      <c r="AU74" s="115" t="s">
        <v>436</v>
      </c>
      <c r="AV74" s="115" t="s">
        <v>592</v>
      </c>
    </row>
    <row r="75" spans="1:48" ht="13.8">
      <c r="A75" s="137" t="str">
        <f>A$47&amp;" - "&amp;VLOOKUP(RIGHT(C75,3),[12]NameConv!$E$3:$F$16,2,FALSE)&amp;" - New"</f>
        <v>Commercial - Space Heating - Electricity - New</v>
      </c>
      <c r="B75" s="137" t="str">
        <f>D75&amp;RIGHT(C75,3)&amp;"-N"</f>
        <v>CEHELC-N</v>
      </c>
      <c r="C75" s="138" t="str">
        <f>$E$9</f>
        <v>COMELC</v>
      </c>
      <c r="D75" s="138" t="str">
        <f>$B$47</f>
        <v>CEH</v>
      </c>
      <c r="E75" s="188">
        <f>(3.4/0.96)*E73</f>
        <v>3.5416666666666665</v>
      </c>
      <c r="F75" s="189" t="e">
        <f>SUMIF([12]AFA!$B$3:$S$3,D75,[12]AFA!$B$4:$J$4)</f>
        <v>#VALUE!</v>
      </c>
      <c r="G75" s="190">
        <v>15</v>
      </c>
      <c r="H75" s="191"/>
      <c r="I75" s="191" t="e">
        <f>(10.68/1.87)*I73</f>
        <v>#VALUE!</v>
      </c>
      <c r="J75" s="191" t="e">
        <f>I75*0.1</f>
        <v>#VALUE!</v>
      </c>
      <c r="K75" s="115">
        <v>0</v>
      </c>
      <c r="L75" s="192">
        <v>0</v>
      </c>
      <c r="M75" s="191">
        <v>0</v>
      </c>
      <c r="N75" s="191">
        <v>0</v>
      </c>
      <c r="P75" s="197"/>
      <c r="Q75" s="194"/>
      <c r="R75" s="194">
        <f>N75/SUMIF($D$64:$D$124,$D75,$N$64:$N$124)*(1+$P$58)</f>
        <v>0</v>
      </c>
      <c r="S75" s="194">
        <f t="shared" si="26"/>
        <v>0.03</v>
      </c>
      <c r="T75" s="194">
        <f t="shared" si="26"/>
        <v>0.1</v>
      </c>
      <c r="U75" s="194">
        <f t="shared" si="26"/>
        <v>0.3</v>
      </c>
      <c r="V75" s="194">
        <f t="shared" si="26"/>
        <v>0.55000000000000004</v>
      </c>
      <c r="W75" s="194">
        <f t="shared" si="26"/>
        <v>0.85</v>
      </c>
      <c r="X75" s="194">
        <f t="shared" si="26"/>
        <v>0.95</v>
      </c>
      <c r="Y75" s="194">
        <f t="shared" si="26"/>
        <v>1</v>
      </c>
      <c r="AA75" s="197"/>
      <c r="AB75" s="194"/>
      <c r="AC75" s="194">
        <f>R75/(1+$P$58+$AA$58)</f>
        <v>0</v>
      </c>
      <c r="AD75" s="196">
        <f t="shared" si="27"/>
        <v>0</v>
      </c>
      <c r="AE75" s="196">
        <f t="shared" si="27"/>
        <v>0</v>
      </c>
      <c r="AF75" s="196">
        <f t="shared" si="27"/>
        <v>0</v>
      </c>
      <c r="AG75" s="196">
        <f t="shared" si="27"/>
        <v>0</v>
      </c>
      <c r="AH75" s="196">
        <f t="shared" si="27"/>
        <v>0</v>
      </c>
      <c r="AI75" s="196">
        <f t="shared" si="27"/>
        <v>0</v>
      </c>
      <c r="AJ75" s="196">
        <f t="shared" si="27"/>
        <v>0</v>
      </c>
      <c r="AK75" s="115">
        <f t="shared" si="25"/>
        <v>12</v>
      </c>
      <c r="AQ75" s="187" t="s">
        <v>575</v>
      </c>
      <c r="AR75" s="115" t="s">
        <v>597</v>
      </c>
      <c r="AS75" s="137" t="s">
        <v>598</v>
      </c>
      <c r="AT75" s="115" t="s">
        <v>421</v>
      </c>
      <c r="AU75" s="115" t="s">
        <v>436</v>
      </c>
      <c r="AV75" s="115" t="s">
        <v>485</v>
      </c>
    </row>
    <row r="76" spans="1:48" ht="13.8">
      <c r="A76" s="137" t="str">
        <f>A$47&amp;" - "&amp;VLOOKUP(RIGHT(C76,3),[12]NameConv!$E$3:$F$16,2,FALSE)&amp;" - New"</f>
        <v>Commercial - Space Heating - Gas - New</v>
      </c>
      <c r="B76" s="137" t="str">
        <f>D76&amp;RIGHT(C76,3)&amp;"-N"</f>
        <v>CEHGAS-N</v>
      </c>
      <c r="C76" s="138" t="str">
        <f>$F$9</f>
        <v>COMGAS</v>
      </c>
      <c r="D76" s="138" t="str">
        <f>$B$47</f>
        <v>CEH</v>
      </c>
      <c r="E76" s="205">
        <f>'[12]Trigen data MTN + gas boiler'!D75</f>
        <v>0.88</v>
      </c>
      <c r="F76" s="206" t="e">
        <f>SUMIF([12]AFA!$B$3:$S$3,D76,[12]AFA!$B$4:$J$4)</f>
        <v>#VALUE!</v>
      </c>
      <c r="G76" s="207">
        <v>15</v>
      </c>
      <c r="H76" s="208"/>
      <c r="I76" s="209">
        <f>34.864360018767*[12]Deflator!AD7</f>
        <v>49.003487536247462</v>
      </c>
      <c r="J76" s="205">
        <f>I76*0.1</f>
        <v>4.9003487536247468</v>
      </c>
      <c r="K76" s="115">
        <v>0</v>
      </c>
      <c r="L76" s="192">
        <v>0</v>
      </c>
      <c r="M76" s="191">
        <v>0</v>
      </c>
      <c r="N76" s="191">
        <v>0</v>
      </c>
      <c r="P76" s="197"/>
      <c r="Q76" s="194"/>
      <c r="R76" s="194">
        <f>N76/SUMIF($D$64:$D$124,$D76,$N$64:$N$124)*(1+$P$58)</f>
        <v>0</v>
      </c>
      <c r="S76" s="194">
        <f t="shared" si="26"/>
        <v>0.03</v>
      </c>
      <c r="T76" s="194">
        <f t="shared" si="26"/>
        <v>0.1</v>
      </c>
      <c r="U76" s="194">
        <f t="shared" si="26"/>
        <v>0.3</v>
      </c>
      <c r="V76" s="194">
        <f t="shared" si="26"/>
        <v>0.55000000000000004</v>
      </c>
      <c r="W76" s="194">
        <f t="shared" si="26"/>
        <v>0.85</v>
      </c>
      <c r="X76" s="194">
        <f t="shared" si="26"/>
        <v>0.95</v>
      </c>
      <c r="Y76" s="194">
        <f t="shared" si="26"/>
        <v>1</v>
      </c>
      <c r="AA76" s="197"/>
      <c r="AB76" s="194"/>
      <c r="AC76" s="194">
        <f>R76/(1+$P$58+$AA$58)</f>
        <v>0</v>
      </c>
      <c r="AD76" s="196">
        <f t="shared" si="27"/>
        <v>0</v>
      </c>
      <c r="AE76" s="196">
        <f t="shared" si="27"/>
        <v>0</v>
      </c>
      <c r="AF76" s="196">
        <f t="shared" si="27"/>
        <v>0</v>
      </c>
      <c r="AG76" s="196">
        <f t="shared" si="27"/>
        <v>0</v>
      </c>
      <c r="AH76" s="196">
        <f t="shared" si="27"/>
        <v>0</v>
      </c>
      <c r="AI76" s="196">
        <f t="shared" si="27"/>
        <v>0</v>
      </c>
      <c r="AJ76" s="196">
        <f t="shared" si="27"/>
        <v>0</v>
      </c>
      <c r="AK76" s="115">
        <f t="shared" si="25"/>
        <v>13</v>
      </c>
      <c r="AQ76" s="187" t="s">
        <v>575</v>
      </c>
      <c r="AR76" s="115" t="s">
        <v>599</v>
      </c>
      <c r="AS76" s="137" t="s">
        <v>600</v>
      </c>
      <c r="AT76" s="115" t="s">
        <v>421</v>
      </c>
      <c r="AU76" s="115" t="s">
        <v>436</v>
      </c>
      <c r="AV76" s="115" t="s">
        <v>592</v>
      </c>
    </row>
    <row r="77" spans="1:48" ht="13.8">
      <c r="A77" s="199" t="s">
        <v>588</v>
      </c>
      <c r="F77" s="189"/>
      <c r="I77" s="191"/>
      <c r="J77" s="191"/>
      <c r="L77" s="163"/>
      <c r="M77" s="203">
        <f>SUM(M72:M74)</f>
        <v>18.127978539710774</v>
      </c>
      <c r="N77" s="203">
        <f>SUM(N72:N74)</f>
        <v>11.992907577983047</v>
      </c>
      <c r="S77" s="194">
        <f t="shared" si="26"/>
        <v>0.03</v>
      </c>
      <c r="T77" s="194">
        <f t="shared" si="26"/>
        <v>0.1</v>
      </c>
      <c r="U77" s="194">
        <f t="shared" si="26"/>
        <v>0.3</v>
      </c>
      <c r="V77" s="194">
        <f t="shared" si="26"/>
        <v>0.55000000000000004</v>
      </c>
      <c r="W77" s="194">
        <f t="shared" si="26"/>
        <v>0.85</v>
      </c>
      <c r="X77" s="194">
        <f t="shared" si="26"/>
        <v>0.95</v>
      </c>
      <c r="Y77" s="194">
        <f t="shared" si="26"/>
        <v>1</v>
      </c>
      <c r="AK77" s="115">
        <f t="shared" si="25"/>
        <v>14</v>
      </c>
      <c r="AL77" s="115" t="str">
        <f>LEFT(B76,3)</f>
        <v>CEH</v>
      </c>
      <c r="AQ77" s="187" t="s">
        <v>476</v>
      </c>
    </row>
    <row r="78" spans="1:48" ht="13.8">
      <c r="A78" s="137" t="s">
        <v>601</v>
      </c>
      <c r="B78" s="137"/>
      <c r="C78" s="200"/>
      <c r="D78" s="200"/>
      <c r="E78" s="181"/>
      <c r="F78" s="189"/>
      <c r="G78" s="181"/>
      <c r="H78" s="181"/>
      <c r="I78" s="191"/>
      <c r="J78" s="191"/>
      <c r="K78" s="210"/>
      <c r="L78" s="175"/>
      <c r="M78" s="175"/>
      <c r="AK78" s="115">
        <f t="shared" si="25"/>
        <v>15</v>
      </c>
      <c r="AQ78" s="187" t="s">
        <v>476</v>
      </c>
      <c r="AS78" s="137"/>
    </row>
    <row r="79" spans="1:48" ht="13.8">
      <c r="A79" s="137" t="str">
        <f>A$48&amp;" - "&amp;VLOOKUP(RIGHT(C79,3),[12]NameConv!$E$3:$F$16,2,FALSE)&amp;" - Existing"</f>
        <v>Commercial - Cooking - Oil LPG - Existing</v>
      </c>
      <c r="B79" s="137" t="str">
        <f>D79&amp;RIGHT(C79,3)&amp;"-E"</f>
        <v>CEKOLP-E</v>
      </c>
      <c r="C79" s="138" t="str">
        <f>$J$9</f>
        <v>COMOLP</v>
      </c>
      <c r="D79" s="138" t="str">
        <f>$B$48</f>
        <v>CEK</v>
      </c>
      <c r="E79" s="188">
        <f>[12]Appliances!J34</f>
        <v>0.9</v>
      </c>
      <c r="F79" s="189" t="e">
        <f>SUMIF([12]AFA!$B$3:$S$3,D79,[12]AFA!$B$4:$J$4)</f>
        <v>#VALUE!</v>
      </c>
      <c r="G79" s="190">
        <v>15</v>
      </c>
      <c r="H79" s="191" t="e">
        <f>(N79/F79)*(1+$H$58)</f>
        <v>#VALUE!</v>
      </c>
      <c r="I79" s="191" t="e">
        <f>SUMIF('[12]Technology costs'!$B$7:$B$28,COM_2017!B79,'[12]Technology costs'!$L$7:$L$28)</f>
        <v>#VALUE!</v>
      </c>
      <c r="J79" s="191" t="e">
        <f t="shared" si="24"/>
        <v>#VALUE!</v>
      </c>
      <c r="K79" s="115">
        <v>0</v>
      </c>
      <c r="L79" s="192">
        <f>[12]Appliances!F34</f>
        <v>1</v>
      </c>
      <c r="M79" s="191">
        <f>L79*SUMIF($C$9:$J$9,C79,$C$48:$J$48)</f>
        <v>0.21722461939319382</v>
      </c>
      <c r="N79" s="191">
        <f>M79*E79</f>
        <v>0.19550215745387445</v>
      </c>
      <c r="P79" s="197"/>
      <c r="Q79" s="194"/>
      <c r="R79" s="194">
        <f>N79/SUMIF($D$64:$D$124,$D79,$N$64:$N$124)</f>
        <v>2.1812160533497223E-2</v>
      </c>
      <c r="S79" s="194">
        <f t="shared" ref="S79:Y80" si="28">MIN(1,$R79+S$55)</f>
        <v>5.1812160533497222E-2</v>
      </c>
      <c r="T79" s="194">
        <f t="shared" si="28"/>
        <v>0.12181216053349722</v>
      </c>
      <c r="U79" s="194">
        <f t="shared" si="28"/>
        <v>0.3218121605334972</v>
      </c>
      <c r="V79" s="194">
        <f t="shared" si="28"/>
        <v>0.57181216053349726</v>
      </c>
      <c r="W79" s="194">
        <f t="shared" si="28"/>
        <v>0.87181216053349719</v>
      </c>
      <c r="X79" s="194">
        <f t="shared" si="28"/>
        <v>0.97181216053349717</v>
      </c>
      <c r="Y79" s="194">
        <f t="shared" si="28"/>
        <v>1</v>
      </c>
      <c r="AA79" s="197"/>
      <c r="AB79" s="194"/>
      <c r="AC79" s="194">
        <f>R79/(1+$P$58+$AA$58)</f>
        <v>2.1384471111271786E-2</v>
      </c>
      <c r="AD79" s="196">
        <f t="shared" ref="AD79:AJ81" si="29">$AC79*AD$55</f>
        <v>2.074293697793363E-2</v>
      </c>
      <c r="AE79" s="196">
        <f t="shared" si="29"/>
        <v>1.9246024000144607E-2</v>
      </c>
      <c r="AF79" s="196">
        <f t="shared" si="29"/>
        <v>1.4969129777890248E-2</v>
      </c>
      <c r="AG79" s="196">
        <f t="shared" si="29"/>
        <v>9.6230120000723035E-3</v>
      </c>
      <c r="AH79" s="196">
        <f t="shared" si="29"/>
        <v>3.2076706666907678E-3</v>
      </c>
      <c r="AI79" s="196">
        <f t="shared" si="29"/>
        <v>1.0692235555635893E-3</v>
      </c>
      <c r="AJ79" s="196">
        <f t="shared" si="29"/>
        <v>0</v>
      </c>
      <c r="AK79" s="115">
        <f t="shared" si="25"/>
        <v>16</v>
      </c>
      <c r="AQ79" s="187" t="s">
        <v>575</v>
      </c>
      <c r="AR79" s="115" t="s">
        <v>602</v>
      </c>
      <c r="AS79" s="137" t="s">
        <v>603</v>
      </c>
      <c r="AT79" s="115" t="s">
        <v>421</v>
      </c>
      <c r="AU79" s="115" t="s">
        <v>436</v>
      </c>
      <c r="AV79" s="115" t="s">
        <v>592</v>
      </c>
    </row>
    <row r="80" spans="1:48" ht="13.8">
      <c r="A80" s="137" t="str">
        <f>A$48&amp;" - "&amp;VLOOKUP(RIGHT(C80,3),[12]NameConv!$E$3:$F$16,2,FALSE)&amp;" - Existing"</f>
        <v>Commercial - Cooking - Electricity - Existing</v>
      </c>
      <c r="B80" s="137" t="str">
        <f t="shared" ref="B80:B81" si="30">D80&amp;RIGHT(C80,3)&amp;"-E"</f>
        <v>CEKELC-E</v>
      </c>
      <c r="C80" s="138" t="str">
        <f t="shared" ref="C80" si="31">$E$9</f>
        <v>COMELC</v>
      </c>
      <c r="D80" s="138" t="str">
        <f t="shared" ref="D80:D81" si="32">$B$48</f>
        <v>CEK</v>
      </c>
      <c r="E80" s="188">
        <f>[12]Appliances!J33</f>
        <v>1</v>
      </c>
      <c r="F80" s="189" t="e">
        <f>SUMIF([12]AFA!$B$3:$S$3,D80,[12]AFA!$B$4:$J$4)</f>
        <v>#VALUE!</v>
      </c>
      <c r="G80" s="190">
        <v>15</v>
      </c>
      <c r="H80" s="191" t="e">
        <f t="shared" ref="H80:H81" si="33">(N80/F80)*(1+$H$58)</f>
        <v>#VALUE!</v>
      </c>
      <c r="I80" s="208" t="e">
        <f>I79</f>
        <v>#VALUE!</v>
      </c>
      <c r="J80" s="191" t="e">
        <f t="shared" si="24"/>
        <v>#VALUE!</v>
      </c>
      <c r="K80" s="115">
        <v>0</v>
      </c>
      <c r="L80" s="192">
        <f>[12]Appliances!F33</f>
        <v>1</v>
      </c>
      <c r="M80" s="191">
        <f t="shared" ref="M80:M81" si="34">L80*SUMIF($C$9:$J$9,C80,$C$48:$J$48)</f>
        <v>8.7526440056734511</v>
      </c>
      <c r="N80" s="191">
        <f t="shared" ref="N80:N81" si="35">M80*E80</f>
        <v>8.7526440056734511</v>
      </c>
      <c r="P80" s="197"/>
      <c r="Q80" s="194"/>
      <c r="R80" s="194">
        <f t="shared" ref="R80:R81" si="36">N80/SUMIF($D$64:$D$124,$D80,$N$64:$N$124)</f>
        <v>0.97653181238853881</v>
      </c>
      <c r="S80" s="194">
        <f t="shared" si="28"/>
        <v>1</v>
      </c>
      <c r="T80" s="194">
        <f t="shared" si="28"/>
        <v>1</v>
      </c>
      <c r="U80" s="194">
        <f t="shared" si="28"/>
        <v>1</v>
      </c>
      <c r="V80" s="194">
        <f t="shared" si="28"/>
        <v>1</v>
      </c>
      <c r="W80" s="194">
        <f t="shared" si="28"/>
        <v>1</v>
      </c>
      <c r="X80" s="194">
        <f t="shared" si="28"/>
        <v>1</v>
      </c>
      <c r="Y80" s="194">
        <f t="shared" si="28"/>
        <v>1</v>
      </c>
      <c r="AA80" s="197"/>
      <c r="AB80" s="194"/>
      <c r="AC80" s="194">
        <f>R80/(1+$P$58+$AA$58)</f>
        <v>0.95738412979268506</v>
      </c>
      <c r="AD80" s="196">
        <f t="shared" si="29"/>
        <v>0.92866260589890448</v>
      </c>
      <c r="AE80" s="196">
        <f t="shared" si="29"/>
        <v>0.86164571681341662</v>
      </c>
      <c r="AF80" s="196">
        <f t="shared" si="29"/>
        <v>0.67016889085487952</v>
      </c>
      <c r="AG80" s="196">
        <f t="shared" si="29"/>
        <v>0.43082285840670831</v>
      </c>
      <c r="AH80" s="196">
        <f t="shared" si="29"/>
        <v>0.14360761946890274</v>
      </c>
      <c r="AI80" s="196">
        <f t="shared" si="29"/>
        <v>4.7869206489634254E-2</v>
      </c>
      <c r="AJ80" s="196">
        <f t="shared" si="29"/>
        <v>0</v>
      </c>
      <c r="AK80" s="115">
        <f t="shared" si="25"/>
        <v>17</v>
      </c>
      <c r="AQ80" s="187" t="s">
        <v>575</v>
      </c>
      <c r="AR80" s="115" t="s">
        <v>604</v>
      </c>
      <c r="AS80" s="137" t="s">
        <v>605</v>
      </c>
      <c r="AT80" s="115" t="s">
        <v>421</v>
      </c>
      <c r="AU80" s="115" t="s">
        <v>436</v>
      </c>
      <c r="AV80" s="115" t="s">
        <v>485</v>
      </c>
    </row>
    <row r="81" spans="1:48" ht="13.8">
      <c r="A81" s="137" t="str">
        <f>A$48&amp;" - "&amp;VLOOKUP(RIGHT(C81,3),[12]NameConv!$E$3:$F$16,2,FALSE)&amp;" - Existing"</f>
        <v>Commercial - Cooking - Coal - Existing</v>
      </c>
      <c r="B81" s="137" t="str">
        <f t="shared" si="30"/>
        <v>CEKCOA-E</v>
      </c>
      <c r="C81" s="138" t="str">
        <f>$C$9</f>
        <v>COMCOA</v>
      </c>
      <c r="D81" s="138" t="str">
        <f t="shared" si="32"/>
        <v>CEK</v>
      </c>
      <c r="E81" s="188">
        <f>[12]Appliances!J36</f>
        <v>0.75</v>
      </c>
      <c r="F81" s="189" t="e">
        <f>SUMIF([12]AFA!$B$3:$S$3,D81,[12]AFA!$B$4:$J$4)</f>
        <v>#VALUE!</v>
      </c>
      <c r="G81" s="190">
        <v>15</v>
      </c>
      <c r="H81" s="191" t="e">
        <f t="shared" si="33"/>
        <v>#VALUE!</v>
      </c>
      <c r="I81" s="208" t="e">
        <f>I80</f>
        <v>#VALUE!</v>
      </c>
      <c r="J81" s="191" t="e">
        <f t="shared" si="24"/>
        <v>#VALUE!</v>
      </c>
      <c r="K81" s="115">
        <v>0</v>
      </c>
      <c r="L81" s="192">
        <f>[12]Appliances!F36</f>
        <v>1</v>
      </c>
      <c r="M81" s="191">
        <f t="shared" si="34"/>
        <v>1.9790603567018995E-2</v>
      </c>
      <c r="N81" s="191">
        <f t="shared" si="35"/>
        <v>1.4842952675264247E-2</v>
      </c>
      <c r="P81" s="197"/>
      <c r="Q81" s="194"/>
      <c r="R81" s="194">
        <f t="shared" si="36"/>
        <v>1.6560270779638379E-3</v>
      </c>
      <c r="S81" s="194">
        <f>R81</f>
        <v>1.6560270779638379E-3</v>
      </c>
      <c r="T81" s="194">
        <f t="shared" ref="T81:Y81" si="37">S81</f>
        <v>1.6560270779638379E-3</v>
      </c>
      <c r="U81" s="194">
        <f t="shared" si="37"/>
        <v>1.6560270779638379E-3</v>
      </c>
      <c r="V81" s="194">
        <f t="shared" si="37"/>
        <v>1.6560270779638379E-3</v>
      </c>
      <c r="W81" s="194">
        <f t="shared" si="37"/>
        <v>1.6560270779638379E-3</v>
      </c>
      <c r="X81" s="194">
        <f t="shared" si="37"/>
        <v>1.6560270779638379E-3</v>
      </c>
      <c r="Y81" s="194">
        <f t="shared" si="37"/>
        <v>1.6560270779638379E-3</v>
      </c>
      <c r="AA81" s="197"/>
      <c r="AB81" s="194"/>
      <c r="AC81" s="194">
        <f>R81/(1+$P$58+$AA$58)</f>
        <v>1.6235559587880763E-3</v>
      </c>
      <c r="AD81" s="196">
        <f t="shared" si="29"/>
        <v>1.5748492800244339E-3</v>
      </c>
      <c r="AE81" s="196">
        <f t="shared" si="29"/>
        <v>1.4612003629092688E-3</v>
      </c>
      <c r="AF81" s="196">
        <f t="shared" si="29"/>
        <v>1.1364891711516533E-3</v>
      </c>
      <c r="AG81" s="196">
        <f t="shared" si="29"/>
        <v>7.3060018145463439E-4</v>
      </c>
      <c r="AH81" s="196">
        <f t="shared" si="29"/>
        <v>2.4353339381821143E-4</v>
      </c>
      <c r="AI81" s="196">
        <f t="shared" si="29"/>
        <v>8.1177797939403827E-5</v>
      </c>
      <c r="AJ81" s="196">
        <f t="shared" si="29"/>
        <v>0</v>
      </c>
      <c r="AK81" s="115">
        <f t="shared" si="25"/>
        <v>18</v>
      </c>
      <c r="AQ81" s="187" t="s">
        <v>575</v>
      </c>
      <c r="AR81" s="115" t="s">
        <v>606</v>
      </c>
      <c r="AS81" s="137" t="s">
        <v>607</v>
      </c>
      <c r="AT81" s="115" t="s">
        <v>421</v>
      </c>
      <c r="AU81" s="115" t="s">
        <v>436</v>
      </c>
      <c r="AV81" s="115" t="s">
        <v>592</v>
      </c>
    </row>
    <row r="82" spans="1:48" ht="13.8">
      <c r="A82" s="199" t="s">
        <v>588</v>
      </c>
      <c r="F82" s="189"/>
      <c r="I82" s="191"/>
      <c r="J82" s="191"/>
      <c r="L82" s="163">
        <f>SUM(L79)</f>
        <v>1</v>
      </c>
      <c r="M82" s="203">
        <f>SUM(M79:M81)</f>
        <v>8.9896592286336645</v>
      </c>
      <c r="N82" s="203">
        <f>SUM(N79:N81)</f>
        <v>8.9629891158025909</v>
      </c>
      <c r="AD82" s="194"/>
      <c r="AE82" s="194"/>
      <c r="AF82" s="194"/>
      <c r="AG82" s="194"/>
      <c r="AH82" s="194"/>
      <c r="AI82" s="194"/>
      <c r="AK82" s="115">
        <f t="shared" si="25"/>
        <v>19</v>
      </c>
      <c r="AL82" s="115" t="str">
        <f>LEFT(B81,3)</f>
        <v>CEK</v>
      </c>
      <c r="AQ82" s="187" t="s">
        <v>476</v>
      </c>
    </row>
    <row r="83" spans="1:48" ht="13.8">
      <c r="A83" s="137" t="s">
        <v>608</v>
      </c>
      <c r="B83" s="137"/>
      <c r="C83" s="200"/>
      <c r="D83" s="200"/>
      <c r="E83" s="181"/>
      <c r="F83" s="189"/>
      <c r="G83" s="181"/>
      <c r="H83" s="181"/>
      <c r="I83" s="191"/>
      <c r="J83" s="191"/>
      <c r="K83" s="210"/>
      <c r="L83" s="175"/>
      <c r="M83" s="175"/>
      <c r="AK83" s="115">
        <f t="shared" si="25"/>
        <v>20</v>
      </c>
      <c r="AQ83" s="187" t="s">
        <v>476</v>
      </c>
      <c r="AS83" s="137"/>
    </row>
    <row r="84" spans="1:48" ht="13.8">
      <c r="A84" s="137" t="str">
        <f>A$49&amp;" - "&amp;VLOOKUP(RIGHT(C84,3),[12]NameConv!$E$3:$F$16,2,FALSE)&amp;" - CFL - Existing"</f>
        <v>Commercial - Lighting - Electricity - CFL - Existing</v>
      </c>
      <c r="B84" s="137" t="str">
        <f>D84&amp;RIGHT(C84,3)&amp;"CFL-E"</f>
        <v>CELELCCFL-E</v>
      </c>
      <c r="C84" s="138" t="str">
        <f t="shared" ref="C84:C89" si="38">$E$9</f>
        <v>COMELC</v>
      </c>
      <c r="D84" s="138" t="str">
        <f t="shared" ref="D84:D89" si="39">$B$49</f>
        <v>CEL</v>
      </c>
      <c r="E84" s="188">
        <f>[12]Appliances!J68</f>
        <v>4</v>
      </c>
      <c r="F84" s="189" t="e">
        <f>SUMIF([12]AFA!$B$3:$S$3,D84,[12]AFA!$B$4:$J$4)</f>
        <v>#VALUE!</v>
      </c>
      <c r="G84" s="190">
        <v>5</v>
      </c>
      <c r="H84" s="191" t="e">
        <f t="shared" ref="H84:H88" si="40">(N84/F84)*(1+$H$58)</f>
        <v>#VALUE!</v>
      </c>
      <c r="I84" s="211">
        <f>2.52021843691898*[12]Deflator!AD7</f>
        <v>3.5422848059078738</v>
      </c>
      <c r="J84" s="191">
        <f t="shared" si="24"/>
        <v>0.35422848059078738</v>
      </c>
      <c r="K84" s="115">
        <v>0</v>
      </c>
      <c r="L84" s="192">
        <f>[12]Appliances!F68</f>
        <v>0.06</v>
      </c>
      <c r="M84" s="191">
        <f>L84*SUMIF($C$9:$J$9,C84,$C$49:$J$49)</f>
        <v>1.4736094497092997</v>
      </c>
      <c r="N84" s="191">
        <f>M84*E84</f>
        <v>5.894437798837199</v>
      </c>
      <c r="P84" s="197"/>
      <c r="Q84" s="194"/>
      <c r="R84" s="194">
        <f t="shared" ref="R84:R89" si="41">N84/SUMIF($D$64:$D$124,$D84,$N$64:$N$124)*(1+$P$58)</f>
        <v>5.3274725274725265E-2</v>
      </c>
      <c r="S84" s="194">
        <f t="shared" ref="S84:Y89" si="42">MIN(1,$R84+S$55)</f>
        <v>8.3274725274725264E-2</v>
      </c>
      <c r="T84" s="194">
        <f t="shared" si="42"/>
        <v>0.15327472527472527</v>
      </c>
      <c r="U84" s="194">
        <f t="shared" si="42"/>
        <v>0.35327472527472525</v>
      </c>
      <c r="V84" s="194">
        <f t="shared" si="42"/>
        <v>0.60327472527472525</v>
      </c>
      <c r="W84" s="194">
        <f t="shared" si="42"/>
        <v>0.9032747252747253</v>
      </c>
      <c r="X84" s="194">
        <f t="shared" si="42"/>
        <v>1</v>
      </c>
      <c r="Y84" s="194">
        <f t="shared" si="42"/>
        <v>1</v>
      </c>
      <c r="AA84" s="197"/>
      <c r="AB84" s="194"/>
      <c r="AC84" s="194">
        <f t="shared" ref="AC84:AC90" si="43">R84/(1+$P$58+$AA$58)</f>
        <v>5.22301228183581E-2</v>
      </c>
      <c r="AD84" s="196">
        <f t="shared" ref="AD84:AJ90" si="44">$AC84*AD$55</f>
        <v>5.0663219133807356E-2</v>
      </c>
      <c r="AE84" s="196">
        <f t="shared" si="44"/>
        <v>4.700711053652229E-2</v>
      </c>
      <c r="AF84" s="196">
        <f t="shared" si="44"/>
        <v>3.6561085972850668E-2</v>
      </c>
      <c r="AG84" s="196">
        <f t="shared" si="44"/>
        <v>2.3503555268261145E-2</v>
      </c>
      <c r="AH84" s="196">
        <f t="shared" si="44"/>
        <v>7.8345184227537144E-3</v>
      </c>
      <c r="AI84" s="196">
        <f t="shared" si="44"/>
        <v>2.6115061409179054E-3</v>
      </c>
      <c r="AJ84" s="196">
        <f t="shared" si="44"/>
        <v>0</v>
      </c>
      <c r="AK84" s="115">
        <f t="shared" si="25"/>
        <v>21</v>
      </c>
      <c r="AQ84" s="187" t="s">
        <v>575</v>
      </c>
      <c r="AR84" s="115" t="s">
        <v>609</v>
      </c>
      <c r="AS84" s="137" t="s">
        <v>610</v>
      </c>
      <c r="AT84" s="115" t="s">
        <v>421</v>
      </c>
      <c r="AU84" s="115" t="s">
        <v>436</v>
      </c>
      <c r="AV84" s="115" t="s">
        <v>485</v>
      </c>
    </row>
    <row r="85" spans="1:48" ht="13.8">
      <c r="A85" s="137" t="str">
        <f>A$49&amp;" - "&amp;VLOOKUP(RIGHT(C85,3),[12]NameConv!$E$3:$F$16,2,FALSE)&amp;" - FLU - Existing"</f>
        <v>Commercial - Lighting - Electricity - FLU - Existing</v>
      </c>
      <c r="B85" s="137" t="str">
        <f>D85&amp;RIGHT(C85,3)&amp;"FLU-E"</f>
        <v>CELELCFLU-E</v>
      </c>
      <c r="C85" s="138" t="str">
        <f t="shared" si="38"/>
        <v>COMELC</v>
      </c>
      <c r="D85" s="138" t="str">
        <f t="shared" si="39"/>
        <v>CEL</v>
      </c>
      <c r="E85" s="188">
        <f>[12]Appliances!J69</f>
        <v>4.5</v>
      </c>
      <c r="F85" s="189" t="e">
        <f>SUMIF([12]AFA!$B$3:$S$3,D85,[12]AFA!$B$4:$J$4)</f>
        <v>#VALUE!</v>
      </c>
      <c r="G85" s="212">
        <v>5</v>
      </c>
      <c r="H85" s="191" t="e">
        <f t="shared" si="40"/>
        <v>#VALUE!</v>
      </c>
      <c r="I85" s="213">
        <f>('[12]Technology costs'!J15/'[12]Technology costs'!J14)*COM_2017!I84</f>
        <v>2.9545163093523632</v>
      </c>
      <c r="J85" s="191">
        <f t="shared" si="24"/>
        <v>0.29545163093523635</v>
      </c>
      <c r="K85" s="115">
        <v>0</v>
      </c>
      <c r="L85" s="192">
        <f>[12]Appliances!F69</f>
        <v>0.7</v>
      </c>
      <c r="M85" s="191">
        <f>L85*SUMIF($C$9:$J$9,C85,$C$49:$J$49)</f>
        <v>17.192110246608497</v>
      </c>
      <c r="N85" s="191">
        <f t="shared" ref="N85:N89" si="45">M85*E85</f>
        <v>77.364496109738241</v>
      </c>
      <c r="P85" s="197"/>
      <c r="Q85" s="194"/>
      <c r="R85" s="194">
        <f t="shared" si="41"/>
        <v>0.69923076923076921</v>
      </c>
      <c r="S85" s="194">
        <f t="shared" si="42"/>
        <v>0.72923076923076924</v>
      </c>
      <c r="T85" s="194">
        <f t="shared" si="42"/>
        <v>0.79923076923076919</v>
      </c>
      <c r="U85" s="194">
        <f t="shared" si="42"/>
        <v>0.99923076923076914</v>
      </c>
      <c r="V85" s="194">
        <f t="shared" si="42"/>
        <v>1</v>
      </c>
      <c r="W85" s="194">
        <f t="shared" si="42"/>
        <v>1</v>
      </c>
      <c r="X85" s="194">
        <f t="shared" si="42"/>
        <v>1</v>
      </c>
      <c r="Y85" s="194">
        <f t="shared" si="42"/>
        <v>1</v>
      </c>
      <c r="AA85" s="197"/>
      <c r="AB85" s="194"/>
      <c r="AC85" s="194">
        <f t="shared" si="43"/>
        <v>0.68552036199095023</v>
      </c>
      <c r="AD85" s="196">
        <f t="shared" si="44"/>
        <v>0.66495475113122171</v>
      </c>
      <c r="AE85" s="196">
        <f t="shared" si="44"/>
        <v>0.61696832579185523</v>
      </c>
      <c r="AF85" s="196">
        <f t="shared" si="44"/>
        <v>0.47986425339366512</v>
      </c>
      <c r="AG85" s="196">
        <f t="shared" si="44"/>
        <v>0.30848416289592762</v>
      </c>
      <c r="AH85" s="196">
        <f t="shared" si="44"/>
        <v>0.10282805429864253</v>
      </c>
      <c r="AI85" s="196">
        <f t="shared" si="44"/>
        <v>3.4276018099547514E-2</v>
      </c>
      <c r="AJ85" s="196">
        <f t="shared" si="44"/>
        <v>0</v>
      </c>
      <c r="AK85" s="115">
        <f t="shared" si="25"/>
        <v>22</v>
      </c>
      <c r="AQ85" s="187" t="s">
        <v>575</v>
      </c>
      <c r="AR85" s="115" t="s">
        <v>611</v>
      </c>
      <c r="AS85" s="137" t="s">
        <v>612</v>
      </c>
      <c r="AT85" s="115" t="s">
        <v>421</v>
      </c>
      <c r="AU85" s="115" t="s">
        <v>436</v>
      </c>
      <c r="AV85" s="115" t="s">
        <v>485</v>
      </c>
    </row>
    <row r="86" spans="1:48" ht="13.8">
      <c r="A86" s="137" t="str">
        <f>A$49&amp;" - "&amp;VLOOKUP(RIGHT(C86,3),[12]NameConv!$E$3:$F$16,2,FALSE)&amp;" - HAL - Existing"</f>
        <v>Commercial - Lighting - Electricity - HAL - Existing</v>
      </c>
      <c r="B86" s="137" t="str">
        <f>D86&amp;RIGHT(C86,3)&amp;"HAL-E"</f>
        <v>CELELCHAL-E</v>
      </c>
      <c r="C86" s="138" t="str">
        <f t="shared" si="38"/>
        <v>COMELC</v>
      </c>
      <c r="D86" s="138" t="str">
        <f t="shared" si="39"/>
        <v>CEL</v>
      </c>
      <c r="E86" s="188">
        <f>[12]Appliances!J70</f>
        <v>2</v>
      </c>
      <c r="F86" s="189" t="e">
        <f>SUMIF([12]AFA!$B$3:$S$3,D86,[12]AFA!$B$4:$J$4)</f>
        <v>#VALUE!</v>
      </c>
      <c r="G86" s="212">
        <v>5</v>
      </c>
      <c r="H86" s="191" t="e">
        <f t="shared" si="40"/>
        <v>#VALUE!</v>
      </c>
      <c r="I86" s="213">
        <f>('[12]Technology costs'!J16/'[12]Technology costs'!J14)*COM_2017!I84</f>
        <v>1.0658202070873248</v>
      </c>
      <c r="J86" s="191">
        <f t="shared" si="24"/>
        <v>0.10658202070873249</v>
      </c>
      <c r="K86" s="115">
        <v>0</v>
      </c>
      <c r="L86" s="192">
        <f>[12]Appliances!F70</f>
        <v>0.02</v>
      </c>
      <c r="M86" s="191">
        <f>L86*SUMIF($C$9:$J$9,C86,$C$49:$J$49)</f>
        <v>0.49120314990309993</v>
      </c>
      <c r="N86" s="191">
        <f t="shared" si="45"/>
        <v>0.98240629980619987</v>
      </c>
      <c r="P86" s="197"/>
      <c r="Q86" s="194"/>
      <c r="R86" s="194">
        <f t="shared" si="41"/>
        <v>8.8791208791208793E-3</v>
      </c>
      <c r="S86" s="194">
        <f t="shared" si="42"/>
        <v>3.8879120879120876E-2</v>
      </c>
      <c r="T86" s="194">
        <f t="shared" si="42"/>
        <v>0.10887912087912088</v>
      </c>
      <c r="U86" s="194">
        <f t="shared" si="42"/>
        <v>0.30887912087912089</v>
      </c>
      <c r="V86" s="194">
        <f t="shared" si="42"/>
        <v>0.55887912087912095</v>
      </c>
      <c r="W86" s="194">
        <f t="shared" si="42"/>
        <v>0.85887912087912088</v>
      </c>
      <c r="X86" s="194">
        <f t="shared" si="42"/>
        <v>0.95887912087912086</v>
      </c>
      <c r="Y86" s="194">
        <f t="shared" si="42"/>
        <v>1</v>
      </c>
      <c r="AA86" s="197"/>
      <c r="AB86" s="194"/>
      <c r="AC86" s="194">
        <f t="shared" si="43"/>
        <v>8.7050204697263524E-3</v>
      </c>
      <c r="AD86" s="196">
        <f t="shared" si="44"/>
        <v>8.4438698556345611E-3</v>
      </c>
      <c r="AE86" s="196">
        <f t="shared" si="44"/>
        <v>7.8345184227537178E-3</v>
      </c>
      <c r="AF86" s="196">
        <f t="shared" si="44"/>
        <v>6.0935143288084461E-3</v>
      </c>
      <c r="AG86" s="196">
        <f t="shared" si="44"/>
        <v>3.9172592113768589E-3</v>
      </c>
      <c r="AH86" s="196">
        <f t="shared" si="44"/>
        <v>1.3057530704589529E-3</v>
      </c>
      <c r="AI86" s="196">
        <f t="shared" si="44"/>
        <v>4.3525102348631765E-4</v>
      </c>
      <c r="AJ86" s="196">
        <f t="shared" si="44"/>
        <v>0</v>
      </c>
      <c r="AK86" s="115">
        <f t="shared" si="25"/>
        <v>23</v>
      </c>
      <c r="AQ86" s="187" t="s">
        <v>575</v>
      </c>
      <c r="AR86" s="115" t="s">
        <v>613</v>
      </c>
      <c r="AS86" s="137" t="s">
        <v>614</v>
      </c>
      <c r="AT86" s="115" t="s">
        <v>421</v>
      </c>
      <c r="AU86" s="115" t="s">
        <v>436</v>
      </c>
      <c r="AV86" s="115" t="s">
        <v>485</v>
      </c>
    </row>
    <row r="87" spans="1:48" ht="13.8">
      <c r="A87" s="137" t="str">
        <f>A$49&amp;" - "&amp;VLOOKUP(RIGHT(C87,3),[12]NameConv!$E$3:$F$16,2,FALSE)&amp;" - HID - Existing"</f>
        <v>Commercial - Lighting - Electricity - HID - Existing</v>
      </c>
      <c r="B87" s="137" t="str">
        <f>D87&amp;RIGHT(C87,3)&amp;"HID-E"</f>
        <v>CELELCHID-E</v>
      </c>
      <c r="C87" s="138" t="str">
        <f t="shared" si="38"/>
        <v>COMELC</v>
      </c>
      <c r="D87" s="138" t="str">
        <f t="shared" si="39"/>
        <v>CEL</v>
      </c>
      <c r="E87" s="188">
        <f>[12]Appliances!J71</f>
        <v>7</v>
      </c>
      <c r="F87" s="189" t="e">
        <f>SUMIF([12]AFA!$B$3:$S$3,D87,[12]AFA!$B$4:$J$4)</f>
        <v>#VALUE!</v>
      </c>
      <c r="G87" s="212">
        <v>5</v>
      </c>
      <c r="H87" s="191" t="e">
        <f t="shared" si="40"/>
        <v>#VALUE!</v>
      </c>
      <c r="I87" s="213">
        <f>('[12]Technology costs'!J17/'[12]Technology costs'!J14)*COM_2017!I84</f>
        <v>0.43103023080737402</v>
      </c>
      <c r="J87" s="191">
        <f t="shared" si="24"/>
        <v>4.3103023080737407E-2</v>
      </c>
      <c r="K87" s="115">
        <v>0</v>
      </c>
      <c r="L87" s="192">
        <f>[12]Appliances!F71</f>
        <v>0.15</v>
      </c>
      <c r="M87" s="191">
        <f t="shared" ref="M87:M89" si="46">L87*SUMIF($C$9:$J$9,C87,$C$49:$J$49)</f>
        <v>3.6840236242732494</v>
      </c>
      <c r="N87" s="191">
        <f t="shared" si="45"/>
        <v>25.788165369912747</v>
      </c>
      <c r="P87" s="197"/>
      <c r="Q87" s="194"/>
      <c r="R87" s="194">
        <f t="shared" si="41"/>
        <v>0.23307692307692307</v>
      </c>
      <c r="S87" s="194">
        <f t="shared" si="42"/>
        <v>0.2630769230769231</v>
      </c>
      <c r="T87" s="194">
        <f t="shared" si="42"/>
        <v>0.33307692307692305</v>
      </c>
      <c r="U87" s="194">
        <f t="shared" si="42"/>
        <v>0.533076923076923</v>
      </c>
      <c r="V87" s="194">
        <f t="shared" si="42"/>
        <v>0.78307692307692311</v>
      </c>
      <c r="W87" s="194">
        <f t="shared" si="42"/>
        <v>1</v>
      </c>
      <c r="X87" s="194">
        <f t="shared" si="42"/>
        <v>1</v>
      </c>
      <c r="Y87" s="194">
        <f t="shared" si="42"/>
        <v>1</v>
      </c>
      <c r="AA87" s="197"/>
      <c r="AB87" s="194"/>
      <c r="AC87" s="194">
        <f t="shared" si="43"/>
        <v>0.22850678733031674</v>
      </c>
      <c r="AD87" s="196">
        <f t="shared" si="44"/>
        <v>0.22165158371040722</v>
      </c>
      <c r="AE87" s="196">
        <f t="shared" si="44"/>
        <v>0.20565610859728506</v>
      </c>
      <c r="AF87" s="196">
        <f t="shared" si="44"/>
        <v>0.15995475113122171</v>
      </c>
      <c r="AG87" s="196">
        <f t="shared" si="44"/>
        <v>0.10282805429864253</v>
      </c>
      <c r="AH87" s="196">
        <f t="shared" si="44"/>
        <v>3.4276018099547508E-2</v>
      </c>
      <c r="AI87" s="196">
        <f t="shared" si="44"/>
        <v>1.1425339366515838E-2</v>
      </c>
      <c r="AJ87" s="196">
        <f t="shared" si="44"/>
        <v>0</v>
      </c>
      <c r="AK87" s="115">
        <f t="shared" si="25"/>
        <v>24</v>
      </c>
      <c r="AQ87" s="187" t="s">
        <v>575</v>
      </c>
      <c r="AR87" s="115" t="s">
        <v>615</v>
      </c>
      <c r="AS87" s="137" t="s">
        <v>616</v>
      </c>
      <c r="AT87" s="115" t="s">
        <v>421</v>
      </c>
      <c r="AU87" s="115" t="s">
        <v>436</v>
      </c>
      <c r="AV87" s="115" t="s">
        <v>485</v>
      </c>
    </row>
    <row r="88" spans="1:48" ht="13.8">
      <c r="A88" s="137" t="str">
        <f>A$49&amp;" - "&amp;VLOOKUP(RIGHT(C88,3),[12]NameConv!$E$3:$F$16,2,FALSE)&amp;" - INC - Existing"</f>
        <v>Commercial - Lighting - Electricity - INC - Existing</v>
      </c>
      <c r="B88" s="137" t="str">
        <f>D88&amp;RIGHT(C88,3)&amp;"INC-E"</f>
        <v>CELELCINC-E</v>
      </c>
      <c r="C88" s="138" t="str">
        <f t="shared" si="38"/>
        <v>COMELC</v>
      </c>
      <c r="D88" s="138" t="str">
        <f t="shared" si="39"/>
        <v>CEL</v>
      </c>
      <c r="E88" s="188">
        <f>[12]Appliances!J72</f>
        <v>1</v>
      </c>
      <c r="F88" s="189" t="e">
        <f>SUMIF([12]AFA!$B$3:$S$3,D88,[12]AFA!$B$4:$J$4)</f>
        <v>#VALUE!</v>
      </c>
      <c r="G88" s="190">
        <v>2</v>
      </c>
      <c r="H88" s="191" t="e">
        <f t="shared" si="40"/>
        <v>#VALUE!</v>
      </c>
      <c r="I88" s="211">
        <f>0.267295894824741*[12]Deflator!AD7</f>
        <v>0.37569687335386637</v>
      </c>
      <c r="J88" s="191">
        <f t="shared" si="24"/>
        <v>3.756968733538664E-2</v>
      </c>
      <c r="K88" s="115">
        <v>0</v>
      </c>
      <c r="L88" s="192">
        <f>[12]Appliances!F72</f>
        <v>7.0000000000000007E-2</v>
      </c>
      <c r="M88" s="191">
        <f t="shared" si="46"/>
        <v>1.7192110246608499</v>
      </c>
      <c r="N88" s="191">
        <f t="shared" si="45"/>
        <v>1.7192110246608499</v>
      </c>
      <c r="P88" s="197"/>
      <c r="Q88" s="194"/>
      <c r="R88" s="194">
        <f t="shared" si="41"/>
        <v>1.5538461538461537E-2</v>
      </c>
      <c r="S88" s="194">
        <f>R88</f>
        <v>1.5538461538461537E-2</v>
      </c>
      <c r="T88" s="194">
        <f t="shared" si="42"/>
        <v>0.11553846153846155</v>
      </c>
      <c r="U88" s="194">
        <f t="shared" si="42"/>
        <v>0.31553846153846155</v>
      </c>
      <c r="V88" s="194">
        <f t="shared" si="42"/>
        <v>0.56553846153846155</v>
      </c>
      <c r="W88" s="194">
        <f t="shared" si="42"/>
        <v>0.86553846153846148</v>
      </c>
      <c r="X88" s="194">
        <f t="shared" si="42"/>
        <v>0.96553846153846146</v>
      </c>
      <c r="Y88" s="194">
        <f t="shared" si="42"/>
        <v>1</v>
      </c>
      <c r="AA88" s="197"/>
      <c r="AB88" s="194"/>
      <c r="AC88" s="194">
        <f t="shared" si="43"/>
        <v>1.5233785822021114E-2</v>
      </c>
      <c r="AD88" s="196">
        <f t="shared" si="44"/>
        <v>1.477677224736048E-2</v>
      </c>
      <c r="AE88" s="196">
        <f t="shared" si="44"/>
        <v>1.3710407239819002E-2</v>
      </c>
      <c r="AF88" s="196">
        <f t="shared" si="44"/>
        <v>1.0663650075414779E-2</v>
      </c>
      <c r="AG88" s="196">
        <f t="shared" si="44"/>
        <v>6.8552036199095012E-3</v>
      </c>
      <c r="AH88" s="196">
        <f t="shared" si="44"/>
        <v>2.2850678733031672E-3</v>
      </c>
      <c r="AI88" s="196">
        <f t="shared" si="44"/>
        <v>7.6168929110105577E-4</v>
      </c>
      <c r="AJ88" s="196">
        <f t="shared" si="44"/>
        <v>0</v>
      </c>
      <c r="AK88" s="115">
        <f t="shared" si="25"/>
        <v>25</v>
      </c>
      <c r="AQ88" s="187" t="s">
        <v>575</v>
      </c>
      <c r="AR88" s="115" t="s">
        <v>617</v>
      </c>
      <c r="AS88" s="137" t="s">
        <v>618</v>
      </c>
      <c r="AT88" s="115" t="s">
        <v>421</v>
      </c>
      <c r="AU88" s="115" t="s">
        <v>436</v>
      </c>
      <c r="AV88" s="115" t="s">
        <v>485</v>
      </c>
    </row>
    <row r="89" spans="1:48" ht="13.8">
      <c r="A89" s="137" t="str">
        <f>A$49&amp;" - "&amp;VLOOKUP(RIGHT(C89,3),[12]NameConv!$E$3:$F$16,2,FALSE)&amp;" - LED - New"</f>
        <v>Commercial - Lighting - Electricity - LED - New</v>
      </c>
      <c r="B89" s="137" t="str">
        <f>D89&amp;RIGHT(C89,3)&amp;"LED-N"</f>
        <v>CELELCLED-N</v>
      </c>
      <c r="C89" s="138" t="str">
        <f t="shared" si="38"/>
        <v>COMELC</v>
      </c>
      <c r="D89" s="138" t="str">
        <f t="shared" si="39"/>
        <v>CEL</v>
      </c>
      <c r="E89" s="188">
        <v>9.8000000000000007</v>
      </c>
      <c r="F89" s="189" t="e">
        <f>SUMIF([12]AFA!$B$3:$S$3,D89,[12]AFA!$B$4:$J$4)</f>
        <v>#VALUE!</v>
      </c>
      <c r="G89" s="190">
        <v>10</v>
      </c>
      <c r="H89" s="191"/>
      <c r="I89" s="211">
        <f>4.92588149034165*[12]Deflator!AD7</f>
        <v>6.9235566660926731</v>
      </c>
      <c r="J89" s="191">
        <f t="shared" si="24"/>
        <v>0.6923556666092674</v>
      </c>
      <c r="K89" s="115">
        <v>0</v>
      </c>
      <c r="L89" s="192">
        <v>0</v>
      </c>
      <c r="M89" s="191">
        <f t="shared" si="46"/>
        <v>0</v>
      </c>
      <c r="N89" s="191">
        <f t="shared" si="45"/>
        <v>0</v>
      </c>
      <c r="P89" s="197"/>
      <c r="Q89" s="194"/>
      <c r="R89" s="194">
        <f t="shared" si="41"/>
        <v>0</v>
      </c>
      <c r="S89" s="194">
        <f>R89</f>
        <v>0</v>
      </c>
      <c r="T89" s="194">
        <f t="shared" si="42"/>
        <v>0.1</v>
      </c>
      <c r="U89" s="194">
        <f t="shared" si="42"/>
        <v>0.3</v>
      </c>
      <c r="V89" s="194">
        <f t="shared" si="42"/>
        <v>0.55000000000000004</v>
      </c>
      <c r="W89" s="194">
        <f t="shared" si="42"/>
        <v>0.85</v>
      </c>
      <c r="X89" s="194">
        <f t="shared" si="42"/>
        <v>0.95</v>
      </c>
      <c r="Y89" s="194">
        <f t="shared" si="42"/>
        <v>1</v>
      </c>
      <c r="AA89" s="197"/>
      <c r="AB89" s="194"/>
      <c r="AC89" s="194">
        <f t="shared" si="43"/>
        <v>0</v>
      </c>
      <c r="AD89" s="196">
        <f t="shared" si="44"/>
        <v>0</v>
      </c>
      <c r="AE89" s="196">
        <f t="shared" si="44"/>
        <v>0</v>
      </c>
      <c r="AF89" s="196">
        <f t="shared" si="44"/>
        <v>0</v>
      </c>
      <c r="AG89" s="196">
        <f t="shared" si="44"/>
        <v>0</v>
      </c>
      <c r="AH89" s="196">
        <f t="shared" si="44"/>
        <v>0</v>
      </c>
      <c r="AI89" s="196">
        <f t="shared" si="44"/>
        <v>0</v>
      </c>
      <c r="AJ89" s="196">
        <f t="shared" si="44"/>
        <v>0</v>
      </c>
      <c r="AK89" s="115">
        <f t="shared" si="25"/>
        <v>26</v>
      </c>
      <c r="AQ89" s="187" t="s">
        <v>575</v>
      </c>
      <c r="AR89" s="115" t="s">
        <v>619</v>
      </c>
      <c r="AS89" s="137" t="s">
        <v>620</v>
      </c>
      <c r="AT89" s="115" t="s">
        <v>421</v>
      </c>
      <c r="AU89" s="115" t="s">
        <v>436</v>
      </c>
      <c r="AV89" s="115" t="s">
        <v>485</v>
      </c>
    </row>
    <row r="90" spans="1:48" ht="13.8">
      <c r="A90" s="199" t="s">
        <v>588</v>
      </c>
      <c r="F90" s="189"/>
      <c r="H90" s="191"/>
      <c r="I90" s="191"/>
      <c r="J90" s="191"/>
      <c r="L90" s="163">
        <f>SUM(L84:L88)</f>
        <v>1</v>
      </c>
      <c r="M90" s="203">
        <f>SUM(M84:M88)</f>
        <v>24.560157495154996</v>
      </c>
      <c r="N90" s="203">
        <f>SUM(N84:N88)</f>
        <v>111.74871660295524</v>
      </c>
      <c r="R90" s="163">
        <f>SUM(R84:R89)</f>
        <v>1.01</v>
      </c>
      <c r="S90" s="194">
        <f t="shared" ref="S90:Y90" si="47">MIN(1,$R90+S$55)</f>
        <v>1</v>
      </c>
      <c r="T90" s="194">
        <f t="shared" si="47"/>
        <v>1</v>
      </c>
      <c r="U90" s="194">
        <f t="shared" si="47"/>
        <v>1</v>
      </c>
      <c r="V90" s="194">
        <f t="shared" si="47"/>
        <v>1</v>
      </c>
      <c r="W90" s="194">
        <f t="shared" si="47"/>
        <v>1</v>
      </c>
      <c r="X90" s="194">
        <f t="shared" si="47"/>
        <v>1</v>
      </c>
      <c r="Y90" s="194">
        <f t="shared" si="47"/>
        <v>1</v>
      </c>
      <c r="AC90" s="194">
        <f t="shared" si="43"/>
        <v>0.99019607843137258</v>
      </c>
      <c r="AD90" s="194">
        <f>$AC90*AD$55</f>
        <v>0.96049019607843134</v>
      </c>
      <c r="AE90" s="194">
        <f t="shared" si="44"/>
        <v>0.89117647058823535</v>
      </c>
      <c r="AF90" s="194">
        <f t="shared" si="44"/>
        <v>0.69313725490196076</v>
      </c>
      <c r="AG90" s="194">
        <f t="shared" si="44"/>
        <v>0.44558823529411767</v>
      </c>
      <c r="AH90" s="194">
        <f t="shared" si="44"/>
        <v>0.14852941176470588</v>
      </c>
      <c r="AI90" s="194">
        <f t="shared" si="44"/>
        <v>4.9509803921568632E-2</v>
      </c>
      <c r="AK90" s="115">
        <f t="shared" si="25"/>
        <v>27</v>
      </c>
      <c r="AL90" s="115" t="str">
        <f>LEFT(B89,3)</f>
        <v>CEL</v>
      </c>
      <c r="AQ90" s="187" t="s">
        <v>476</v>
      </c>
    </row>
    <row r="91" spans="1:48" ht="13.8">
      <c r="A91" s="137" t="s">
        <v>621</v>
      </c>
      <c r="B91" s="137"/>
      <c r="C91" s="200"/>
      <c r="D91" s="200"/>
      <c r="E91" s="181"/>
      <c r="F91" s="189"/>
      <c r="G91" s="181"/>
      <c r="H91" s="191"/>
      <c r="I91" s="191"/>
      <c r="J91" s="191"/>
      <c r="K91" s="210"/>
      <c r="L91" s="175"/>
      <c r="M91" s="175"/>
      <c r="AK91" s="115">
        <f t="shared" si="25"/>
        <v>28</v>
      </c>
      <c r="AQ91" s="187" t="s">
        <v>476</v>
      </c>
      <c r="AS91" s="137"/>
    </row>
    <row r="92" spans="1:48" ht="13.8">
      <c r="A92" s="137" t="str">
        <f>A$50&amp;" - "&amp;VLOOKUP(RIGHT(C92,3),[12]NameConv!$E$3:$F$16,2,FALSE)&amp;" - Existing"</f>
        <v>Commercial - Refrigeration - Electricity - Existing</v>
      </c>
      <c r="B92" s="137" t="str">
        <f>D92&amp;RIGHT(C92,3)&amp;"-E"</f>
        <v>CERELC-E</v>
      </c>
      <c r="C92" s="138" t="str">
        <f>$E$9</f>
        <v>COMELC</v>
      </c>
      <c r="D92" s="138" t="str">
        <f>$B$50</f>
        <v>CER</v>
      </c>
      <c r="E92" s="188">
        <f>[12]Appliances!J63</f>
        <v>1</v>
      </c>
      <c r="F92" s="189" t="e">
        <f>SUMIF([12]AFA!$B$3:$S$3,D92,[12]AFA!$B$4:$J$4)</f>
        <v>#VALUE!</v>
      </c>
      <c r="G92" s="190">
        <v>10</v>
      </c>
      <c r="H92" s="191" t="e">
        <f>(N92/F92)*(1+$H$58)</f>
        <v>#VALUE!</v>
      </c>
      <c r="I92" s="191" t="e">
        <f>SUMIF('[12]Technology costs'!$B$7:$B$28,COM_2017!B92,'[12]Technology costs'!$L$7:$L$28)</f>
        <v>#VALUE!</v>
      </c>
      <c r="J92" s="191" t="e">
        <f t="shared" si="24"/>
        <v>#VALUE!</v>
      </c>
      <c r="K92" s="115">
        <v>0</v>
      </c>
      <c r="L92" s="192">
        <f>[12]Appliances!F63</f>
        <v>1</v>
      </c>
      <c r="M92" s="191">
        <f>L92*SUMIF($C$9:$J$9,C92,$C$50:$J$50)</f>
        <v>27.184456041138358</v>
      </c>
      <c r="N92" s="191">
        <f>M92*E92</f>
        <v>27.184456041138358</v>
      </c>
      <c r="P92" s="197"/>
      <c r="Q92" s="194"/>
      <c r="R92" s="194">
        <f>N92/SUMIF($D$64:$D$124,$D92,$N$64:$N$124)</f>
        <v>1</v>
      </c>
      <c r="S92" s="194">
        <f t="shared" ref="S92:S93" si="48">MIN(1,$R92+S$55)</f>
        <v>1</v>
      </c>
      <c r="T92" s="214">
        <f>MIN(1,$R92+T$56)</f>
        <v>1</v>
      </c>
      <c r="U92" s="214">
        <f t="shared" ref="U92:Y93" si="49">MIN(1,$R92+U$56)</f>
        <v>1</v>
      </c>
      <c r="V92" s="214">
        <f t="shared" si="49"/>
        <v>1</v>
      </c>
      <c r="W92" s="214">
        <f t="shared" si="49"/>
        <v>1</v>
      </c>
      <c r="X92" s="214">
        <f t="shared" si="49"/>
        <v>1</v>
      </c>
      <c r="Y92" s="214">
        <f t="shared" si="49"/>
        <v>1</v>
      </c>
      <c r="AA92" s="197"/>
      <c r="AB92" s="194"/>
      <c r="AC92" s="194">
        <f>R92/(1+$P$58+$AA$58)</f>
        <v>0.98039215686274506</v>
      </c>
      <c r="AD92" s="196">
        <f t="shared" ref="AD92:AJ93" si="50">$AC92*AD$55</f>
        <v>0.9509803921568627</v>
      </c>
      <c r="AE92" s="196">
        <f t="shared" si="50"/>
        <v>0.88235294117647056</v>
      </c>
      <c r="AF92" s="196">
        <f t="shared" si="50"/>
        <v>0.68627450980392146</v>
      </c>
      <c r="AG92" s="196">
        <f t="shared" si="50"/>
        <v>0.44117647058823528</v>
      </c>
      <c r="AH92" s="196">
        <f t="shared" si="50"/>
        <v>0.14705882352941174</v>
      </c>
      <c r="AI92" s="196">
        <f t="shared" si="50"/>
        <v>4.9019607843137254E-2</v>
      </c>
      <c r="AJ92" s="196">
        <f t="shared" si="50"/>
        <v>0</v>
      </c>
      <c r="AK92" s="115">
        <f t="shared" si="25"/>
        <v>29</v>
      </c>
      <c r="AQ92" s="187" t="s">
        <v>575</v>
      </c>
      <c r="AR92" s="115" t="s">
        <v>622</v>
      </c>
      <c r="AS92" s="137" t="s">
        <v>623</v>
      </c>
      <c r="AT92" s="115" t="s">
        <v>421</v>
      </c>
      <c r="AU92" s="115" t="s">
        <v>436</v>
      </c>
      <c r="AV92" s="115" t="s">
        <v>485</v>
      </c>
    </row>
    <row r="93" spans="1:48" ht="13.8">
      <c r="A93" s="137" t="str">
        <f>A$50&amp;" - "&amp;VLOOKUP(RIGHT(C93,3),[12]NameConv!$E$3:$F$16,2,FALSE)&amp;" - New"</f>
        <v>Commercial - Refrigeration - Electricity - New</v>
      </c>
      <c r="B93" s="137" t="str">
        <f>D93&amp;RIGHT(C93,3)&amp;"-N"</f>
        <v>CERELC-N</v>
      </c>
      <c r="C93" s="138" t="str">
        <f>$E$9</f>
        <v>COMELC</v>
      </c>
      <c r="D93" s="138" t="str">
        <f>$B$50</f>
        <v>CER</v>
      </c>
      <c r="E93" s="188">
        <f>(5.13/3.08)*E92</f>
        <v>1.6655844155844155</v>
      </c>
      <c r="F93" s="189" t="e">
        <f>SUMIF([12]AFA!$B$3:$S$3,D93,[12]AFA!$B$4:$J$4)</f>
        <v>#VALUE!</v>
      </c>
      <c r="G93" s="190">
        <v>10</v>
      </c>
      <c r="H93" s="191"/>
      <c r="I93" s="191" t="e">
        <f>(99.33/95.72)*I92</f>
        <v>#VALUE!</v>
      </c>
      <c r="J93" s="191" t="e">
        <f t="shared" si="24"/>
        <v>#VALUE!</v>
      </c>
      <c r="K93" s="115">
        <v>0</v>
      </c>
      <c r="L93" s="192">
        <v>0</v>
      </c>
      <c r="M93" s="191">
        <v>0</v>
      </c>
      <c r="N93" s="191">
        <v>0</v>
      </c>
      <c r="P93" s="197"/>
      <c r="Q93" s="194"/>
      <c r="R93" s="194">
        <f>N93/SUMIF($D$64:$D$124,$D92,$N$64:$N$124)</f>
        <v>0</v>
      </c>
      <c r="S93" s="194">
        <f t="shared" si="48"/>
        <v>0.03</v>
      </c>
      <c r="T93" s="214">
        <f>MIN(1,$R93+T$56)</f>
        <v>0.5</v>
      </c>
      <c r="U93" s="214">
        <f t="shared" si="49"/>
        <v>0.75</v>
      </c>
      <c r="V93" s="214">
        <f t="shared" si="49"/>
        <v>1</v>
      </c>
      <c r="W93" s="214">
        <f t="shared" si="49"/>
        <v>1</v>
      </c>
      <c r="X93" s="214">
        <f t="shared" si="49"/>
        <v>1</v>
      </c>
      <c r="Y93" s="214">
        <f t="shared" si="49"/>
        <v>1</v>
      </c>
      <c r="AA93" s="197"/>
      <c r="AB93" s="194"/>
      <c r="AC93" s="194">
        <f>R93/(1+$P$58+$AA$58)</f>
        <v>0</v>
      </c>
      <c r="AD93" s="196">
        <f t="shared" si="50"/>
        <v>0</v>
      </c>
      <c r="AE93" s="196">
        <f t="shared" si="50"/>
        <v>0</v>
      </c>
      <c r="AF93" s="196">
        <f t="shared" si="50"/>
        <v>0</v>
      </c>
      <c r="AG93" s="196">
        <f t="shared" si="50"/>
        <v>0</v>
      </c>
      <c r="AH93" s="196">
        <f t="shared" si="50"/>
        <v>0</v>
      </c>
      <c r="AI93" s="196">
        <f t="shared" si="50"/>
        <v>0</v>
      </c>
      <c r="AJ93" s="196">
        <f t="shared" si="50"/>
        <v>0</v>
      </c>
      <c r="AK93" s="115">
        <f t="shared" si="25"/>
        <v>30</v>
      </c>
      <c r="AQ93" s="187" t="s">
        <v>575</v>
      </c>
      <c r="AR93" s="115" t="s">
        <v>624</v>
      </c>
      <c r="AS93" s="137" t="s">
        <v>625</v>
      </c>
      <c r="AT93" s="115" t="s">
        <v>421</v>
      </c>
      <c r="AU93" s="115" t="s">
        <v>436</v>
      </c>
      <c r="AV93" s="115" t="s">
        <v>485</v>
      </c>
    </row>
    <row r="94" spans="1:48" ht="13.8">
      <c r="A94" s="199" t="s">
        <v>588</v>
      </c>
      <c r="F94" s="189"/>
      <c r="H94" s="191"/>
      <c r="I94" s="191"/>
      <c r="J94" s="191"/>
      <c r="L94" s="163">
        <f>SUM(L92)</f>
        <v>1</v>
      </c>
      <c r="M94" s="203">
        <f>SUM(M92)</f>
        <v>27.184456041138358</v>
      </c>
      <c r="N94" s="203">
        <f>SUM(N92)</f>
        <v>27.184456041138358</v>
      </c>
      <c r="AK94" s="115">
        <f t="shared" si="25"/>
        <v>31</v>
      </c>
      <c r="AL94" s="115" t="str">
        <f>LEFT(B93,3)</f>
        <v>CER</v>
      </c>
      <c r="AQ94" s="187" t="s">
        <v>476</v>
      </c>
    </row>
    <row r="95" spans="1:48" ht="13.8">
      <c r="A95" s="137" t="s">
        <v>626</v>
      </c>
      <c r="B95" s="137"/>
      <c r="C95" s="200"/>
      <c r="D95" s="200"/>
      <c r="E95" s="181"/>
      <c r="F95" s="189"/>
      <c r="G95" s="181"/>
      <c r="H95" s="191"/>
      <c r="I95" s="191"/>
      <c r="J95" s="191"/>
      <c r="K95" s="210"/>
      <c r="L95" s="175"/>
      <c r="M95" s="175"/>
      <c r="AK95" s="115">
        <f t="shared" si="25"/>
        <v>32</v>
      </c>
      <c r="AQ95" s="187" t="s">
        <v>476</v>
      </c>
      <c r="AS95" s="137"/>
    </row>
    <row r="96" spans="1:48" ht="13.8">
      <c r="A96" s="137" t="str">
        <f>A$51&amp;" - "&amp;VLOOKUP(RIGHT(C96,3),[12]NameConv!$E$3:$F$16,2,FALSE)&amp;" - Existing"</f>
        <v>Commercial - Water Heating - Electricity - Existing</v>
      </c>
      <c r="B96" s="137" t="str">
        <f>D96&amp;RIGHT(C96,3)&amp;"-E"</f>
        <v>CEWELC-E</v>
      </c>
      <c r="C96" s="138" t="str">
        <f>$E$9</f>
        <v>COMELC</v>
      </c>
      <c r="D96" s="138" t="str">
        <f>$B$51</f>
        <v>CEW</v>
      </c>
      <c r="E96" s="188">
        <f>[12]Appliances!J22</f>
        <v>1</v>
      </c>
      <c r="F96" s="189" t="e">
        <f>SUMIF([12]AFA!$B$3:$S$3,D96,[12]AFA!$B$4:$J$4)</f>
        <v>#VALUE!</v>
      </c>
      <c r="G96" s="190">
        <v>14</v>
      </c>
      <c r="H96" s="191" t="e">
        <f>(N96/F96)*(1+$H$58)</f>
        <v>#VALUE!</v>
      </c>
      <c r="I96" s="191" t="e">
        <f>SUMIF('[12]Technology costs'!$B$7:$B$28,COM_2017!B96,'[12]Technology costs'!$L$7:$L$28)</f>
        <v>#VALUE!</v>
      </c>
      <c r="J96" s="191" t="e">
        <f t="shared" si="24"/>
        <v>#VALUE!</v>
      </c>
      <c r="K96" s="115">
        <v>0</v>
      </c>
      <c r="L96" s="192">
        <f>[12]Appliances!F22</f>
        <v>1</v>
      </c>
      <c r="M96" s="191">
        <f>L96*SUMIF($C$9:$J$9,C96,$C$51:$J$51)</f>
        <v>1.1882423368329196</v>
      </c>
      <c r="N96" s="191">
        <f>M96*E96</f>
        <v>1.1882423368329196</v>
      </c>
      <c r="O96" s="197"/>
      <c r="Q96" s="194"/>
      <c r="R96" s="194">
        <f t="shared" ref="R96:R102" si="51">N96/SUMIF($D$64:$D$124,$D96,$N$64:$N$124)*(1+$P$58)</f>
        <v>8.3387548786513319E-2</v>
      </c>
      <c r="S96" s="194">
        <f t="shared" ref="S96:Y102" si="52">MIN(1,$R96+S$55)</f>
        <v>0.11338754878651332</v>
      </c>
      <c r="T96" s="194">
        <f t="shared" si="52"/>
        <v>0.18338754878651331</v>
      </c>
      <c r="U96" s="194">
        <f t="shared" si="52"/>
        <v>0.38338754878651332</v>
      </c>
      <c r="V96" s="194">
        <f t="shared" si="52"/>
        <v>0.63338754878651338</v>
      </c>
      <c r="W96" s="194">
        <f t="shared" si="52"/>
        <v>0.93338754878651331</v>
      </c>
      <c r="X96" s="194">
        <f t="shared" si="52"/>
        <v>1</v>
      </c>
      <c r="Y96" s="194">
        <f t="shared" si="52"/>
        <v>1</v>
      </c>
      <c r="AA96" s="197"/>
      <c r="AB96" s="194"/>
      <c r="AC96" s="194">
        <f t="shared" ref="AC96:AC102" si="53">R96/(1+$P$58+$AA$58)</f>
        <v>8.1752498810307175E-2</v>
      </c>
      <c r="AD96" s="196">
        <f t="shared" ref="AD96:AJ102" si="54">$AC96*AD$55</f>
        <v>7.9299923845997961E-2</v>
      </c>
      <c r="AE96" s="196">
        <f t="shared" si="54"/>
        <v>7.3577248929276459E-2</v>
      </c>
      <c r="AF96" s="196">
        <f t="shared" si="54"/>
        <v>5.722674916721502E-2</v>
      </c>
      <c r="AG96" s="196">
        <f t="shared" si="54"/>
        <v>3.678862446463823E-2</v>
      </c>
      <c r="AH96" s="196">
        <f t="shared" si="54"/>
        <v>1.2262874821546076E-2</v>
      </c>
      <c r="AI96" s="196">
        <f t="shared" si="54"/>
        <v>4.0876249405153589E-3</v>
      </c>
      <c r="AJ96" s="196">
        <f t="shared" si="54"/>
        <v>0</v>
      </c>
      <c r="AK96" s="115">
        <f t="shared" si="25"/>
        <v>33</v>
      </c>
      <c r="AQ96" s="187" t="s">
        <v>575</v>
      </c>
      <c r="AR96" s="115" t="s">
        <v>627</v>
      </c>
      <c r="AS96" s="137" t="s">
        <v>628</v>
      </c>
      <c r="AT96" s="115" t="s">
        <v>421</v>
      </c>
      <c r="AU96" s="115" t="s">
        <v>436</v>
      </c>
      <c r="AV96" s="115" t="s">
        <v>485</v>
      </c>
    </row>
    <row r="97" spans="1:48" ht="13.8">
      <c r="A97" s="137" t="str">
        <f>A$51&amp;" - "&amp;VLOOKUP(RIGHT(C97,3),[12]NameConv!$E$3:$F$16,2,FALSE)&amp;" - Existing"</f>
        <v>Commercial - Water Heating - Coal - Existing</v>
      </c>
      <c r="B97" s="137" t="str">
        <f>D97&amp;RIGHT(C97,3)&amp;"-E"</f>
        <v>CEWCOA-E</v>
      </c>
      <c r="C97" s="138" t="str">
        <f>$C$9</f>
        <v>COMCOA</v>
      </c>
      <c r="D97" s="138" t="str">
        <f>$B$51</f>
        <v>CEW</v>
      </c>
      <c r="E97" s="188">
        <f>[12]Appliances!J25</f>
        <v>0.60000000000000009</v>
      </c>
      <c r="F97" s="189" t="e">
        <f>SUMIF([12]AFA!$B$3:$S$3,D97,[12]AFA!$B$4:$J$4)</f>
        <v>#VALUE!</v>
      </c>
      <c r="G97" s="190">
        <v>14</v>
      </c>
      <c r="H97" s="191" t="e">
        <f t="shared" ref="H97:H100" si="55">(N97/F97)*(1+$H$58)</f>
        <v>#VALUE!</v>
      </c>
      <c r="I97" s="191" t="e">
        <f>SUMIF('[12]Technology costs'!$B$7:$B$28,COM_2017!B97,'[12]Technology costs'!$L$7:$L$28)</f>
        <v>#VALUE!</v>
      </c>
      <c r="J97" s="191" t="e">
        <f t="shared" si="24"/>
        <v>#VALUE!</v>
      </c>
      <c r="K97" s="115">
        <v>0</v>
      </c>
      <c r="L97" s="192">
        <f>[12]Appliances!F25</f>
        <v>1</v>
      </c>
      <c r="M97" s="191">
        <f>L97*SUMIF($C$9:$J$9,C97,$C$51:$J$51)</f>
        <v>12.648070260620566</v>
      </c>
      <c r="N97" s="191">
        <f>M97*E97</f>
        <v>7.5888421563723405</v>
      </c>
      <c r="O97" s="197"/>
      <c r="Q97" s="204"/>
      <c r="R97" s="194">
        <f t="shared" si="51"/>
        <v>0.53256387685555806</v>
      </c>
      <c r="S97" s="194">
        <f t="shared" si="52"/>
        <v>0.56256387685555809</v>
      </c>
      <c r="T97" s="194">
        <f t="shared" si="52"/>
        <v>0.63256387685555804</v>
      </c>
      <c r="U97" s="194">
        <f t="shared" si="52"/>
        <v>0.8325638768555581</v>
      </c>
      <c r="V97" s="194">
        <f t="shared" si="52"/>
        <v>1</v>
      </c>
      <c r="W97" s="194">
        <f t="shared" si="52"/>
        <v>1</v>
      </c>
      <c r="X97" s="194">
        <f t="shared" si="52"/>
        <v>1</v>
      </c>
      <c r="Y97" s="194">
        <f t="shared" si="52"/>
        <v>1</v>
      </c>
      <c r="AA97" s="197"/>
      <c r="AB97" s="194"/>
      <c r="AC97" s="194">
        <f t="shared" si="53"/>
        <v>0.52212144789760595</v>
      </c>
      <c r="AD97" s="196">
        <f t="shared" si="54"/>
        <v>0.50645780446067779</v>
      </c>
      <c r="AE97" s="196">
        <f t="shared" si="54"/>
        <v>0.46990930310784534</v>
      </c>
      <c r="AF97" s="196">
        <f t="shared" si="54"/>
        <v>0.36548501352832413</v>
      </c>
      <c r="AG97" s="196">
        <f t="shared" si="54"/>
        <v>0.23495465155392267</v>
      </c>
      <c r="AH97" s="196">
        <f t="shared" si="54"/>
        <v>7.8318217184640895E-2</v>
      </c>
      <c r="AI97" s="196">
        <f t="shared" si="54"/>
        <v>2.61060723948803E-2</v>
      </c>
      <c r="AJ97" s="196">
        <f t="shared" si="54"/>
        <v>0</v>
      </c>
      <c r="AK97" s="115">
        <f t="shared" si="25"/>
        <v>34</v>
      </c>
      <c r="AQ97" s="187" t="s">
        <v>575</v>
      </c>
      <c r="AR97" s="115" t="s">
        <v>629</v>
      </c>
      <c r="AS97" s="137" t="s">
        <v>630</v>
      </c>
      <c r="AT97" s="115" t="s">
        <v>421</v>
      </c>
      <c r="AU97" s="115" t="s">
        <v>436</v>
      </c>
      <c r="AV97" s="115" t="s">
        <v>592</v>
      </c>
    </row>
    <row r="98" spans="1:48" ht="13.8">
      <c r="A98" s="137" t="str">
        <f>A$51&amp;" - "&amp;VLOOKUP(RIGHT(C98,3),[12]NameConv!$E$3:$F$16,2,FALSE)&amp;" - Existing"</f>
        <v>Commercial - Water Heating - Oil LPG - Existing</v>
      </c>
      <c r="B98" s="137" t="str">
        <f>D98&amp;RIGHT(C98,3)&amp;"-E"</f>
        <v>CEWOLP-E</v>
      </c>
      <c r="C98" s="138" t="str">
        <f>$J$9</f>
        <v>COMOLP</v>
      </c>
      <c r="D98" s="138" t="str">
        <f>$B$51</f>
        <v>CEW</v>
      </c>
      <c r="E98" s="188">
        <f>[12]Appliances!J23</f>
        <v>0.68</v>
      </c>
      <c r="F98" s="189" t="e">
        <f>SUMIF([12]AFA!$B$3:$S$3,D98,[12]AFA!$B$4:$J$4)</f>
        <v>#VALUE!</v>
      </c>
      <c r="G98" s="190">
        <v>12</v>
      </c>
      <c r="H98" s="191" t="e">
        <f t="shared" si="55"/>
        <v>#VALUE!</v>
      </c>
      <c r="I98" s="191" t="e">
        <f>SUMIF('[12]Technology costs'!$B$7:$B$28,COM_2017!B98,'[12]Technology costs'!$L$7:$L$28)</f>
        <v>#VALUE!</v>
      </c>
      <c r="J98" s="191" t="e">
        <f t="shared" si="24"/>
        <v>#VALUE!</v>
      </c>
      <c r="K98" s="115">
        <v>0</v>
      </c>
      <c r="L98" s="192">
        <f>[12]Appliances!F23</f>
        <v>1</v>
      </c>
      <c r="M98" s="191">
        <f>L98*SUMIF($C$9:$J$9,C98,$C$51:$J$51)</f>
        <v>1.932775380606806</v>
      </c>
      <c r="N98" s="191">
        <f>M98*E98</f>
        <v>1.3142872588126282</v>
      </c>
      <c r="O98" s="197"/>
      <c r="Q98" s="194"/>
      <c r="R98" s="194">
        <f t="shared" si="51"/>
        <v>9.2233031526077688E-2</v>
      </c>
      <c r="S98" s="194">
        <f t="shared" si="52"/>
        <v>0.12223303152607769</v>
      </c>
      <c r="T98" s="194">
        <f t="shared" si="52"/>
        <v>0.19223303152607768</v>
      </c>
      <c r="U98" s="194">
        <f t="shared" si="52"/>
        <v>0.39223303152607769</v>
      </c>
      <c r="V98" s="194">
        <f t="shared" si="52"/>
        <v>0.64223303152607769</v>
      </c>
      <c r="W98" s="194">
        <f t="shared" si="52"/>
        <v>0.94223303152607762</v>
      </c>
      <c r="X98" s="194">
        <f t="shared" si="52"/>
        <v>1</v>
      </c>
      <c r="Y98" s="194">
        <f t="shared" si="52"/>
        <v>1</v>
      </c>
      <c r="AA98" s="197"/>
      <c r="AB98" s="194"/>
      <c r="AC98" s="194">
        <f t="shared" si="53"/>
        <v>9.0424540711840876E-2</v>
      </c>
      <c r="AD98" s="196">
        <f t="shared" si="54"/>
        <v>8.7711804490485643E-2</v>
      </c>
      <c r="AE98" s="196">
        <f t="shared" si="54"/>
        <v>8.1382086640656784E-2</v>
      </c>
      <c r="AF98" s="196">
        <f t="shared" si="54"/>
        <v>6.3297178498288614E-2</v>
      </c>
      <c r="AG98" s="196">
        <f t="shared" si="54"/>
        <v>4.0691043320328392E-2</v>
      </c>
      <c r="AH98" s="196">
        <f t="shared" si="54"/>
        <v>1.3563681106776131E-2</v>
      </c>
      <c r="AI98" s="196">
        <f t="shared" si="54"/>
        <v>4.5212270355920441E-3</v>
      </c>
      <c r="AJ98" s="196">
        <f t="shared" si="54"/>
        <v>0</v>
      </c>
      <c r="AK98" s="115">
        <f t="shared" si="25"/>
        <v>35</v>
      </c>
      <c r="AQ98" s="187" t="s">
        <v>575</v>
      </c>
      <c r="AR98" s="115" t="s">
        <v>631</v>
      </c>
      <c r="AS98" s="137" t="s">
        <v>632</v>
      </c>
      <c r="AT98" s="115" t="s">
        <v>421</v>
      </c>
      <c r="AU98" s="115" t="s">
        <v>436</v>
      </c>
      <c r="AV98" s="115" t="s">
        <v>592</v>
      </c>
    </row>
    <row r="99" spans="1:48" ht="13.8">
      <c r="A99" s="137" t="str">
        <f>A$51&amp;" - "&amp;VLOOKUP(RIGHT(C99,3),[12]NameConv!$E$3:$F$16,2,FALSE)&amp;" - Existing"</f>
        <v>Commercial - Water Heating - Gas - Existing</v>
      </c>
      <c r="B99" s="137" t="str">
        <f t="shared" ref="B99:B100" si="56">D99&amp;RIGHT(C99,3)&amp;"-E"</f>
        <v>CEWGAS-E</v>
      </c>
      <c r="C99" s="138" t="str">
        <f>$F$9</f>
        <v>COMGAS</v>
      </c>
      <c r="D99" s="138" t="str">
        <f t="shared" ref="D99:D100" si="57">$B$51</f>
        <v>CEW</v>
      </c>
      <c r="E99" s="188">
        <f>[12]Appliances!J27</f>
        <v>0.69</v>
      </c>
      <c r="F99" s="189" t="e">
        <f>SUMIF([12]AFA!$B$3:$S$3,D99,[12]AFA!$B$4:$J$4)</f>
        <v>#VALUE!</v>
      </c>
      <c r="G99" s="190">
        <v>12</v>
      </c>
      <c r="H99" s="191" t="e">
        <f t="shared" si="55"/>
        <v>#VALUE!</v>
      </c>
      <c r="I99" s="208" t="e">
        <f>I98</f>
        <v>#VALUE!</v>
      </c>
      <c r="J99" s="191" t="e">
        <f t="shared" si="24"/>
        <v>#VALUE!</v>
      </c>
      <c r="K99" s="115">
        <v>0</v>
      </c>
      <c r="L99" s="192">
        <f>[12]Appliances!F27</f>
        <v>1</v>
      </c>
      <c r="M99" s="191">
        <f>L99*SUMIF($C$9:$J$9,C99,$C$51:$J$51)</f>
        <v>0.87646675031367627</v>
      </c>
      <c r="N99" s="191">
        <f>M99*E99</f>
        <v>0.60476205771643654</v>
      </c>
      <c r="O99" s="197"/>
      <c r="Q99" s="194"/>
      <c r="R99" s="194">
        <f t="shared" si="51"/>
        <v>4.2440522466548433E-2</v>
      </c>
      <c r="S99" s="194">
        <f t="shared" si="52"/>
        <v>7.2440522466548432E-2</v>
      </c>
      <c r="T99" s="194">
        <f t="shared" si="52"/>
        <v>0.14244052246654842</v>
      </c>
      <c r="U99" s="194">
        <f t="shared" si="52"/>
        <v>0.34244052246654844</v>
      </c>
      <c r="V99" s="194">
        <f t="shared" si="52"/>
        <v>0.59244052246654844</v>
      </c>
      <c r="W99" s="194">
        <f t="shared" si="52"/>
        <v>0.89244052246654837</v>
      </c>
      <c r="X99" s="194">
        <f t="shared" si="52"/>
        <v>0.99244052246654835</v>
      </c>
      <c r="Y99" s="194">
        <f t="shared" si="52"/>
        <v>1</v>
      </c>
      <c r="AA99" s="197"/>
      <c r="AB99" s="194"/>
      <c r="AC99" s="194">
        <f t="shared" si="53"/>
        <v>4.1608355359361207E-2</v>
      </c>
      <c r="AD99" s="196">
        <f t="shared" si="54"/>
        <v>4.0360104698580368E-2</v>
      </c>
      <c r="AE99" s="196">
        <f t="shared" si="54"/>
        <v>3.7447519823425091E-2</v>
      </c>
      <c r="AF99" s="196">
        <f t="shared" si="54"/>
        <v>2.9125848751552844E-2</v>
      </c>
      <c r="AG99" s="196">
        <f t="shared" si="54"/>
        <v>1.8723759911712545E-2</v>
      </c>
      <c r="AH99" s="196">
        <f t="shared" si="54"/>
        <v>6.2412533039041809E-3</v>
      </c>
      <c r="AI99" s="196">
        <f t="shared" si="54"/>
        <v>2.0804177679680604E-3</v>
      </c>
      <c r="AJ99" s="196">
        <f t="shared" si="54"/>
        <v>0</v>
      </c>
      <c r="AK99" s="115">
        <f t="shared" si="25"/>
        <v>36</v>
      </c>
      <c r="AQ99" s="187" t="s">
        <v>575</v>
      </c>
      <c r="AR99" s="115" t="s">
        <v>633</v>
      </c>
      <c r="AS99" s="137" t="s">
        <v>634</v>
      </c>
      <c r="AT99" s="115" t="s">
        <v>421</v>
      </c>
      <c r="AU99" s="115" t="s">
        <v>436</v>
      </c>
      <c r="AV99" s="115" t="s">
        <v>592</v>
      </c>
    </row>
    <row r="100" spans="1:48" ht="13.8">
      <c r="A100" s="137" t="str">
        <f>A$51&amp;" - "&amp;VLOOKUP(RIGHT(C100,3),[12]NameConv!$E$3:$F$16,2,FALSE)&amp;" - Existing"</f>
        <v>Commercial - Water Heating - Oil Paraffin - Existing</v>
      </c>
      <c r="B100" s="137" t="str">
        <f t="shared" si="56"/>
        <v>CEWOKE-E</v>
      </c>
      <c r="C100" s="138" t="s">
        <v>635</v>
      </c>
      <c r="D100" s="138" t="str">
        <f t="shared" si="57"/>
        <v>CEW</v>
      </c>
      <c r="E100" s="188">
        <f>[12]Appliances!J28</f>
        <v>0.7</v>
      </c>
      <c r="F100" s="189" t="e">
        <f>SUMIF([12]AFA!$B$3:$S$3,D100,[12]AFA!$B$4:$J$4)</f>
        <v>#VALUE!</v>
      </c>
      <c r="G100" s="190">
        <v>12</v>
      </c>
      <c r="H100" s="191" t="e">
        <f t="shared" si="55"/>
        <v>#VALUE!</v>
      </c>
      <c r="I100" s="208" t="e">
        <f>I99</f>
        <v>#VALUE!</v>
      </c>
      <c r="J100" s="191" t="e">
        <f t="shared" si="24"/>
        <v>#VALUE!</v>
      </c>
      <c r="K100" s="115">
        <v>0</v>
      </c>
      <c r="L100" s="192">
        <f>[12]Appliances!F28</f>
        <v>1</v>
      </c>
      <c r="M100" s="191">
        <f>L100*SUMIF($C$9:$J$9,C100,$C$51:$J$51)</f>
        <v>5.28</v>
      </c>
      <c r="N100" s="191">
        <f>M100*E100</f>
        <v>3.6959999999999997</v>
      </c>
      <c r="O100" s="197"/>
      <c r="Q100" s="194"/>
      <c r="R100" s="194">
        <f t="shared" si="51"/>
        <v>0.25937502036530252</v>
      </c>
      <c r="S100" s="194">
        <f>R100</f>
        <v>0.25937502036530252</v>
      </c>
      <c r="T100" s="194">
        <f t="shared" si="52"/>
        <v>0.35937502036530256</v>
      </c>
      <c r="U100" s="194">
        <f t="shared" si="52"/>
        <v>0.55937502036530251</v>
      </c>
      <c r="V100" s="194">
        <f t="shared" si="52"/>
        <v>0.80937502036530251</v>
      </c>
      <c r="W100" s="194">
        <f t="shared" si="52"/>
        <v>1</v>
      </c>
      <c r="X100" s="194">
        <f t="shared" si="52"/>
        <v>1</v>
      </c>
      <c r="Y100" s="194">
        <f t="shared" si="52"/>
        <v>1</v>
      </c>
      <c r="AA100" s="197"/>
      <c r="AB100" s="194"/>
      <c r="AC100" s="194">
        <f t="shared" si="53"/>
        <v>0.25428923565225736</v>
      </c>
      <c r="AD100" s="196">
        <f t="shared" si="54"/>
        <v>0.24666055858268962</v>
      </c>
      <c r="AE100" s="196">
        <f t="shared" si="54"/>
        <v>0.22886031208703164</v>
      </c>
      <c r="AF100" s="196">
        <f t="shared" si="54"/>
        <v>0.17800246495658015</v>
      </c>
      <c r="AG100" s="196">
        <f t="shared" si="54"/>
        <v>0.11443015604351582</v>
      </c>
      <c r="AH100" s="196">
        <f t="shared" si="54"/>
        <v>3.81433853478386E-2</v>
      </c>
      <c r="AI100" s="196">
        <f t="shared" si="54"/>
        <v>1.2714461782612868E-2</v>
      </c>
      <c r="AJ100" s="196">
        <f t="shared" si="54"/>
        <v>0</v>
      </c>
      <c r="AK100" s="115">
        <f t="shared" si="25"/>
        <v>37</v>
      </c>
      <c r="AQ100" s="187" t="s">
        <v>575</v>
      </c>
      <c r="AR100" s="115" t="s">
        <v>636</v>
      </c>
      <c r="AS100" s="137" t="s">
        <v>637</v>
      </c>
      <c r="AT100" s="115" t="s">
        <v>421</v>
      </c>
      <c r="AU100" s="115" t="s">
        <v>436</v>
      </c>
      <c r="AV100" s="115" t="s">
        <v>592</v>
      </c>
    </row>
    <row r="101" spans="1:48" ht="13.8">
      <c r="A101" s="137" t="str">
        <f>A$51&amp;" - "&amp;VLOOKUP(RIGHT(C101,3),[12]NameConv!$E$3:$F$16,2,FALSE)&amp;" - New"</f>
        <v>Commercial - Water Heating - Electricity - New</v>
      </c>
      <c r="B101" s="137" t="str">
        <f>D101&amp;RIGHT(C101,3)&amp;"-N"</f>
        <v>CEWELC-N</v>
      </c>
      <c r="C101" s="138" t="str">
        <f>$E$9</f>
        <v>COMELC</v>
      </c>
      <c r="D101" s="138" t="str">
        <f>$B$51</f>
        <v>CEW</v>
      </c>
      <c r="E101" s="188">
        <f>(0.97/0.96)*E96</f>
        <v>1.0104166666666667</v>
      </c>
      <c r="F101" s="189" t="e">
        <f>SUMIF([12]AFA!$B$3:$S$3,D101,[12]AFA!$B$4:$J$4)</f>
        <v>#VALUE!</v>
      </c>
      <c r="G101" s="190">
        <v>14</v>
      </c>
      <c r="H101" s="191"/>
      <c r="I101" s="191" t="e">
        <f>I96</f>
        <v>#VALUE!</v>
      </c>
      <c r="J101" s="191" t="e">
        <f>I101*0.1</f>
        <v>#VALUE!</v>
      </c>
      <c r="K101" s="115">
        <v>0</v>
      </c>
      <c r="L101" s="192">
        <v>0</v>
      </c>
      <c r="M101" s="191">
        <v>0</v>
      </c>
      <c r="N101" s="191">
        <v>0</v>
      </c>
      <c r="O101" s="197"/>
      <c r="Q101" s="194"/>
      <c r="R101" s="194">
        <f t="shared" si="51"/>
        <v>0</v>
      </c>
      <c r="S101" s="194">
        <f t="shared" ref="S101:S102" si="58">MIN(1,$R101+S$55)</f>
        <v>0.03</v>
      </c>
      <c r="T101" s="194">
        <f t="shared" si="52"/>
        <v>0.1</v>
      </c>
      <c r="U101" s="194">
        <f t="shared" si="52"/>
        <v>0.3</v>
      </c>
      <c r="V101" s="194">
        <f t="shared" si="52"/>
        <v>0.55000000000000004</v>
      </c>
      <c r="W101" s="194">
        <f t="shared" si="52"/>
        <v>0.85</v>
      </c>
      <c r="X101" s="194">
        <f t="shared" si="52"/>
        <v>0.95</v>
      </c>
      <c r="Y101" s="194">
        <f t="shared" si="52"/>
        <v>1</v>
      </c>
      <c r="AA101" s="197"/>
      <c r="AB101" s="194"/>
      <c r="AC101" s="194">
        <f t="shared" si="53"/>
        <v>0</v>
      </c>
      <c r="AD101" s="196">
        <f t="shared" si="54"/>
        <v>0</v>
      </c>
      <c r="AE101" s="196">
        <f t="shared" si="54"/>
        <v>0</v>
      </c>
      <c r="AF101" s="196">
        <f t="shared" si="54"/>
        <v>0</v>
      </c>
      <c r="AG101" s="196">
        <f t="shared" si="54"/>
        <v>0</v>
      </c>
      <c r="AH101" s="196">
        <f t="shared" si="54"/>
        <v>0</v>
      </c>
      <c r="AI101" s="196">
        <f t="shared" si="54"/>
        <v>0</v>
      </c>
      <c r="AJ101" s="196">
        <f t="shared" si="54"/>
        <v>0</v>
      </c>
      <c r="AK101" s="115">
        <f t="shared" si="25"/>
        <v>38</v>
      </c>
      <c r="AQ101" s="187" t="s">
        <v>575</v>
      </c>
      <c r="AR101" s="115" t="s">
        <v>638</v>
      </c>
      <c r="AS101" s="137" t="s">
        <v>639</v>
      </c>
      <c r="AT101" s="115" t="s">
        <v>421</v>
      </c>
      <c r="AU101" s="115" t="s">
        <v>436</v>
      </c>
      <c r="AV101" s="115" t="s">
        <v>485</v>
      </c>
    </row>
    <row r="102" spans="1:48" ht="13.8">
      <c r="A102" s="137" t="str">
        <f>A$51&amp;" - "&amp;VLOOKUP(RIGHT(C102,3),[12]NameConv!$E$3:$F$16,2,FALSE)&amp;" - HP - New"</f>
        <v>Commercial - Water Heating - Electricity - HP - New</v>
      </c>
      <c r="B102" s="137" t="str">
        <f>D102&amp;RIGHT(C102,3)&amp;"HP-N"</f>
        <v>CEWELCHP-N</v>
      </c>
      <c r="C102" s="138" t="str">
        <f t="shared" ref="C102" si="59">$E$9</f>
        <v>COMELC</v>
      </c>
      <c r="D102" s="138" t="str">
        <f>$B$51</f>
        <v>CEW</v>
      </c>
      <c r="E102" s="188">
        <v>2.2599999999999998</v>
      </c>
      <c r="F102" s="189" t="e">
        <f>SUMIF([12]AFA!$B$3:$S$3,D102,[12]AFA!$B$4:$J$4)</f>
        <v>#VALUE!</v>
      </c>
      <c r="G102" s="190">
        <v>10</v>
      </c>
      <c r="H102" s="191"/>
      <c r="I102" s="191" t="e">
        <f>I96*3</f>
        <v>#VALUE!</v>
      </c>
      <c r="J102" s="191" t="e">
        <f>I102*0.1</f>
        <v>#VALUE!</v>
      </c>
      <c r="K102" s="115">
        <v>0</v>
      </c>
      <c r="L102" s="192">
        <v>0</v>
      </c>
      <c r="M102" s="191">
        <v>0</v>
      </c>
      <c r="N102" s="191">
        <v>0</v>
      </c>
      <c r="O102" s="197"/>
      <c r="Q102" s="194"/>
      <c r="R102" s="194">
        <f t="shared" si="51"/>
        <v>0</v>
      </c>
      <c r="S102" s="194">
        <f t="shared" si="58"/>
        <v>0.03</v>
      </c>
      <c r="T102" s="194">
        <f t="shared" si="52"/>
        <v>0.1</v>
      </c>
      <c r="U102" s="194">
        <f t="shared" si="52"/>
        <v>0.3</v>
      </c>
      <c r="V102" s="194">
        <f t="shared" si="52"/>
        <v>0.55000000000000004</v>
      </c>
      <c r="W102" s="194">
        <f t="shared" si="52"/>
        <v>0.85</v>
      </c>
      <c r="X102" s="194">
        <f t="shared" si="52"/>
        <v>0.95</v>
      </c>
      <c r="Y102" s="194">
        <f t="shared" si="52"/>
        <v>1</v>
      </c>
      <c r="AA102" s="197"/>
      <c r="AB102" s="194"/>
      <c r="AC102" s="194">
        <f t="shared" si="53"/>
        <v>0</v>
      </c>
      <c r="AD102" s="196">
        <f t="shared" si="54"/>
        <v>0</v>
      </c>
      <c r="AE102" s="196">
        <f t="shared" si="54"/>
        <v>0</v>
      </c>
      <c r="AF102" s="196">
        <f t="shared" si="54"/>
        <v>0</v>
      </c>
      <c r="AG102" s="196">
        <f t="shared" si="54"/>
        <v>0</v>
      </c>
      <c r="AH102" s="196">
        <f t="shared" si="54"/>
        <v>0</v>
      </c>
      <c r="AI102" s="196">
        <f t="shared" si="54"/>
        <v>0</v>
      </c>
      <c r="AJ102" s="196">
        <f t="shared" si="54"/>
        <v>0</v>
      </c>
      <c r="AK102" s="115">
        <f t="shared" si="25"/>
        <v>39</v>
      </c>
      <c r="AQ102" s="187" t="s">
        <v>575</v>
      </c>
      <c r="AR102" s="115" t="s">
        <v>640</v>
      </c>
      <c r="AS102" s="137" t="s">
        <v>641</v>
      </c>
      <c r="AT102" s="115" t="s">
        <v>421</v>
      </c>
      <c r="AU102" s="115" t="s">
        <v>436</v>
      </c>
      <c r="AV102" s="115" t="s">
        <v>485</v>
      </c>
    </row>
    <row r="103" spans="1:48" ht="13.8">
      <c r="A103" s="199" t="s">
        <v>588</v>
      </c>
      <c r="F103" s="189"/>
      <c r="H103" s="191"/>
      <c r="I103" s="191"/>
      <c r="J103" s="191"/>
      <c r="L103" s="163"/>
      <c r="M103" s="203">
        <f>SUM(M96:M100)</f>
        <v>21.925554728373967</v>
      </c>
      <c r="N103" s="203">
        <f>SUM(N96:N100)</f>
        <v>14.392133809734325</v>
      </c>
      <c r="AK103" s="115">
        <f t="shared" si="25"/>
        <v>40</v>
      </c>
      <c r="AL103" s="115" t="str">
        <f>LEFT(B102,3)</f>
        <v>CEW</v>
      </c>
      <c r="AQ103" s="187" t="s">
        <v>476</v>
      </c>
    </row>
    <row r="104" spans="1:48" ht="13.8">
      <c r="A104" s="137" t="s">
        <v>642</v>
      </c>
      <c r="F104" s="189"/>
      <c r="H104" s="191"/>
      <c r="I104" s="191"/>
      <c r="J104" s="191"/>
      <c r="L104" s="163"/>
      <c r="M104" s="203"/>
      <c r="N104" s="203"/>
      <c r="AK104" s="115">
        <f t="shared" si="25"/>
        <v>41</v>
      </c>
      <c r="AQ104" s="187" t="s">
        <v>476</v>
      </c>
    </row>
    <row r="105" spans="1:48" ht="13.8">
      <c r="A105" s="137" t="str">
        <f>A$52&amp;" - "&amp;VLOOKUP(RIGHT(C105,3),[12]NameConv!$E$3:$F$16,2,FALSE)&amp;" - "&amp;LEFT([12]Appliances!B75,3)&amp;" - Existing"</f>
        <v>Commercial - Public Lights - Electricity - INC - Existing</v>
      </c>
      <c r="B105" s="137" t="str">
        <f t="shared" ref="B105:B109" si="60">D105&amp;RIGHT(C105,3)&amp;LEFT(RIGHT(A105,LEN("LIT - Existing")),3)&amp;"-E"</f>
        <v>CEGELCINC-E</v>
      </c>
      <c r="C105" s="138" t="str">
        <f t="shared" ref="C105:C110" si="61">$E$9</f>
        <v>COMELC</v>
      </c>
      <c r="D105" s="215" t="str">
        <f t="shared" ref="D105:D110" si="62">$B$52</f>
        <v>CEG</v>
      </c>
      <c r="E105" s="150">
        <f>[12]Appliances!J75</f>
        <v>1</v>
      </c>
      <c r="F105" s="189" t="e">
        <f>SUMIF([12]AFA!$B$3:$S$3,D105,[12]AFA!$B$4:$J$4)</f>
        <v>#VALUE!</v>
      </c>
      <c r="G105" s="190">
        <v>10</v>
      </c>
      <c r="H105" s="191" t="e">
        <f t="shared" ref="H105:H107" si="63">(N105/F105)*(1+$H$58)</f>
        <v>#VALUE!</v>
      </c>
      <c r="I105" s="216">
        <f>I88</f>
        <v>0.37569687335386637</v>
      </c>
      <c r="J105" s="216">
        <f t="shared" ref="J105:J109" si="64">I105*0.1</f>
        <v>3.756968733538664E-2</v>
      </c>
      <c r="K105" s="115">
        <v>0</v>
      </c>
      <c r="L105" s="217">
        <f>[12]Appliances!F75</f>
        <v>4.9630008962625594E-2</v>
      </c>
      <c r="M105" s="191">
        <f t="shared" ref="M105:M107" si="65">L105*SUMIF($C$9:$J$9,C105,$C$52:$J$52)</f>
        <v>0.13757398645870825</v>
      </c>
      <c r="N105" s="191">
        <f t="shared" ref="N105:N107" si="66">M105*E105</f>
        <v>0.13757398645870825</v>
      </c>
      <c r="O105" s="197"/>
      <c r="Q105" s="194"/>
      <c r="R105" s="194">
        <f t="shared" ref="R105:R110" si="67">N105/SUMIF($D$64:$D$124,$D105,$N$64:$N$124)*(1+$P$58)</f>
        <v>1.4671510186260122E-2</v>
      </c>
      <c r="S105" s="194">
        <f>R105</f>
        <v>1.4671510186260122E-2</v>
      </c>
      <c r="T105" s="194">
        <f t="shared" ref="T105:Y105" si="68">S105</f>
        <v>1.4671510186260122E-2</v>
      </c>
      <c r="U105" s="194">
        <f t="shared" si="68"/>
        <v>1.4671510186260122E-2</v>
      </c>
      <c r="V105" s="194">
        <f t="shared" si="68"/>
        <v>1.4671510186260122E-2</v>
      </c>
      <c r="W105" s="194">
        <f t="shared" si="68"/>
        <v>1.4671510186260122E-2</v>
      </c>
      <c r="X105" s="194">
        <f t="shared" si="68"/>
        <v>1.4671510186260122E-2</v>
      </c>
      <c r="Y105" s="194">
        <f t="shared" si="68"/>
        <v>1.4671510186260122E-2</v>
      </c>
      <c r="AA105" s="197"/>
      <c r="AB105" s="194"/>
      <c r="AC105" s="194">
        <v>0.01</v>
      </c>
      <c r="AD105" s="196">
        <f t="shared" ref="AD105:AJ110" si="69">$AC105*AD$55</f>
        <v>9.7000000000000003E-3</v>
      </c>
      <c r="AE105" s="196">
        <f t="shared" si="69"/>
        <v>9.0000000000000011E-3</v>
      </c>
      <c r="AF105" s="196">
        <f t="shared" si="69"/>
        <v>6.9999999999999993E-3</v>
      </c>
      <c r="AG105" s="196">
        <f t="shared" si="69"/>
        <v>4.5000000000000005E-3</v>
      </c>
      <c r="AH105" s="196">
        <f t="shared" si="69"/>
        <v>1.5E-3</v>
      </c>
      <c r="AI105" s="196">
        <f t="shared" si="69"/>
        <v>5.0000000000000001E-4</v>
      </c>
      <c r="AJ105" s="196">
        <f t="shared" si="69"/>
        <v>0</v>
      </c>
      <c r="AK105" s="115">
        <f t="shared" si="25"/>
        <v>42</v>
      </c>
      <c r="AQ105" s="187" t="s">
        <v>575</v>
      </c>
      <c r="AR105" s="115" t="s">
        <v>643</v>
      </c>
      <c r="AS105" s="137" t="s">
        <v>644</v>
      </c>
      <c r="AT105" s="115" t="s">
        <v>421</v>
      </c>
      <c r="AU105" s="115" t="s">
        <v>436</v>
      </c>
      <c r="AV105" s="115" t="s">
        <v>485</v>
      </c>
    </row>
    <row r="106" spans="1:48" ht="13.8">
      <c r="A106" s="137" t="str">
        <f>A$52&amp;" - "&amp;VLOOKUP(RIGHT(C106,3),[12]NameConv!$E$3:$F$16,2,FALSE)&amp;" - "&amp;LEFT([12]Appliances!B76,3)&amp;" - Existing"</f>
        <v>Commercial - Public Lights - Electricity - HAL - Existing</v>
      </c>
      <c r="B106" s="137" t="str">
        <f t="shared" si="60"/>
        <v>CEGELCHAL-E</v>
      </c>
      <c r="C106" s="138" t="str">
        <f t="shared" si="61"/>
        <v>COMELC</v>
      </c>
      <c r="D106" s="215" t="str">
        <f t="shared" si="62"/>
        <v>CEG</v>
      </c>
      <c r="E106" s="150">
        <f>[12]Appliances!J76</f>
        <v>2</v>
      </c>
      <c r="F106" s="189" t="e">
        <f>SUMIF([12]AFA!$B$3:$S$3,D106,[12]AFA!$B$4:$J$4)</f>
        <v>#VALUE!</v>
      </c>
      <c r="G106" s="190">
        <v>10</v>
      </c>
      <c r="H106" s="191" t="e">
        <f>(N106/F106)*(1+$H$58)</f>
        <v>#VALUE!</v>
      </c>
      <c r="I106" s="216">
        <f>I86</f>
        <v>1.0658202070873248</v>
      </c>
      <c r="J106" s="216">
        <f t="shared" si="64"/>
        <v>0.10658202070873249</v>
      </c>
      <c r="K106" s="115">
        <v>0</v>
      </c>
      <c r="L106" s="217">
        <f>[12]Appliances!F76</f>
        <v>4.9630008962625594E-2</v>
      </c>
      <c r="M106" s="191">
        <f t="shared" si="65"/>
        <v>0.13757398645870825</v>
      </c>
      <c r="N106" s="191">
        <f t="shared" si="66"/>
        <v>0.27514797291741649</v>
      </c>
      <c r="P106" s="197"/>
      <c r="Q106" s="194"/>
      <c r="R106" s="194">
        <f t="shared" si="67"/>
        <v>2.9343020372520245E-2</v>
      </c>
      <c r="S106" s="194">
        <f t="shared" ref="S106:Y110" si="70">MIN(1,$R106+S$55)</f>
        <v>5.9343020372520247E-2</v>
      </c>
      <c r="T106" s="194">
        <f t="shared" si="70"/>
        <v>0.12934302037252024</v>
      </c>
      <c r="U106" s="194">
        <f t="shared" si="70"/>
        <v>0.32934302037252022</v>
      </c>
      <c r="V106" s="194">
        <f t="shared" si="70"/>
        <v>0.57934302037252028</v>
      </c>
      <c r="W106" s="194">
        <f t="shared" si="70"/>
        <v>0.87934302037252021</v>
      </c>
      <c r="X106" s="194">
        <f t="shared" si="70"/>
        <v>0.97934302037252019</v>
      </c>
      <c r="Y106" s="194">
        <f t="shared" si="70"/>
        <v>1</v>
      </c>
      <c r="AA106" s="197"/>
      <c r="AB106" s="194"/>
      <c r="AC106" s="194">
        <f>R106/(1+$P$58+$AA$58)</f>
        <v>2.8767667031882594E-2</v>
      </c>
      <c r="AD106" s="196">
        <f t="shared" si="69"/>
        <v>2.7904637020926115E-2</v>
      </c>
      <c r="AE106" s="196">
        <f t="shared" si="69"/>
        <v>2.5890900328694334E-2</v>
      </c>
      <c r="AF106" s="196">
        <f t="shared" si="69"/>
        <v>2.0137366922317816E-2</v>
      </c>
      <c r="AG106" s="196">
        <f t="shared" si="69"/>
        <v>1.2945450164347167E-2</v>
      </c>
      <c r="AH106" s="196">
        <f t="shared" si="69"/>
        <v>4.3151500547823889E-3</v>
      </c>
      <c r="AI106" s="196">
        <f t="shared" si="69"/>
        <v>1.4383833515941298E-3</v>
      </c>
      <c r="AJ106" s="196">
        <f t="shared" si="69"/>
        <v>0</v>
      </c>
      <c r="AK106" s="115">
        <f t="shared" si="25"/>
        <v>43</v>
      </c>
      <c r="AQ106" s="187" t="s">
        <v>575</v>
      </c>
      <c r="AR106" s="115" t="s">
        <v>645</v>
      </c>
      <c r="AS106" s="137" t="s">
        <v>646</v>
      </c>
      <c r="AT106" s="115" t="s">
        <v>421</v>
      </c>
      <c r="AU106" s="115" t="s">
        <v>436</v>
      </c>
      <c r="AV106" s="115" t="s">
        <v>485</v>
      </c>
    </row>
    <row r="107" spans="1:48" ht="13.8">
      <c r="A107" s="137" t="str">
        <f>A$52&amp;" - "&amp;VLOOKUP(RIGHT(C107,3),[12]NameConv!$E$3:$F$16,2,FALSE)&amp;" - "&amp;LEFT([12]Appliances!B77,3)&amp;" - Existing"</f>
        <v>Commercial - Public Lights - Electricity - HPM - Existing</v>
      </c>
      <c r="B107" s="137" t="str">
        <f>D107&amp;RIGHT(C107,3)&amp;LEFT(RIGHT(A107,LEN("LIT - Existing")),3)&amp;"-E"</f>
        <v>CEGELCHPM-E</v>
      </c>
      <c r="C107" s="138" t="str">
        <f t="shared" si="61"/>
        <v>COMELC</v>
      </c>
      <c r="D107" s="215" t="str">
        <f t="shared" si="62"/>
        <v>CEG</v>
      </c>
      <c r="E107" s="150">
        <f>[12]Appliances!J77</f>
        <v>2.4</v>
      </c>
      <c r="F107" s="189" t="e">
        <f>SUMIF([12]AFA!$B$3:$S$3,D107,[12]AFA!$B$4:$J$4)</f>
        <v>#VALUE!</v>
      </c>
      <c r="G107" s="190">
        <v>10</v>
      </c>
      <c r="H107" s="191" t="e">
        <f t="shared" si="63"/>
        <v>#VALUE!</v>
      </c>
      <c r="I107" s="216">
        <f>I108</f>
        <v>1.0658202070873248</v>
      </c>
      <c r="J107" s="216">
        <f t="shared" si="64"/>
        <v>0.10658202070873249</v>
      </c>
      <c r="K107" s="115">
        <v>0</v>
      </c>
      <c r="L107" s="217">
        <f>[12]Appliances!F77</f>
        <v>0.62760781171717339</v>
      </c>
      <c r="M107" s="191">
        <f t="shared" si="65"/>
        <v>1.7397238162011832</v>
      </c>
      <c r="N107" s="191">
        <f t="shared" si="66"/>
        <v>4.1753371588828392</v>
      </c>
      <c r="P107" s="197"/>
      <c r="Q107" s="194"/>
      <c r="R107" s="194">
        <f t="shared" si="67"/>
        <v>0.44527677967670315</v>
      </c>
      <c r="S107" s="194">
        <f t="shared" si="70"/>
        <v>0.47527677967670312</v>
      </c>
      <c r="T107" s="194">
        <f t="shared" si="70"/>
        <v>0.54527677967670318</v>
      </c>
      <c r="U107" s="194">
        <f t="shared" si="70"/>
        <v>0.74527677967670314</v>
      </c>
      <c r="V107" s="194">
        <f t="shared" si="70"/>
        <v>0.99527677967670325</v>
      </c>
      <c r="W107" s="194">
        <f t="shared" si="70"/>
        <v>1</v>
      </c>
      <c r="X107" s="194">
        <f t="shared" si="70"/>
        <v>1</v>
      </c>
      <c r="Y107" s="194">
        <f t="shared" si="70"/>
        <v>1</v>
      </c>
      <c r="AA107" s="197"/>
      <c r="AB107" s="194"/>
      <c r="AC107" s="194">
        <f>R107/(1+$P$58+$AA$58)</f>
        <v>0.43654586242814031</v>
      </c>
      <c r="AD107" s="196">
        <f t="shared" si="69"/>
        <v>0.42344948655529607</v>
      </c>
      <c r="AE107" s="196">
        <f t="shared" si="69"/>
        <v>0.39289127618532627</v>
      </c>
      <c r="AF107" s="196">
        <f t="shared" si="69"/>
        <v>0.30558210369969818</v>
      </c>
      <c r="AG107" s="196">
        <f t="shared" si="69"/>
        <v>0.19644563809266313</v>
      </c>
      <c r="AH107" s="196">
        <f t="shared" si="69"/>
        <v>6.5481879364221049E-2</v>
      </c>
      <c r="AI107" s="196">
        <f t="shared" si="69"/>
        <v>2.1827293121407017E-2</v>
      </c>
      <c r="AJ107" s="196">
        <f t="shared" si="69"/>
        <v>0</v>
      </c>
      <c r="AK107" s="115">
        <f t="shared" si="25"/>
        <v>44</v>
      </c>
      <c r="AQ107" s="187" t="s">
        <v>575</v>
      </c>
      <c r="AR107" s="115" t="s">
        <v>647</v>
      </c>
      <c r="AS107" s="137" t="s">
        <v>648</v>
      </c>
      <c r="AT107" s="115" t="s">
        <v>421</v>
      </c>
      <c r="AU107" s="115" t="s">
        <v>436</v>
      </c>
      <c r="AV107" s="115" t="s">
        <v>485</v>
      </c>
    </row>
    <row r="108" spans="1:48" ht="13.8">
      <c r="A108" s="137" t="str">
        <f>A$52&amp;" - "&amp;VLOOKUP(RIGHT(C108,3),[12]NameConv!$E$3:$F$16,2,FALSE)&amp;" - "&amp;LEFT([12]Appliances!B78,3)&amp;" - Existing"</f>
        <v>Commercial - Public Lights - Electricity - HPS - Existing</v>
      </c>
      <c r="B108" s="137" t="str">
        <f t="shared" si="60"/>
        <v>CEGELCHPS-E</v>
      </c>
      <c r="C108" s="138" t="str">
        <f t="shared" si="61"/>
        <v>COMELC</v>
      </c>
      <c r="D108" s="215" t="str">
        <f t="shared" si="62"/>
        <v>CEG</v>
      </c>
      <c r="E108" s="150">
        <f>[12]Appliances!J78</f>
        <v>6.5</v>
      </c>
      <c r="F108" s="189" t="e">
        <f>SUMIF([12]AFA!$B$3:$S$3,D108,[12]AFA!$B$4:$J$4)</f>
        <v>#VALUE!</v>
      </c>
      <c r="G108" s="190">
        <v>12</v>
      </c>
      <c r="H108" s="191" t="e">
        <f>(N108/F108)*(1+$H$58)</f>
        <v>#VALUE!</v>
      </c>
      <c r="I108" s="216">
        <f>I86</f>
        <v>1.0658202070873248</v>
      </c>
      <c r="J108" s="216">
        <f t="shared" si="64"/>
        <v>0.10658202070873249</v>
      </c>
      <c r="K108" s="115">
        <v>0</v>
      </c>
      <c r="L108" s="217">
        <f>[12]Appliances!F78</f>
        <v>0.26384331575196845</v>
      </c>
      <c r="M108" s="191">
        <f>L108*SUMIF($C$9:$J$9,C108,$C$52:$J$52)</f>
        <v>0.73137155336434789</v>
      </c>
      <c r="N108" s="191">
        <f>M108*E108</f>
        <v>4.7539150968682611</v>
      </c>
      <c r="P108" s="197"/>
      <c r="Q108" s="194"/>
      <c r="R108" s="194">
        <f t="shared" si="67"/>
        <v>0.50697893957774143</v>
      </c>
      <c r="S108" s="194">
        <f t="shared" si="70"/>
        <v>0.53697893957774145</v>
      </c>
      <c r="T108" s="194">
        <f t="shared" si="70"/>
        <v>0.60697893957774141</v>
      </c>
      <c r="U108" s="194">
        <f t="shared" si="70"/>
        <v>0.80697893957774136</v>
      </c>
      <c r="V108" s="194">
        <f t="shared" si="70"/>
        <v>1</v>
      </c>
      <c r="W108" s="194">
        <f t="shared" si="70"/>
        <v>1</v>
      </c>
      <c r="X108" s="194">
        <f t="shared" si="70"/>
        <v>1</v>
      </c>
      <c r="Y108" s="194">
        <f t="shared" si="70"/>
        <v>1</v>
      </c>
      <c r="AA108" s="197"/>
      <c r="AB108" s="194"/>
      <c r="AC108" s="194">
        <f>R108/(1+$P$58+$AA$58)</f>
        <v>0.49703817605660922</v>
      </c>
      <c r="AD108" s="196">
        <f t="shared" si="69"/>
        <v>0.48212703077491093</v>
      </c>
      <c r="AE108" s="196">
        <f t="shared" si="69"/>
        <v>0.44733435845094832</v>
      </c>
      <c r="AF108" s="196">
        <f t="shared" si="69"/>
        <v>0.34792672323962642</v>
      </c>
      <c r="AG108" s="196">
        <f t="shared" si="69"/>
        <v>0.22366717922547416</v>
      </c>
      <c r="AH108" s="196">
        <f t="shared" si="69"/>
        <v>7.4555726408491382E-2</v>
      </c>
      <c r="AI108" s="196">
        <f t="shared" si="69"/>
        <v>2.4851908802830461E-2</v>
      </c>
      <c r="AJ108" s="196">
        <f t="shared" si="69"/>
        <v>0</v>
      </c>
      <c r="AK108" s="115">
        <f t="shared" si="25"/>
        <v>45</v>
      </c>
      <c r="AQ108" s="187" t="s">
        <v>575</v>
      </c>
      <c r="AR108" s="115" t="s">
        <v>649</v>
      </c>
      <c r="AS108" s="137" t="s">
        <v>650</v>
      </c>
      <c r="AT108" s="115" t="s">
        <v>421</v>
      </c>
      <c r="AU108" s="115" t="s">
        <v>436</v>
      </c>
      <c r="AV108" s="115" t="s">
        <v>485</v>
      </c>
    </row>
    <row r="109" spans="1:48" ht="13.8">
      <c r="A109" s="137" t="str">
        <f>A$52&amp;" - "&amp;VLOOKUP(RIGHT(C109,3),[12]NameConv!$E$3:$F$16,2,FALSE)&amp;" - "&amp;LEFT([12]Appliances!B79,3)&amp;" - Existing"</f>
        <v>Commercial - Public Lights - Electricity - MHL - Existing</v>
      </c>
      <c r="B109" s="137" t="str">
        <f t="shared" si="60"/>
        <v>CEGELCMHL-E</v>
      </c>
      <c r="C109" s="138" t="str">
        <f t="shared" si="61"/>
        <v>COMELC</v>
      </c>
      <c r="D109" s="215" t="str">
        <f t="shared" si="62"/>
        <v>CEG</v>
      </c>
      <c r="E109" s="150">
        <f>[12]Appliances!J79</f>
        <v>5</v>
      </c>
      <c r="F109" s="189" t="e">
        <f>SUMIF([12]AFA!$B$3:$S$3,D109,[12]AFA!$B$4:$J$4)</f>
        <v>#VALUE!</v>
      </c>
      <c r="G109" s="190">
        <v>10</v>
      </c>
      <c r="H109" s="191" t="e">
        <f t="shared" ref="H109" si="71">(N109/F109)*(1+$H$58)</f>
        <v>#VALUE!</v>
      </c>
      <c r="I109" s="216">
        <f>I87</f>
        <v>0.43103023080737402</v>
      </c>
      <c r="J109" s="216">
        <f t="shared" si="64"/>
        <v>4.3103023080737407E-2</v>
      </c>
      <c r="K109" s="115">
        <v>0</v>
      </c>
      <c r="L109" s="217">
        <f>[12]Appliances!F79</f>
        <v>9.2888546056069232E-3</v>
      </c>
      <c r="M109" s="191">
        <f t="shared" ref="M109:M110" si="72">L109*SUMIF($C$9:$J$9,C109,$C$52:$J$52)</f>
        <v>2.5748630404056873E-2</v>
      </c>
      <c r="N109" s="191">
        <f t="shared" ref="N109:N110" si="73">M109*E109</f>
        <v>0.12874315202028436</v>
      </c>
      <c r="P109" s="197"/>
      <c r="Q109" s="194"/>
      <c r="R109" s="194">
        <f t="shared" si="67"/>
        <v>1.3729750186775047E-2</v>
      </c>
      <c r="S109" s="194">
        <f t="shared" si="70"/>
        <v>4.3729750186775045E-2</v>
      </c>
      <c r="T109" s="194">
        <f t="shared" si="70"/>
        <v>0.11372975018677506</v>
      </c>
      <c r="U109" s="194">
        <f t="shared" si="70"/>
        <v>0.31372975018677501</v>
      </c>
      <c r="V109" s="194">
        <f t="shared" si="70"/>
        <v>0.56372975018677507</v>
      </c>
      <c r="W109" s="194">
        <f t="shared" si="70"/>
        <v>0.863729750186775</v>
      </c>
      <c r="X109" s="194">
        <f t="shared" si="70"/>
        <v>0.96372975018677498</v>
      </c>
      <c r="Y109" s="194">
        <f t="shared" si="70"/>
        <v>1</v>
      </c>
      <c r="AA109" s="197"/>
      <c r="AB109" s="194"/>
      <c r="AC109" s="194">
        <f>R109/(1+$P$58+$AA$58)</f>
        <v>1.3460539398799065E-2</v>
      </c>
      <c r="AD109" s="196">
        <f t="shared" si="69"/>
        <v>1.3056723216835093E-2</v>
      </c>
      <c r="AE109" s="196">
        <f t="shared" si="69"/>
        <v>1.2114485458919159E-2</v>
      </c>
      <c r="AF109" s="196">
        <f t="shared" si="69"/>
        <v>9.4223775791593446E-3</v>
      </c>
      <c r="AG109" s="196">
        <f t="shared" si="69"/>
        <v>6.0572427294595796E-3</v>
      </c>
      <c r="AH109" s="196">
        <f t="shared" si="69"/>
        <v>2.0190809098198596E-3</v>
      </c>
      <c r="AI109" s="196">
        <f t="shared" si="69"/>
        <v>6.730269699399533E-4</v>
      </c>
      <c r="AJ109" s="196">
        <f t="shared" si="69"/>
        <v>0</v>
      </c>
      <c r="AK109" s="115">
        <f t="shared" si="25"/>
        <v>46</v>
      </c>
      <c r="AQ109" s="187" t="s">
        <v>575</v>
      </c>
      <c r="AR109" s="115" t="s">
        <v>651</v>
      </c>
      <c r="AS109" s="137" t="s">
        <v>652</v>
      </c>
      <c r="AT109" s="115" t="s">
        <v>421</v>
      </c>
      <c r="AU109" s="115" t="s">
        <v>436</v>
      </c>
      <c r="AV109" s="115" t="s">
        <v>485</v>
      </c>
    </row>
    <row r="110" spans="1:48" ht="13.8">
      <c r="A110" s="137" t="str">
        <f>A$52&amp;" - "&amp;VLOOKUP(RIGHT(C110,3),[12]NameConv!$E$3:$F$16,2,FALSE)&amp;" - "&amp;LEFT([12]Appliances!B80,3)&amp;" - New"</f>
        <v>Commercial - Public Lights - Electricity - LED - New</v>
      </c>
      <c r="B110" s="137" t="str">
        <f t="shared" ref="B110" si="74">D110&amp;RIGHT(C110,3)&amp;LEFT(RIGHT(A110,LEN("LIT - NEW")),3)&amp;"-N"</f>
        <v>CEGELCLED-N</v>
      </c>
      <c r="C110" s="138" t="str">
        <f t="shared" si="61"/>
        <v>COMELC</v>
      </c>
      <c r="D110" s="215" t="str">
        <f t="shared" si="62"/>
        <v>CEG</v>
      </c>
      <c r="E110" s="150">
        <f>[12]Appliances!J80</f>
        <v>9.8000000000000007</v>
      </c>
      <c r="F110" s="189" t="e">
        <f>SUMIF([12]AFA!$B$3:$S$3,D110,[12]AFA!$B$4:$J$4)</f>
        <v>#VALUE!</v>
      </c>
      <c r="G110" s="190">
        <v>10</v>
      </c>
      <c r="H110" s="191"/>
      <c r="I110" s="191">
        <f>I89</f>
        <v>6.9235566660926731</v>
      </c>
      <c r="J110" s="191">
        <f>I110*0.1</f>
        <v>0.6923556666092674</v>
      </c>
      <c r="K110" s="115">
        <v>0</v>
      </c>
      <c r="L110" s="217">
        <v>0</v>
      </c>
      <c r="M110" s="191">
        <f t="shared" si="72"/>
        <v>0</v>
      </c>
      <c r="N110" s="191">
        <f t="shared" si="73"/>
        <v>0</v>
      </c>
      <c r="P110" s="197"/>
      <c r="Q110" s="194"/>
      <c r="R110" s="194">
        <f t="shared" si="67"/>
        <v>0</v>
      </c>
      <c r="S110" s="194">
        <f t="shared" si="70"/>
        <v>0.03</v>
      </c>
      <c r="T110" s="194">
        <f t="shared" si="70"/>
        <v>0.1</v>
      </c>
      <c r="U110" s="194">
        <f t="shared" si="70"/>
        <v>0.3</v>
      </c>
      <c r="V110" s="194">
        <f t="shared" si="70"/>
        <v>0.55000000000000004</v>
      </c>
      <c r="W110" s="194">
        <f t="shared" si="70"/>
        <v>0.85</v>
      </c>
      <c r="X110" s="194">
        <f t="shared" si="70"/>
        <v>0.95</v>
      </c>
      <c r="Y110" s="194">
        <f t="shared" si="70"/>
        <v>1</v>
      </c>
      <c r="AA110" s="197"/>
      <c r="AB110" s="194"/>
      <c r="AC110" s="194">
        <f>R110/(1+$P$58+$AA$58)</f>
        <v>0</v>
      </c>
      <c r="AD110" s="196">
        <f t="shared" si="69"/>
        <v>0</v>
      </c>
      <c r="AE110" s="196">
        <f t="shared" si="69"/>
        <v>0</v>
      </c>
      <c r="AF110" s="196">
        <f t="shared" si="69"/>
        <v>0</v>
      </c>
      <c r="AG110" s="196">
        <f t="shared" si="69"/>
        <v>0</v>
      </c>
      <c r="AH110" s="196">
        <f t="shared" si="69"/>
        <v>0</v>
      </c>
      <c r="AI110" s="196">
        <f t="shared" si="69"/>
        <v>0</v>
      </c>
      <c r="AJ110" s="196">
        <f t="shared" si="69"/>
        <v>0</v>
      </c>
      <c r="AK110" s="115">
        <f t="shared" si="25"/>
        <v>47</v>
      </c>
      <c r="AQ110" s="187" t="s">
        <v>575</v>
      </c>
      <c r="AR110" s="115" t="s">
        <v>653</v>
      </c>
      <c r="AS110" s="137" t="s">
        <v>654</v>
      </c>
      <c r="AT110" s="115" t="s">
        <v>421</v>
      </c>
      <c r="AU110" s="115" t="s">
        <v>436</v>
      </c>
      <c r="AV110" s="115" t="s">
        <v>485</v>
      </c>
    </row>
    <row r="111" spans="1:48" ht="13.8">
      <c r="A111" s="199" t="s">
        <v>588</v>
      </c>
      <c r="B111" s="137"/>
      <c r="C111" s="138"/>
      <c r="D111" s="215"/>
      <c r="E111" s="150"/>
      <c r="F111" s="189"/>
      <c r="G111" s="190"/>
      <c r="H111" s="191"/>
      <c r="I111" s="191"/>
      <c r="J111" s="191"/>
      <c r="L111" s="217"/>
      <c r="M111" s="203">
        <f>SUM(M105:M109)</f>
        <v>2.7719919728870046</v>
      </c>
      <c r="N111" s="203">
        <f>SUM(N105:N109)</f>
        <v>9.4707173671475093</v>
      </c>
      <c r="P111" s="197"/>
      <c r="Q111" s="194"/>
      <c r="R111" s="194"/>
      <c r="S111" s="194"/>
      <c r="T111" s="194"/>
      <c r="U111" s="194"/>
      <c r="V111" s="194"/>
      <c r="W111" s="194"/>
      <c r="X111" s="194"/>
      <c r="Y111" s="194"/>
      <c r="AA111" s="197"/>
      <c r="AB111" s="194"/>
      <c r="AC111" s="194"/>
      <c r="AD111" s="194"/>
      <c r="AE111" s="194"/>
      <c r="AF111" s="194"/>
      <c r="AG111" s="194"/>
      <c r="AH111" s="194"/>
      <c r="AI111" s="194"/>
      <c r="AJ111" s="194"/>
      <c r="AK111" s="115">
        <f t="shared" si="25"/>
        <v>48</v>
      </c>
      <c r="AL111" s="115" t="str">
        <f>LEFT(B110,3)</f>
        <v>CEG</v>
      </c>
      <c r="AQ111" s="187" t="s">
        <v>476</v>
      </c>
      <c r="AS111" s="137"/>
    </row>
    <row r="112" spans="1:48" ht="13.8">
      <c r="A112" s="137" t="s">
        <v>655</v>
      </c>
      <c r="B112" s="137"/>
      <c r="D112" s="215"/>
      <c r="F112" s="189"/>
      <c r="H112" s="191"/>
      <c r="I112" s="191"/>
      <c r="J112" s="191"/>
      <c r="L112" s="163"/>
      <c r="M112" s="203"/>
      <c r="N112" s="203"/>
      <c r="AK112" s="115">
        <f t="shared" si="25"/>
        <v>49</v>
      </c>
      <c r="AQ112" s="187" t="s">
        <v>476</v>
      </c>
      <c r="AS112" s="137"/>
    </row>
    <row r="113" spans="1:48" ht="13.8">
      <c r="A113" s="137" t="str">
        <f>A$53&amp;" - "&amp;VLOOKUP(RIGHT(C113,3),[12]NameConv!$E$3:$F$16,2,FALSE)&amp;" - "&amp;LEFT([12]Appliances!B83,3)&amp;" - Existing"</f>
        <v>Commercial - Public Water - Electricity -  - Existing</v>
      </c>
      <c r="B113" s="137" t="str">
        <f>D113&amp;RIGHT(C113,3)&amp;"-E"</f>
        <v>CETELC-E</v>
      </c>
      <c r="C113" s="138" t="str">
        <f>$E$9</f>
        <v>COMELC</v>
      </c>
      <c r="D113" s="215" t="str">
        <f>$B$53</f>
        <v>CET</v>
      </c>
      <c r="E113" s="115">
        <v>1</v>
      </c>
      <c r="F113" s="189" t="e">
        <f>SUMIF([12]AFA!$B$3:$S$3,D113,[12]AFA!$B$4:$J$4)</f>
        <v>#VALUE!</v>
      </c>
      <c r="G113" s="190">
        <v>15</v>
      </c>
      <c r="H113" s="191" t="e">
        <f>(N113/F113)*(1+$H$58)</f>
        <v>#VALUE!</v>
      </c>
      <c r="I113" s="191">
        <v>100</v>
      </c>
      <c r="J113" s="191">
        <f>0.1*I113</f>
        <v>10</v>
      </c>
      <c r="K113" s="115">
        <v>0</v>
      </c>
      <c r="L113" s="163">
        <f>[12]Appliances!F50</f>
        <v>1</v>
      </c>
      <c r="M113" s="191">
        <f>L113*SUMIF($C$9:$J$9,C113,$C$53:$J$53)</f>
        <v>3.2726019758762139</v>
      </c>
      <c r="N113" s="191">
        <f>M113*E113</f>
        <v>3.2726019758762139</v>
      </c>
      <c r="P113" s="197"/>
      <c r="Q113" s="194"/>
      <c r="R113" s="194">
        <f>N113/SUMIF($D$64:$D$124,$D113,$N$64:$N$124)*(1+$P$58)</f>
        <v>1.01</v>
      </c>
      <c r="S113" s="194">
        <f t="shared" ref="S113" si="75">MIN(1,$R113+S$55)</f>
        <v>1</v>
      </c>
      <c r="T113" s="214">
        <f>MIN(1,$R113+T$56)</f>
        <v>1</v>
      </c>
      <c r="U113" s="214">
        <f t="shared" ref="U113:Y113" si="76">MIN(1,$R113+U$56)</f>
        <v>1</v>
      </c>
      <c r="V113" s="214">
        <f t="shared" si="76"/>
        <v>1</v>
      </c>
      <c r="W113" s="214">
        <f t="shared" si="76"/>
        <v>1</v>
      </c>
      <c r="X113" s="214">
        <f t="shared" si="76"/>
        <v>1</v>
      </c>
      <c r="Y113" s="214">
        <f t="shared" si="76"/>
        <v>1</v>
      </c>
      <c r="AA113" s="197"/>
      <c r="AB113" s="194"/>
      <c r="AC113" s="194">
        <f>R113/(1+$P$58+$AA$58)</f>
        <v>0.99019607843137258</v>
      </c>
      <c r="AD113" s="194">
        <f t="shared" ref="AD113:AI113" si="77">$AC113*AD$55</f>
        <v>0.96049019607843134</v>
      </c>
      <c r="AE113" s="194">
        <f t="shared" si="77"/>
        <v>0.89117647058823535</v>
      </c>
      <c r="AF113" s="194">
        <f t="shared" si="77"/>
        <v>0.69313725490196076</v>
      </c>
      <c r="AG113" s="194">
        <f t="shared" si="77"/>
        <v>0.44558823529411767</v>
      </c>
      <c r="AH113" s="194">
        <f t="shared" si="77"/>
        <v>0.14852941176470588</v>
      </c>
      <c r="AI113" s="194">
        <f t="shared" si="77"/>
        <v>4.9509803921568632E-2</v>
      </c>
      <c r="AJ113" s="194">
        <f>$AA113*AJ$55</f>
        <v>0</v>
      </c>
      <c r="AK113" s="115">
        <f t="shared" si="25"/>
        <v>50</v>
      </c>
      <c r="AQ113" s="187" t="s">
        <v>575</v>
      </c>
      <c r="AR113" s="115" t="s">
        <v>656</v>
      </c>
      <c r="AS113" s="137" t="s">
        <v>657</v>
      </c>
      <c r="AT113" s="115" t="s">
        <v>421</v>
      </c>
      <c r="AU113" s="115" t="s">
        <v>436</v>
      </c>
      <c r="AV113" s="115" t="s">
        <v>485</v>
      </c>
    </row>
    <row r="114" spans="1:48" ht="13.8">
      <c r="A114" s="199" t="s">
        <v>588</v>
      </c>
      <c r="F114" s="189"/>
      <c r="H114" s="191"/>
      <c r="I114" s="191"/>
      <c r="J114" s="191"/>
      <c r="L114" s="163"/>
      <c r="M114" s="203"/>
      <c r="N114" s="203"/>
      <c r="AK114" s="115">
        <f t="shared" si="25"/>
        <v>51</v>
      </c>
      <c r="AL114" s="115" t="str">
        <f>LEFT(B113,3)</f>
        <v>CET</v>
      </c>
      <c r="AQ114" s="187" t="s">
        <v>476</v>
      </c>
    </row>
    <row r="115" spans="1:48" ht="13.8">
      <c r="A115" s="137" t="s">
        <v>658</v>
      </c>
      <c r="B115" s="137"/>
      <c r="C115" s="200"/>
      <c r="D115" s="200"/>
      <c r="E115" s="181"/>
      <c r="F115" s="189"/>
      <c r="G115" s="181"/>
      <c r="H115" s="191"/>
      <c r="I115" s="191"/>
      <c r="J115" s="191"/>
      <c r="K115" s="210"/>
      <c r="L115" s="175"/>
      <c r="M115" s="175"/>
      <c r="AK115" s="115">
        <f t="shared" si="25"/>
        <v>52</v>
      </c>
      <c r="AQ115" s="187" t="s">
        <v>476</v>
      </c>
      <c r="AS115" s="137"/>
    </row>
    <row r="116" spans="1:48" ht="13.8">
      <c r="A116" s="137" t="str">
        <f>A$54&amp;" - "&amp;VLOOKUP(RIGHT(C116,3),[12]NameConv!$E$3:$F$16,2,FALSE)&amp;" - Existing"</f>
        <v>Commercial - Other - Coal - Existing</v>
      </c>
      <c r="B116" s="137" t="str">
        <f t="shared" ref="B116:B122" si="78">D116&amp;RIGHT(C116,3)&amp;"-E"</f>
        <v>CEOCOA-E</v>
      </c>
      <c r="C116" s="138" t="str">
        <f>$C$9</f>
        <v>COMCOA</v>
      </c>
      <c r="D116" s="138" t="str">
        <f>$B$54</f>
        <v>CEO</v>
      </c>
      <c r="E116" s="188">
        <f>[12]Appliances!J46</f>
        <v>1</v>
      </c>
      <c r="F116" s="189" t="e">
        <f>SUMIF([12]AFA!$B$3:$S$3,D116,[12]AFA!$B$4:$J$4)</f>
        <v>#VALUE!</v>
      </c>
      <c r="G116" s="190">
        <v>15</v>
      </c>
      <c r="H116" s="191" t="e">
        <f>(N116/F116)*(1+$H$58)</f>
        <v>#VALUE!</v>
      </c>
      <c r="I116" s="191" t="e">
        <f>SUMIF('[12]Technology costs'!$B$7:$B$28,COM_2017!B116,'[12]Technology costs'!$L$7:$L$28)</f>
        <v>#VALUE!</v>
      </c>
      <c r="J116" s="191" t="e">
        <f t="shared" si="24"/>
        <v>#VALUE!</v>
      </c>
      <c r="K116" s="115">
        <v>0</v>
      </c>
      <c r="L116" s="192">
        <f>[12]Appliances!F27</f>
        <v>1</v>
      </c>
      <c r="M116" s="191">
        <f t="shared" ref="M116:M122" si="79">L116*SUMIF($C$9:$J$9,C116,$C$54:$J$54)</f>
        <v>0</v>
      </c>
      <c r="N116" s="191">
        <f t="shared" ref="N116:N122" si="80">M116*E116</f>
        <v>0</v>
      </c>
      <c r="P116" s="197"/>
      <c r="Q116" s="194"/>
      <c r="R116" s="194">
        <f t="shared" ref="R116:R122" si="81">N116/SUMIF($D$64:$D$124,$D116,$N$64:$N$124)*(1+$P$58)</f>
        <v>0</v>
      </c>
      <c r="S116" s="204">
        <f>R116</f>
        <v>0</v>
      </c>
      <c r="T116" s="204">
        <v>0</v>
      </c>
      <c r="U116" s="204">
        <v>0</v>
      </c>
      <c r="V116" s="204">
        <v>0</v>
      </c>
      <c r="W116" s="204">
        <v>0</v>
      </c>
      <c r="X116" s="204">
        <v>0</v>
      </c>
      <c r="Y116" s="204">
        <v>0</v>
      </c>
      <c r="AA116" s="197"/>
      <c r="AB116" s="194"/>
      <c r="AC116" s="194">
        <f t="shared" ref="AC116:AC122" si="82">R116/(1+$P$58+$AA$58)</f>
        <v>0</v>
      </c>
      <c r="AD116" s="196">
        <f t="shared" ref="AD116:AJ122" si="83">$AC116*AD$55</f>
        <v>0</v>
      </c>
      <c r="AE116" s="196">
        <f t="shared" si="83"/>
        <v>0</v>
      </c>
      <c r="AF116" s="196">
        <f t="shared" si="83"/>
        <v>0</v>
      </c>
      <c r="AG116" s="196">
        <f t="shared" si="83"/>
        <v>0</v>
      </c>
      <c r="AH116" s="196">
        <f t="shared" si="83"/>
        <v>0</v>
      </c>
      <c r="AI116" s="196">
        <f t="shared" si="83"/>
        <v>0</v>
      </c>
      <c r="AJ116" s="196">
        <f t="shared" si="83"/>
        <v>0</v>
      </c>
      <c r="AK116" s="115">
        <f t="shared" si="25"/>
        <v>53</v>
      </c>
      <c r="AQ116" s="187" t="s">
        <v>575</v>
      </c>
      <c r="AR116" s="115" t="s">
        <v>659</v>
      </c>
      <c r="AS116" s="137" t="s">
        <v>660</v>
      </c>
      <c r="AT116" s="115" t="s">
        <v>421</v>
      </c>
      <c r="AU116" s="115" t="s">
        <v>436</v>
      </c>
      <c r="AV116" s="115" t="s">
        <v>592</v>
      </c>
    </row>
    <row r="117" spans="1:48" ht="13.8">
      <c r="A117" s="137" t="str">
        <f>A$54&amp;" - "&amp;VLOOKUP(RIGHT(C117,3),[12]NameConv!$E$3:$F$16,2,FALSE)&amp;" - Existing"</f>
        <v>Commercial - Other - Oil Diesel - Existing</v>
      </c>
      <c r="B117" s="137" t="str">
        <f t="shared" si="78"/>
        <v>CEOODS-E</v>
      </c>
      <c r="C117" s="138" t="str">
        <f>$D$9</f>
        <v>COMODS</v>
      </c>
      <c r="D117" s="138" t="str">
        <f t="shared" ref="D117:D122" si="84">$B$54</f>
        <v>CEO</v>
      </c>
      <c r="E117" s="188">
        <f>[12]Appliances!J47</f>
        <v>0.9</v>
      </c>
      <c r="F117" s="189" t="e">
        <f>SUMIF([12]AFA!$B$3:$S$3,D117,[12]AFA!$B$4:$J$4)</f>
        <v>#VALUE!</v>
      </c>
      <c r="G117" s="190">
        <v>15</v>
      </c>
      <c r="H117" s="191" t="e">
        <f t="shared" ref="H117:H122" si="85">(N117/F117)*(1+$H$58)</f>
        <v>#VALUE!</v>
      </c>
      <c r="I117" s="191" t="e">
        <f>SUMIF('[12]Technology costs'!$B$7:$B$28,COM_2017!B117,'[12]Technology costs'!$L$7:$L$28)</f>
        <v>#VALUE!</v>
      </c>
      <c r="J117" s="191" t="e">
        <f t="shared" si="24"/>
        <v>#VALUE!</v>
      </c>
      <c r="K117" s="115">
        <v>0</v>
      </c>
      <c r="L117" s="192">
        <f>[12]Appliances!F27</f>
        <v>1</v>
      </c>
      <c r="M117" s="191">
        <f t="shared" si="79"/>
        <v>1.1000000000000001</v>
      </c>
      <c r="N117" s="191">
        <f t="shared" si="80"/>
        <v>0.9900000000000001</v>
      </c>
      <c r="P117" s="197"/>
      <c r="Q117" s="194"/>
      <c r="R117" s="194">
        <f t="shared" si="81"/>
        <v>4.9502547141743784E-2</v>
      </c>
      <c r="S117" s="204">
        <f>R117</f>
        <v>4.9502547141743784E-2</v>
      </c>
      <c r="T117" s="204">
        <f t="shared" ref="T117:Y117" si="86">S117</f>
        <v>4.9502547141743784E-2</v>
      </c>
      <c r="U117" s="204">
        <f t="shared" si="86"/>
        <v>4.9502547141743784E-2</v>
      </c>
      <c r="V117" s="204">
        <f t="shared" si="86"/>
        <v>4.9502547141743784E-2</v>
      </c>
      <c r="W117" s="204">
        <f t="shared" si="86"/>
        <v>4.9502547141743784E-2</v>
      </c>
      <c r="X117" s="204">
        <f t="shared" si="86"/>
        <v>4.9502547141743784E-2</v>
      </c>
      <c r="Y117" s="204">
        <f t="shared" si="86"/>
        <v>4.9502547141743784E-2</v>
      </c>
      <c r="AA117" s="197"/>
      <c r="AB117" s="194"/>
      <c r="AC117" s="194">
        <f t="shared" si="82"/>
        <v>4.8531908962493903E-2</v>
      </c>
      <c r="AD117" s="196">
        <f t="shared" si="83"/>
        <v>4.7075951693619084E-2</v>
      </c>
      <c r="AE117" s="196">
        <f t="shared" si="83"/>
        <v>4.3678718066244515E-2</v>
      </c>
      <c r="AF117" s="196">
        <f t="shared" si="83"/>
        <v>3.3972336273745726E-2</v>
      </c>
      <c r="AG117" s="196">
        <f t="shared" si="83"/>
        <v>2.1839359033122258E-2</v>
      </c>
      <c r="AH117" s="196">
        <f t="shared" si="83"/>
        <v>7.2797863443740847E-3</v>
      </c>
      <c r="AI117" s="196">
        <f t="shared" si="83"/>
        <v>2.4265954481246955E-3</v>
      </c>
      <c r="AJ117" s="196">
        <f t="shared" si="83"/>
        <v>0</v>
      </c>
      <c r="AK117" s="115">
        <f t="shared" si="25"/>
        <v>54</v>
      </c>
      <c r="AQ117" s="187" t="s">
        <v>575</v>
      </c>
      <c r="AR117" s="115" t="s">
        <v>661</v>
      </c>
      <c r="AS117" s="137" t="s">
        <v>662</v>
      </c>
      <c r="AT117" s="115" t="s">
        <v>421</v>
      </c>
      <c r="AU117" s="115" t="s">
        <v>436</v>
      </c>
      <c r="AV117" s="115" t="s">
        <v>592</v>
      </c>
    </row>
    <row r="118" spans="1:48" ht="13.8">
      <c r="A118" s="137" t="str">
        <f>A$54&amp;" - "&amp;VLOOKUP(RIGHT(C118,3),[12]NameConv!$E$3:$F$16,2,FALSE)&amp;" - Existing"</f>
        <v>Commercial - Other - Electricity - Existing</v>
      </c>
      <c r="B118" s="137" t="str">
        <f t="shared" si="78"/>
        <v>CEOELC-E</v>
      </c>
      <c r="C118" s="138" t="str">
        <f>$E$9</f>
        <v>COMELC</v>
      </c>
      <c r="D118" s="138" t="str">
        <f t="shared" si="84"/>
        <v>CEO</v>
      </c>
      <c r="E118" s="188">
        <f>[12]Appliances!J45</f>
        <v>0.75</v>
      </c>
      <c r="F118" s="189" t="e">
        <f>SUMIF([12]AFA!$B$3:$S$3,D118,[12]AFA!$B$4:$J$4)</f>
        <v>#VALUE!</v>
      </c>
      <c r="G118" s="190">
        <v>15</v>
      </c>
      <c r="H118" s="191" t="e">
        <f t="shared" si="85"/>
        <v>#VALUE!</v>
      </c>
      <c r="I118" s="191" t="e">
        <f>SUMIF('[12]Technology costs'!$B$7:$B$28,COM_2017!B118,'[12]Technology costs'!$L$7:$L$28)</f>
        <v>#VALUE!</v>
      </c>
      <c r="J118" s="191" t="e">
        <f t="shared" si="24"/>
        <v>#VALUE!</v>
      </c>
      <c r="K118" s="115">
        <v>0</v>
      </c>
      <c r="L118" s="192">
        <f>[12]Appliances!F27</f>
        <v>1</v>
      </c>
      <c r="M118" s="191">
        <f t="shared" si="79"/>
        <v>21.9452808184307</v>
      </c>
      <c r="N118" s="191">
        <f t="shared" si="80"/>
        <v>16.458960613823024</v>
      </c>
      <c r="P118" s="197"/>
      <c r="Q118" s="194"/>
      <c r="R118" s="194">
        <f t="shared" si="81"/>
        <v>0.82299037746452364</v>
      </c>
      <c r="S118" s="194">
        <f t="shared" ref="S118:Y118" si="87">MIN(1,$R118+S$55)</f>
        <v>0.85299037746452366</v>
      </c>
      <c r="T118" s="194">
        <f t="shared" si="87"/>
        <v>0.92299037746452361</v>
      </c>
      <c r="U118" s="194">
        <f t="shared" si="87"/>
        <v>1</v>
      </c>
      <c r="V118" s="194">
        <f t="shared" si="87"/>
        <v>1</v>
      </c>
      <c r="W118" s="194">
        <f t="shared" si="87"/>
        <v>1</v>
      </c>
      <c r="X118" s="194">
        <f t="shared" si="87"/>
        <v>1</v>
      </c>
      <c r="Y118" s="194">
        <f t="shared" si="87"/>
        <v>1</v>
      </c>
      <c r="AA118" s="197"/>
      <c r="AB118" s="194"/>
      <c r="AC118" s="194">
        <f t="shared" si="82"/>
        <v>0.80685331123972903</v>
      </c>
      <c r="AD118" s="196">
        <f t="shared" si="83"/>
        <v>0.78264771190253712</v>
      </c>
      <c r="AE118" s="196">
        <f t="shared" si="83"/>
        <v>0.72616798011575612</v>
      </c>
      <c r="AF118" s="196">
        <f t="shared" si="83"/>
        <v>0.56479731786781029</v>
      </c>
      <c r="AG118" s="196">
        <f t="shared" si="83"/>
        <v>0.36308399005787806</v>
      </c>
      <c r="AH118" s="196">
        <f t="shared" si="83"/>
        <v>0.12102799668595934</v>
      </c>
      <c r="AI118" s="196">
        <f t="shared" si="83"/>
        <v>4.0342665561986457E-2</v>
      </c>
      <c r="AJ118" s="196">
        <f t="shared" si="83"/>
        <v>0</v>
      </c>
      <c r="AK118" s="115">
        <f t="shared" si="25"/>
        <v>55</v>
      </c>
      <c r="AQ118" s="187" t="s">
        <v>575</v>
      </c>
      <c r="AR118" s="115" t="s">
        <v>663</v>
      </c>
      <c r="AS118" s="137" t="s">
        <v>664</v>
      </c>
      <c r="AT118" s="115" t="s">
        <v>421</v>
      </c>
      <c r="AU118" s="115" t="s">
        <v>436</v>
      </c>
      <c r="AV118" s="115" t="s">
        <v>485</v>
      </c>
    </row>
    <row r="119" spans="1:48" ht="13.8">
      <c r="A119" s="137" t="str">
        <f>A$54&amp;" - "&amp;VLOOKUP(RIGHT(C119,3),[12]NameConv!$E$3:$F$16,2,FALSE)&amp;" - Existing"</f>
        <v>Commercial - Other - Gas - Existing</v>
      </c>
      <c r="B119" s="137" t="str">
        <f t="shared" si="78"/>
        <v>CEOGAS-E</v>
      </c>
      <c r="C119" s="138" t="str">
        <f>$F$9</f>
        <v>COMGAS</v>
      </c>
      <c r="D119" s="138" t="str">
        <f t="shared" si="84"/>
        <v>CEO</v>
      </c>
      <c r="E119" s="188">
        <v>1</v>
      </c>
      <c r="F119" s="189" t="e">
        <f>SUMIF([12]AFA!$B$3:$S$3,D119,[12]AFA!$B$4:$J$4)</f>
        <v>#VALUE!</v>
      </c>
      <c r="G119" s="190">
        <v>15</v>
      </c>
      <c r="H119" s="191" t="e">
        <f t="shared" si="85"/>
        <v>#VALUE!</v>
      </c>
      <c r="I119" s="191" t="e">
        <f>SUMIF('[12]Technology costs'!$B$7:$B$28,COM_2017!B119,'[12]Technology costs'!$L$7:$L$28)</f>
        <v>#VALUE!</v>
      </c>
      <c r="J119" s="191" t="e">
        <f t="shared" si="24"/>
        <v>#VALUE!</v>
      </c>
      <c r="K119" s="115">
        <v>0</v>
      </c>
      <c r="L119" s="192">
        <f>[12]Appliances!F27</f>
        <v>1</v>
      </c>
      <c r="M119" s="191">
        <f t="shared" si="79"/>
        <v>0</v>
      </c>
      <c r="N119" s="191">
        <f t="shared" si="80"/>
        <v>0</v>
      </c>
      <c r="P119" s="197"/>
      <c r="Q119" s="194"/>
      <c r="R119" s="194">
        <f t="shared" si="81"/>
        <v>0</v>
      </c>
      <c r="S119" s="204">
        <f>R119</f>
        <v>0</v>
      </c>
      <c r="T119" s="204">
        <f t="shared" ref="T119:Y119" si="88">S119</f>
        <v>0</v>
      </c>
      <c r="U119" s="204">
        <f t="shared" si="88"/>
        <v>0</v>
      </c>
      <c r="V119" s="204">
        <f t="shared" si="88"/>
        <v>0</v>
      </c>
      <c r="W119" s="204">
        <f t="shared" si="88"/>
        <v>0</v>
      </c>
      <c r="X119" s="204">
        <f t="shared" si="88"/>
        <v>0</v>
      </c>
      <c r="Y119" s="204">
        <f t="shared" si="88"/>
        <v>0</v>
      </c>
      <c r="AA119" s="197"/>
      <c r="AB119" s="194"/>
      <c r="AC119" s="194">
        <f t="shared" si="82"/>
        <v>0</v>
      </c>
      <c r="AD119" s="196">
        <f t="shared" si="83"/>
        <v>0</v>
      </c>
      <c r="AE119" s="196">
        <f t="shared" si="83"/>
        <v>0</v>
      </c>
      <c r="AF119" s="196">
        <f t="shared" si="83"/>
        <v>0</v>
      </c>
      <c r="AG119" s="196">
        <f t="shared" si="83"/>
        <v>0</v>
      </c>
      <c r="AH119" s="196">
        <f t="shared" si="83"/>
        <v>0</v>
      </c>
      <c r="AI119" s="196">
        <f t="shared" si="83"/>
        <v>0</v>
      </c>
      <c r="AJ119" s="196">
        <f t="shared" si="83"/>
        <v>0</v>
      </c>
      <c r="AK119" s="115">
        <f t="shared" si="25"/>
        <v>56</v>
      </c>
      <c r="AQ119" s="187" t="s">
        <v>575</v>
      </c>
      <c r="AR119" s="115" t="s">
        <v>665</v>
      </c>
      <c r="AS119" s="137" t="s">
        <v>666</v>
      </c>
      <c r="AT119" s="115" t="s">
        <v>421</v>
      </c>
      <c r="AU119" s="115" t="s">
        <v>436</v>
      </c>
      <c r="AV119" s="115" t="s">
        <v>592</v>
      </c>
    </row>
    <row r="120" spans="1:48" ht="13.8">
      <c r="A120" s="137" t="str">
        <f>A$54&amp;" - "&amp;VLOOKUP(RIGHT(C120,3),[12]NameConv!$E$3:$F$16,2,FALSE)&amp;" - Existing"</f>
        <v>Commercial - Other - Oil Gasoline - Existing</v>
      </c>
      <c r="B120" s="137" t="str">
        <f t="shared" si="78"/>
        <v>CEOOGS-E</v>
      </c>
      <c r="C120" s="138" t="str">
        <f>$G$9</f>
        <v>COMOGS</v>
      </c>
      <c r="D120" s="138" t="str">
        <f t="shared" si="84"/>
        <v>CEO</v>
      </c>
      <c r="E120" s="188">
        <v>1</v>
      </c>
      <c r="F120" s="189" t="e">
        <f>SUMIF([12]AFA!$B$3:$S$3,D120,[12]AFA!$B$4:$J$4)</f>
        <v>#VALUE!</v>
      </c>
      <c r="G120" s="190">
        <v>15</v>
      </c>
      <c r="H120" s="191" t="e">
        <f t="shared" si="85"/>
        <v>#VALUE!</v>
      </c>
      <c r="I120" s="191" t="e">
        <f>SUMIF('[12]Technology costs'!$B$7:$B$28,COM_2017!B120,'[12]Technology costs'!$L$7:$L$28)</f>
        <v>#VALUE!</v>
      </c>
      <c r="J120" s="191" t="e">
        <f t="shared" si="24"/>
        <v>#VALUE!</v>
      </c>
      <c r="K120" s="115">
        <v>0</v>
      </c>
      <c r="L120" s="192">
        <f>[12]Appliances!F27</f>
        <v>1</v>
      </c>
      <c r="M120" s="191">
        <f t="shared" si="79"/>
        <v>0</v>
      </c>
      <c r="N120" s="191">
        <f t="shared" si="80"/>
        <v>0</v>
      </c>
      <c r="P120" s="197"/>
      <c r="Q120" s="194"/>
      <c r="R120" s="194">
        <f t="shared" si="81"/>
        <v>0</v>
      </c>
      <c r="S120" s="204">
        <f t="shared" ref="S120:Y122" si="89">R120</f>
        <v>0</v>
      </c>
      <c r="T120" s="204">
        <f t="shared" si="89"/>
        <v>0</v>
      </c>
      <c r="U120" s="204">
        <f t="shared" si="89"/>
        <v>0</v>
      </c>
      <c r="V120" s="204">
        <f t="shared" si="89"/>
        <v>0</v>
      </c>
      <c r="W120" s="204">
        <f t="shared" si="89"/>
        <v>0</v>
      </c>
      <c r="X120" s="204">
        <f t="shared" si="89"/>
        <v>0</v>
      </c>
      <c r="Y120" s="204">
        <f t="shared" si="89"/>
        <v>0</v>
      </c>
      <c r="AA120" s="197"/>
      <c r="AB120" s="194"/>
      <c r="AC120" s="194">
        <f t="shared" si="82"/>
        <v>0</v>
      </c>
      <c r="AD120" s="196">
        <f t="shared" si="83"/>
        <v>0</v>
      </c>
      <c r="AE120" s="196">
        <f t="shared" si="83"/>
        <v>0</v>
      </c>
      <c r="AF120" s="196">
        <f t="shared" si="83"/>
        <v>0</v>
      </c>
      <c r="AG120" s="196">
        <f t="shared" si="83"/>
        <v>0</v>
      </c>
      <c r="AH120" s="196">
        <f t="shared" si="83"/>
        <v>0</v>
      </c>
      <c r="AI120" s="196">
        <f t="shared" si="83"/>
        <v>0</v>
      </c>
      <c r="AJ120" s="196">
        <f t="shared" si="83"/>
        <v>0</v>
      </c>
      <c r="AK120" s="115">
        <f t="shared" si="25"/>
        <v>57</v>
      </c>
      <c r="AQ120" s="187" t="s">
        <v>575</v>
      </c>
      <c r="AR120" s="115" t="s">
        <v>667</v>
      </c>
      <c r="AS120" s="137" t="s">
        <v>668</v>
      </c>
      <c r="AT120" s="115" t="s">
        <v>421</v>
      </c>
      <c r="AU120" s="115" t="s">
        <v>436</v>
      </c>
      <c r="AV120" s="115" t="s">
        <v>592</v>
      </c>
    </row>
    <row r="121" spans="1:48" ht="13.8">
      <c r="A121" s="137" t="str">
        <f>A$54&amp;" - "&amp;VLOOKUP(RIGHT(C121,3),[12]NameConv!$E$3:$F$16,2,FALSE)&amp;" - Existing"</f>
        <v>Commercial - Other - Oil HFO - Existing</v>
      </c>
      <c r="B121" s="137" t="str">
        <f t="shared" si="78"/>
        <v>CEOOHF-E</v>
      </c>
      <c r="C121" s="138" t="str">
        <f>$H$9</f>
        <v>COMOHF</v>
      </c>
      <c r="D121" s="138" t="str">
        <f t="shared" si="84"/>
        <v>CEO</v>
      </c>
      <c r="E121" s="188">
        <v>1</v>
      </c>
      <c r="F121" s="189" t="e">
        <f>SUMIF([12]AFA!$B$3:$S$3,D121,[12]AFA!$B$4:$J$4)</f>
        <v>#VALUE!</v>
      </c>
      <c r="G121" s="190">
        <v>15</v>
      </c>
      <c r="H121" s="191" t="e">
        <f t="shared" si="85"/>
        <v>#VALUE!</v>
      </c>
      <c r="I121" s="191" t="e">
        <f>SUMIF('[12]Technology costs'!$B$7:$B$28,COM_2017!B121,'[12]Technology costs'!$L$7:$L$28)</f>
        <v>#VALUE!</v>
      </c>
      <c r="J121" s="191" t="e">
        <f t="shared" si="24"/>
        <v>#VALUE!</v>
      </c>
      <c r="K121" s="115">
        <v>0</v>
      </c>
      <c r="L121" s="192">
        <f>[12]Appliances!F27</f>
        <v>1</v>
      </c>
      <c r="M121" s="191">
        <f t="shared" si="79"/>
        <v>2.75</v>
      </c>
      <c r="N121" s="191">
        <f t="shared" si="80"/>
        <v>2.75</v>
      </c>
      <c r="P121" s="197"/>
      <c r="Q121" s="194"/>
      <c r="R121" s="194">
        <f t="shared" si="81"/>
        <v>0.13750707539373272</v>
      </c>
      <c r="S121" s="204">
        <f t="shared" si="89"/>
        <v>0.13750707539373272</v>
      </c>
      <c r="T121" s="204">
        <f t="shared" si="89"/>
        <v>0.13750707539373272</v>
      </c>
      <c r="U121" s="204">
        <f t="shared" si="89"/>
        <v>0.13750707539373272</v>
      </c>
      <c r="V121" s="204">
        <f t="shared" si="89"/>
        <v>0.13750707539373272</v>
      </c>
      <c r="W121" s="204">
        <f t="shared" si="89"/>
        <v>0.13750707539373272</v>
      </c>
      <c r="X121" s="204">
        <f t="shared" si="89"/>
        <v>0.13750707539373272</v>
      </c>
      <c r="Y121" s="204">
        <f t="shared" si="89"/>
        <v>0.13750707539373272</v>
      </c>
      <c r="AA121" s="197"/>
      <c r="AB121" s="194"/>
      <c r="AC121" s="194">
        <f t="shared" si="82"/>
        <v>0.13481085822914973</v>
      </c>
      <c r="AD121" s="196">
        <f t="shared" si="83"/>
        <v>0.13076653248227524</v>
      </c>
      <c r="AE121" s="196">
        <f t="shared" si="83"/>
        <v>0.12132977240623476</v>
      </c>
      <c r="AF121" s="196">
        <f t="shared" si="83"/>
        <v>9.4367600760404804E-2</v>
      </c>
      <c r="AG121" s="196">
        <f t="shared" si="83"/>
        <v>6.0664886203117378E-2</v>
      </c>
      <c r="AH121" s="196">
        <f t="shared" si="83"/>
        <v>2.0221628734372461E-2</v>
      </c>
      <c r="AI121" s="196">
        <f t="shared" si="83"/>
        <v>6.7405429114574872E-3</v>
      </c>
      <c r="AJ121" s="196">
        <f t="shared" si="83"/>
        <v>0</v>
      </c>
      <c r="AK121" s="115">
        <f t="shared" si="25"/>
        <v>58</v>
      </c>
      <c r="AQ121" s="187" t="s">
        <v>575</v>
      </c>
      <c r="AR121" s="115" t="s">
        <v>669</v>
      </c>
      <c r="AS121" s="137" t="s">
        <v>670</v>
      </c>
      <c r="AT121" s="115" t="s">
        <v>421</v>
      </c>
      <c r="AU121" s="115" t="s">
        <v>436</v>
      </c>
      <c r="AV121" s="115" t="s">
        <v>592</v>
      </c>
    </row>
    <row r="122" spans="1:48" ht="13.8">
      <c r="A122" s="137" t="str">
        <f>A$54&amp;" - "&amp;VLOOKUP(RIGHT(C122,3),[12]NameConv!$E$3:$F$16,2,FALSE)&amp;" - Existing"</f>
        <v>Commercial - Other - Oil Paraffin - Existing</v>
      </c>
      <c r="B122" s="137" t="str">
        <f t="shared" si="78"/>
        <v>CEOOKE-E</v>
      </c>
      <c r="C122" s="138" t="str">
        <f>$I$9</f>
        <v>COMOKE</v>
      </c>
      <c r="D122" s="138" t="str">
        <f t="shared" si="84"/>
        <v>CEO</v>
      </c>
      <c r="E122" s="188">
        <v>1</v>
      </c>
      <c r="F122" s="189" t="e">
        <f>SUMIF([12]AFA!$B$3:$S$3,D122,[12]AFA!$B$4:$J$4)</f>
        <v>#VALUE!</v>
      </c>
      <c r="G122" s="190">
        <v>15</v>
      </c>
      <c r="H122" s="191" t="e">
        <f t="shared" si="85"/>
        <v>#VALUE!</v>
      </c>
      <c r="I122" s="191" t="e">
        <f>SUMIF('[12]Technology costs'!$B$7:$B$29,COM_2017!B122,'[12]Technology costs'!$L$7:$L$29)</f>
        <v>#VALUE!</v>
      </c>
      <c r="J122" s="191" t="e">
        <f>I122*0.1</f>
        <v>#VALUE!</v>
      </c>
      <c r="K122" s="115">
        <v>0</v>
      </c>
      <c r="L122" s="192">
        <f>[12]Appliances!F33</f>
        <v>1</v>
      </c>
      <c r="M122" s="191">
        <f t="shared" si="79"/>
        <v>0</v>
      </c>
      <c r="N122" s="191">
        <f t="shared" si="80"/>
        <v>0</v>
      </c>
      <c r="P122" s="197"/>
      <c r="Q122" s="194"/>
      <c r="R122" s="194">
        <f t="shared" si="81"/>
        <v>0</v>
      </c>
      <c r="S122" s="204">
        <f t="shared" si="89"/>
        <v>0</v>
      </c>
      <c r="T122" s="204">
        <f t="shared" si="89"/>
        <v>0</v>
      </c>
      <c r="U122" s="204">
        <f t="shared" si="89"/>
        <v>0</v>
      </c>
      <c r="V122" s="204">
        <f t="shared" si="89"/>
        <v>0</v>
      </c>
      <c r="W122" s="204">
        <f t="shared" si="89"/>
        <v>0</v>
      </c>
      <c r="X122" s="204">
        <f t="shared" si="89"/>
        <v>0</v>
      </c>
      <c r="Y122" s="204">
        <f t="shared" si="89"/>
        <v>0</v>
      </c>
      <c r="AA122" s="197"/>
      <c r="AB122" s="194"/>
      <c r="AC122" s="194">
        <f t="shared" si="82"/>
        <v>0</v>
      </c>
      <c r="AD122" s="196">
        <f t="shared" si="83"/>
        <v>0</v>
      </c>
      <c r="AE122" s="196">
        <f t="shared" si="83"/>
        <v>0</v>
      </c>
      <c r="AF122" s="196">
        <f t="shared" si="83"/>
        <v>0</v>
      </c>
      <c r="AG122" s="196">
        <f t="shared" si="83"/>
        <v>0</v>
      </c>
      <c r="AH122" s="196">
        <f t="shared" si="83"/>
        <v>0</v>
      </c>
      <c r="AI122" s="196">
        <f t="shared" si="83"/>
        <v>0</v>
      </c>
      <c r="AJ122" s="196">
        <f t="shared" si="83"/>
        <v>0</v>
      </c>
      <c r="AK122" s="115">
        <f t="shared" si="25"/>
        <v>59</v>
      </c>
      <c r="AQ122" s="187" t="s">
        <v>575</v>
      </c>
      <c r="AR122" s="115" t="s">
        <v>671</v>
      </c>
      <c r="AS122" s="137" t="s">
        <v>672</v>
      </c>
      <c r="AT122" s="115" t="s">
        <v>421</v>
      </c>
      <c r="AU122" s="115" t="s">
        <v>436</v>
      </c>
      <c r="AV122" s="115" t="s">
        <v>592</v>
      </c>
    </row>
    <row r="123" spans="1:48">
      <c r="A123" s="199" t="s">
        <v>588</v>
      </c>
      <c r="L123" s="163"/>
      <c r="M123" s="203">
        <f>SUM(M116:M122)</f>
        <v>25.795280818430701</v>
      </c>
      <c r="N123" s="203">
        <f>SUM(N116:N122)</f>
        <v>20.198960613823022</v>
      </c>
      <c r="AK123" s="115">
        <f t="shared" si="25"/>
        <v>60</v>
      </c>
      <c r="AL123" s="115" t="str">
        <f>LEFT(B122,3)</f>
        <v>CEO</v>
      </c>
      <c r="AQ123" s="187" t="s">
        <v>476</v>
      </c>
    </row>
    <row r="124" spans="1:48" s="218" customFormat="1">
      <c r="A124" s="218" t="s">
        <v>673</v>
      </c>
      <c r="B124" s="218">
        <f>SUMPRODUCT(--(B64:B123&lt;&gt;""))</f>
        <v>43</v>
      </c>
      <c r="O124" s="218">
        <f>ROW()-56</f>
        <v>68</v>
      </c>
      <c r="AK124" s="115">
        <f t="shared" si="25"/>
        <v>61</v>
      </c>
    </row>
    <row r="126" spans="1:48">
      <c r="E126" s="219"/>
    </row>
    <row r="127" spans="1:48">
      <c r="A127" s="220"/>
      <c r="B127" s="221"/>
      <c r="C127" s="220"/>
      <c r="D127" s="220"/>
      <c r="E127" s="222"/>
      <c r="F127" s="223"/>
      <c r="G127" s="222"/>
      <c r="H127" s="222"/>
      <c r="I127" s="222"/>
      <c r="J127" s="222"/>
      <c r="K127" s="222"/>
      <c r="L127" s="222"/>
      <c r="M127" s="222"/>
      <c r="N127" s="222"/>
      <c r="O127" s="222"/>
      <c r="P127" s="222"/>
      <c r="Q127" s="222"/>
      <c r="R127" s="223"/>
    </row>
    <row r="128" spans="1:48">
      <c r="A128" s="182"/>
      <c r="B128" s="182"/>
      <c r="C128" s="182"/>
      <c r="D128" s="182"/>
      <c r="E128" s="182"/>
      <c r="F128" s="182"/>
      <c r="G128" s="182"/>
      <c r="H128" s="182"/>
      <c r="I128" s="182"/>
      <c r="J128" s="182"/>
      <c r="K128" s="182"/>
      <c r="L128" s="182"/>
      <c r="M128" s="182"/>
      <c r="N128" s="182"/>
      <c r="O128" s="182"/>
      <c r="P128" s="182"/>
      <c r="Q128" s="182"/>
      <c r="R128" s="182"/>
    </row>
    <row r="132" spans="1:8">
      <c r="A132" s="167"/>
    </row>
    <row r="133" spans="1:8">
      <c r="A133" s="221"/>
      <c r="B133" s="221"/>
      <c r="C133" s="224"/>
      <c r="D133" s="224"/>
      <c r="E133" s="224"/>
      <c r="F133" s="224"/>
      <c r="G133" s="224"/>
      <c r="H133" s="224"/>
    </row>
    <row r="134" spans="1:8">
      <c r="A134" s="172"/>
      <c r="B134" s="182"/>
      <c r="C134" s="332"/>
      <c r="D134" s="332"/>
      <c r="E134" s="332"/>
      <c r="F134" s="332"/>
      <c r="G134" s="332"/>
      <c r="H134" s="332"/>
    </row>
  </sheetData>
  <mergeCells count="2">
    <mergeCell ref="B4:D4"/>
    <mergeCell ref="C134:H134"/>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73" customWidth="1"/>
    <col min="2" max="2" width="6.33203125" style="86" customWidth="1"/>
    <col min="3" max="3" width="17.33203125" style="73" customWidth="1"/>
    <col min="4" max="4" width="11.44140625" style="73"/>
    <col min="5" max="5" width="16.6640625" style="73" customWidth="1"/>
    <col min="6" max="16384" width="11.44140625" style="73"/>
  </cols>
  <sheetData>
    <row r="1" spans="1:3" s="89" customFormat="1">
      <c r="A1" s="88" t="s">
        <v>293</v>
      </c>
      <c r="C1" s="71"/>
    </row>
    <row r="2" spans="1:3">
      <c r="A2" s="73" t="s">
        <v>294</v>
      </c>
      <c r="B2" s="73"/>
    </row>
    <row r="3" spans="1:3" ht="15.6">
      <c r="B3" s="73" t="s">
        <v>295</v>
      </c>
      <c r="C3" s="90" t="s">
        <v>296</v>
      </c>
    </row>
    <row r="4" spans="1:3" ht="15.6">
      <c r="B4" s="86" t="s">
        <v>297</v>
      </c>
      <c r="C4" s="90" t="s">
        <v>298</v>
      </c>
    </row>
    <row r="5" spans="1:3" ht="15.6">
      <c r="B5" s="73" t="s">
        <v>299</v>
      </c>
      <c r="C5" s="90" t="s">
        <v>300</v>
      </c>
    </row>
    <row r="6" spans="1:3">
      <c r="B6" s="73"/>
      <c r="C6" s="91"/>
    </row>
    <row r="7" spans="1:3">
      <c r="A7" s="73" t="s">
        <v>301</v>
      </c>
      <c r="B7" s="86" t="s">
        <v>302</v>
      </c>
      <c r="C7" s="91"/>
    </row>
    <row r="8" spans="1:3">
      <c r="A8" s="73" t="s">
        <v>303</v>
      </c>
      <c r="C8" s="91"/>
    </row>
    <row r="9" spans="1:3" ht="15.6">
      <c r="B9" s="86">
        <v>1.1000000000000001</v>
      </c>
      <c r="C9" s="90" t="s">
        <v>304</v>
      </c>
    </row>
    <row r="10" spans="1:3" ht="15.6">
      <c r="C10" s="90"/>
    </row>
    <row r="11" spans="1:3" ht="15.6">
      <c r="A11" s="73" t="s">
        <v>305</v>
      </c>
      <c r="C11" s="90"/>
    </row>
    <row r="12" spans="1:3" ht="15.6">
      <c r="B12" s="86">
        <v>2.1</v>
      </c>
      <c r="C12" s="90" t="s">
        <v>306</v>
      </c>
    </row>
    <row r="13" spans="1:3" ht="15.6">
      <c r="B13" s="86">
        <v>2.2000000000000002</v>
      </c>
      <c r="C13" s="90" t="s">
        <v>307</v>
      </c>
    </row>
    <row r="14" spans="1:3" ht="15.6">
      <c r="C14" s="90"/>
    </row>
    <row r="15" spans="1:3" ht="15.6">
      <c r="A15" s="73" t="s">
        <v>308</v>
      </c>
      <c r="C15" s="90"/>
    </row>
    <row r="16" spans="1:3" ht="15.6">
      <c r="B16" s="86">
        <v>3.1</v>
      </c>
      <c r="C16" s="90"/>
    </row>
    <row r="17" spans="1:12" ht="15.6">
      <c r="C17" s="90"/>
    </row>
    <row r="18" spans="1:12">
      <c r="A18" s="73" t="s">
        <v>309</v>
      </c>
      <c r="B18" s="73"/>
      <c r="C18" s="91"/>
    </row>
    <row r="19" spans="1:12">
      <c r="B19" s="86">
        <v>1</v>
      </c>
      <c r="C19" s="73" t="s">
        <v>310</v>
      </c>
    </row>
    <row r="21" spans="1:12">
      <c r="B21" s="86">
        <v>2</v>
      </c>
      <c r="C21" s="73" t="s">
        <v>311</v>
      </c>
    </row>
    <row r="23" spans="1:12">
      <c r="B23" s="86">
        <v>3</v>
      </c>
      <c r="C23" s="73" t="s">
        <v>312</v>
      </c>
    </row>
    <row r="24" spans="1:12">
      <c r="C24" s="73" t="s">
        <v>313</v>
      </c>
    </row>
    <row r="26" spans="1:12" ht="198">
      <c r="B26" s="86">
        <v>4</v>
      </c>
      <c r="C26" s="92" t="s">
        <v>314</v>
      </c>
    </row>
    <row r="28" spans="1:12" ht="12.75" customHeight="1">
      <c r="B28" s="86" t="s">
        <v>315</v>
      </c>
      <c r="C28" s="333" t="s">
        <v>316</v>
      </c>
      <c r="D28" s="333"/>
      <c r="E28" s="333"/>
      <c r="F28" s="333"/>
      <c r="G28" s="333"/>
      <c r="H28" s="333"/>
      <c r="I28" s="333"/>
      <c r="J28" s="333"/>
      <c r="K28" s="333"/>
      <c r="L28" s="333"/>
    </row>
    <row r="29" spans="1:12" ht="24" customHeight="1">
      <c r="C29" s="334" t="s">
        <v>317</v>
      </c>
      <c r="D29" s="334"/>
      <c r="E29" s="334"/>
      <c r="F29" s="334"/>
      <c r="G29" s="334"/>
      <c r="H29" s="334"/>
      <c r="I29" s="334"/>
      <c r="J29" s="334"/>
      <c r="K29" s="334"/>
      <c r="L29" s="334"/>
    </row>
    <row r="30" spans="1:12" ht="24" customHeight="1">
      <c r="C30" s="334" t="s">
        <v>318</v>
      </c>
      <c r="D30" s="334"/>
      <c r="E30" s="334"/>
      <c r="F30" s="334"/>
      <c r="G30" s="334"/>
      <c r="H30" s="334"/>
      <c r="I30" s="334"/>
      <c r="J30" s="334"/>
      <c r="K30" s="334"/>
      <c r="L30" s="334"/>
    </row>
    <row r="31" spans="1:12" ht="12.75" customHeight="1">
      <c r="C31" s="334" t="s">
        <v>319</v>
      </c>
      <c r="D31" s="334"/>
      <c r="E31" s="334"/>
      <c r="F31" s="334"/>
      <c r="G31" s="334"/>
      <c r="H31" s="334"/>
      <c r="I31" s="334"/>
      <c r="J31" s="334"/>
      <c r="K31" s="334"/>
      <c r="L31" s="334"/>
    </row>
    <row r="33" spans="2:6">
      <c r="B33" s="86">
        <v>5</v>
      </c>
      <c r="C33" s="73" t="s">
        <v>320</v>
      </c>
    </row>
    <row r="35" spans="2:6" ht="92.4">
      <c r="B35" s="86" t="s">
        <v>321</v>
      </c>
      <c r="C35" s="92" t="s">
        <v>322</v>
      </c>
    </row>
    <row r="36" spans="2:6">
      <c r="C36" s="73" t="s">
        <v>323</v>
      </c>
      <c r="E36" s="73" t="s">
        <v>324</v>
      </c>
    </row>
    <row r="37" spans="2:6">
      <c r="C37" s="73" t="s">
        <v>325</v>
      </c>
      <c r="E37" s="73" t="s">
        <v>326</v>
      </c>
    </row>
    <row r="38" spans="2:6">
      <c r="E38" s="73" t="s">
        <v>327</v>
      </c>
      <c r="F38" s="73">
        <v>892.54</v>
      </c>
    </row>
    <row r="39" spans="2:6">
      <c r="E39" s="73" t="s">
        <v>328</v>
      </c>
      <c r="F39" s="73">
        <v>896.12</v>
      </c>
    </row>
    <row r="41" spans="2:6" ht="92.4">
      <c r="B41" s="86" t="s">
        <v>329</v>
      </c>
      <c r="C41" s="92" t="s">
        <v>322</v>
      </c>
    </row>
    <row r="42" spans="2:6">
      <c r="C42" s="73" t="s">
        <v>330</v>
      </c>
    </row>
    <row r="44" spans="2:6">
      <c r="B44" s="86">
        <v>7</v>
      </c>
      <c r="C44" s="73" t="s">
        <v>331</v>
      </c>
    </row>
    <row r="45" spans="2:6">
      <c r="B45" s="86">
        <v>8</v>
      </c>
      <c r="C45" s="73" t="s">
        <v>332</v>
      </c>
    </row>
    <row r="47" spans="2:6">
      <c r="B47" s="86">
        <v>9</v>
      </c>
      <c r="C47" s="93" t="s">
        <v>333</v>
      </c>
      <c r="D47" s="73" t="s">
        <v>334</v>
      </c>
      <c r="E47" s="94">
        <v>1000000000000</v>
      </c>
      <c r="F47" s="73" t="s">
        <v>335</v>
      </c>
    </row>
    <row r="48" spans="2:6">
      <c r="C48" s="93" t="s">
        <v>336</v>
      </c>
      <c r="D48" s="73" t="s">
        <v>337</v>
      </c>
      <c r="E48" s="94">
        <v>1000000000</v>
      </c>
      <c r="F48" s="73" t="s">
        <v>335</v>
      </c>
    </row>
    <row r="49" spans="2:6">
      <c r="C49" s="93" t="s">
        <v>338</v>
      </c>
      <c r="D49" s="73" t="s">
        <v>339</v>
      </c>
      <c r="E49" s="94">
        <v>1000000</v>
      </c>
      <c r="F49" s="73" t="s">
        <v>335</v>
      </c>
    </row>
    <row r="50" spans="2:6">
      <c r="C50" s="93" t="s">
        <v>340</v>
      </c>
      <c r="D50" s="73" t="s">
        <v>341</v>
      </c>
      <c r="E50" s="94">
        <v>1000</v>
      </c>
      <c r="F50" s="73" t="s">
        <v>335</v>
      </c>
    </row>
    <row r="51" spans="2:6">
      <c r="C51" s="93" t="s">
        <v>342</v>
      </c>
      <c r="D51" s="73" t="s">
        <v>343</v>
      </c>
      <c r="E51" s="94">
        <v>100</v>
      </c>
      <c r="F51" s="73" t="s">
        <v>335</v>
      </c>
    </row>
    <row r="52" spans="2:6">
      <c r="C52" s="93" t="s">
        <v>344</v>
      </c>
      <c r="D52" s="73" t="s">
        <v>345</v>
      </c>
      <c r="E52" s="94">
        <v>10</v>
      </c>
      <c r="F52" s="73" t="s">
        <v>335</v>
      </c>
    </row>
    <row r="53" spans="2:6">
      <c r="C53" s="93" t="s">
        <v>346</v>
      </c>
      <c r="D53" s="73" t="s">
        <v>347</v>
      </c>
      <c r="E53" s="94">
        <v>1</v>
      </c>
      <c r="F53" s="73" t="s">
        <v>346</v>
      </c>
    </row>
    <row r="55" spans="2:6">
      <c r="B55" s="86" t="s">
        <v>348</v>
      </c>
      <c r="C55" s="73" t="s">
        <v>349</v>
      </c>
    </row>
    <row r="57" spans="2:6">
      <c r="B57" s="86" t="s">
        <v>350</v>
      </c>
      <c r="C57" s="73" t="s">
        <v>351</v>
      </c>
    </row>
    <row r="59" spans="2:6">
      <c r="B59" s="86">
        <v>11</v>
      </c>
      <c r="C59" s="73" t="s">
        <v>352</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674</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337"/>
      <c r="C4" s="340" t="s">
        <v>19</v>
      </c>
      <c r="D4" s="340" t="s">
        <v>20</v>
      </c>
      <c r="E4" s="17" t="s">
        <v>21</v>
      </c>
      <c r="F4" s="337"/>
      <c r="G4" s="343" t="s">
        <v>22</v>
      </c>
      <c r="H4" s="18" t="s">
        <v>23</v>
      </c>
      <c r="I4" s="10" t="s">
        <v>24</v>
      </c>
    </row>
    <row r="5" spans="2:17">
      <c r="B5" s="338"/>
      <c r="C5" s="341"/>
      <c r="D5" s="341"/>
      <c r="E5" s="17" t="s">
        <v>25</v>
      </c>
      <c r="F5" s="338"/>
      <c r="G5" s="344"/>
      <c r="H5" s="19"/>
    </row>
    <row r="6" spans="2:17" ht="16.2" thickBot="1">
      <c r="B6" s="339"/>
      <c r="C6" s="342"/>
      <c r="D6" s="342"/>
      <c r="E6" s="7" t="s">
        <v>26</v>
      </c>
      <c r="F6" s="339"/>
      <c r="G6" s="13"/>
      <c r="H6" s="20" t="s">
        <v>27</v>
      </c>
    </row>
    <row r="7" spans="2:17" ht="345" customHeight="1">
      <c r="B7" s="345" t="s">
        <v>28</v>
      </c>
      <c r="C7" s="345" t="s">
        <v>29</v>
      </c>
      <c r="D7" s="345" t="s">
        <v>30</v>
      </c>
      <c r="E7" s="345"/>
      <c r="F7" s="345" t="s">
        <v>31</v>
      </c>
      <c r="G7" s="21" t="s">
        <v>32</v>
      </c>
      <c r="H7" s="22" t="s">
        <v>33</v>
      </c>
      <c r="I7" s="23" t="s">
        <v>34</v>
      </c>
    </row>
    <row r="8" spans="2:17">
      <c r="B8" s="346"/>
      <c r="C8" s="346"/>
      <c r="D8" s="346"/>
      <c r="E8" s="346"/>
      <c r="F8" s="346"/>
      <c r="G8" s="24"/>
      <c r="H8" s="19"/>
    </row>
    <row r="9" spans="2:17" ht="16.2" thickBot="1">
      <c r="B9" s="347"/>
      <c r="C9" s="347"/>
      <c r="D9" s="347"/>
      <c r="E9" s="347"/>
      <c r="F9" s="347"/>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337"/>
      <c r="C14" s="17" t="s">
        <v>52</v>
      </c>
      <c r="D14" s="340" t="s">
        <v>53</v>
      </c>
      <c r="E14" s="337"/>
      <c r="F14" s="337"/>
      <c r="G14" s="344" t="s">
        <v>54</v>
      </c>
      <c r="H14" s="19"/>
      <c r="L14" s="32" t="s">
        <v>55</v>
      </c>
      <c r="M14" s="32">
        <v>1008</v>
      </c>
    </row>
    <row r="15" spans="2:17" ht="48" customHeight="1">
      <c r="B15" s="338"/>
      <c r="C15" s="17" t="s">
        <v>56</v>
      </c>
      <c r="D15" s="341"/>
      <c r="E15" s="338"/>
      <c r="F15" s="338"/>
      <c r="G15" s="344"/>
      <c r="H15" s="19" t="s">
        <v>57</v>
      </c>
      <c r="L15" s="32" t="s">
        <v>58</v>
      </c>
      <c r="M15" s="32">
        <v>692</v>
      </c>
      <c r="N15" s="335">
        <v>9</v>
      </c>
      <c r="O15" s="336"/>
      <c r="P15" s="336"/>
      <c r="Q15" s="336"/>
    </row>
    <row r="16" spans="2:17" ht="107.1" customHeight="1" thickBot="1">
      <c r="B16" s="339"/>
      <c r="C16" s="12"/>
      <c r="D16" s="342"/>
      <c r="E16" s="339"/>
      <c r="F16" s="339"/>
      <c r="G16" s="348"/>
      <c r="H16" s="20" t="s">
        <v>59</v>
      </c>
      <c r="L16" s="32" t="s">
        <v>60</v>
      </c>
      <c r="M16" s="32">
        <v>1065</v>
      </c>
      <c r="N16" s="335"/>
      <c r="O16" s="336"/>
      <c r="P16" s="336"/>
      <c r="Q16" s="336"/>
    </row>
    <row r="17" spans="2:23" ht="32.1" customHeight="1">
      <c r="B17" s="16"/>
      <c r="C17" s="33" t="s">
        <v>61</v>
      </c>
      <c r="D17" s="33" t="s">
        <v>62</v>
      </c>
      <c r="E17" s="33"/>
      <c r="F17" s="33"/>
      <c r="G17" s="343" t="s">
        <v>63</v>
      </c>
      <c r="H17" s="19" t="s">
        <v>64</v>
      </c>
      <c r="L17" s="32" t="s">
        <v>65</v>
      </c>
      <c r="M17" s="32">
        <v>1300</v>
      </c>
    </row>
    <row r="18" spans="2:23" ht="74.099999999999994" customHeight="1" thickBot="1">
      <c r="B18" s="6"/>
      <c r="C18" s="7" t="s">
        <v>66</v>
      </c>
      <c r="D18" s="7"/>
      <c r="E18" s="7"/>
      <c r="F18" s="7"/>
      <c r="G18" s="348"/>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337"/>
      <c r="C20" s="340" t="s">
        <v>73</v>
      </c>
      <c r="D20" s="340" t="s">
        <v>74</v>
      </c>
      <c r="E20" s="337"/>
      <c r="F20" s="337"/>
      <c r="G20" s="343" t="s">
        <v>75</v>
      </c>
      <c r="H20" s="19" t="s">
        <v>59</v>
      </c>
      <c r="L20" s="349" t="s">
        <v>76</v>
      </c>
      <c r="M20" s="350" t="s">
        <v>77</v>
      </c>
      <c r="N20" s="350" t="s">
        <v>78</v>
      </c>
    </row>
    <row r="21" spans="2:23" ht="60.9" customHeight="1" thickBot="1">
      <c r="B21" s="339"/>
      <c r="C21" s="342"/>
      <c r="D21" s="342"/>
      <c r="E21" s="339"/>
      <c r="F21" s="339"/>
      <c r="G21" s="348"/>
      <c r="H21" s="20"/>
      <c r="L21" s="349"/>
      <c r="M21" s="350"/>
      <c r="N21" s="350"/>
      <c r="O21" s="351" t="s">
        <v>79</v>
      </c>
      <c r="P21" s="352"/>
      <c r="Q21" s="352"/>
      <c r="R21" s="352"/>
      <c r="S21" s="352"/>
      <c r="T21" s="352"/>
      <c r="U21" s="352"/>
      <c r="V21" s="352"/>
      <c r="W21" s="352"/>
    </row>
    <row r="22" spans="2:23" ht="42.9" customHeight="1">
      <c r="B22" s="337"/>
      <c r="C22" s="340" t="s">
        <v>80</v>
      </c>
      <c r="D22" s="340" t="s">
        <v>53</v>
      </c>
      <c r="E22" s="337"/>
      <c r="F22" s="337"/>
      <c r="G22" s="343" t="s">
        <v>81</v>
      </c>
      <c r="H22" s="19" t="s">
        <v>82</v>
      </c>
      <c r="L22" s="349"/>
      <c r="M22" s="350"/>
      <c r="N22" s="350"/>
      <c r="O22" s="351"/>
      <c r="P22" s="352"/>
      <c r="Q22" s="352"/>
      <c r="R22" s="352"/>
      <c r="S22" s="352"/>
      <c r="T22" s="352"/>
      <c r="U22" s="352"/>
      <c r="V22" s="352"/>
      <c r="W22" s="352"/>
    </row>
    <row r="23" spans="2:23" ht="161.1" customHeight="1" thickBot="1">
      <c r="B23" s="339"/>
      <c r="C23" s="342"/>
      <c r="D23" s="342"/>
      <c r="E23" s="339"/>
      <c r="F23" s="339"/>
      <c r="G23" s="348"/>
      <c r="H23" s="20" t="s">
        <v>57</v>
      </c>
      <c r="L23" s="349"/>
      <c r="M23" s="350"/>
      <c r="N23" s="350"/>
    </row>
    <row r="24" spans="2:23" ht="101.1" customHeight="1">
      <c r="B24" s="345"/>
      <c r="C24" s="345" t="s">
        <v>83</v>
      </c>
      <c r="D24" s="345" t="s">
        <v>84</v>
      </c>
      <c r="E24" s="37" t="s">
        <v>85</v>
      </c>
      <c r="F24" s="345"/>
      <c r="G24" s="24"/>
      <c r="H24" s="38" t="s">
        <v>86</v>
      </c>
      <c r="N24" s="27"/>
    </row>
    <row r="25" spans="2:23">
      <c r="B25" s="346"/>
      <c r="C25" s="346"/>
      <c r="D25" s="346"/>
      <c r="E25" s="37" t="s">
        <v>87</v>
      </c>
      <c r="F25" s="346"/>
      <c r="G25" s="24"/>
      <c r="H25" s="19"/>
      <c r="N25" s="27"/>
    </row>
    <row r="26" spans="2:23" ht="33" customHeight="1" thickBot="1">
      <c r="B26" s="347"/>
      <c r="C26" s="347"/>
      <c r="D26" s="347"/>
      <c r="E26" s="26" t="s">
        <v>88</v>
      </c>
      <c r="F26" s="347"/>
      <c r="G26" s="13"/>
      <c r="H26" s="20"/>
      <c r="N26" s="27"/>
    </row>
    <row r="27" spans="2:23" ht="128.1" customHeight="1">
      <c r="B27" s="345"/>
      <c r="C27" s="37" t="s">
        <v>89</v>
      </c>
      <c r="D27" s="345" t="s">
        <v>90</v>
      </c>
      <c r="E27" s="345" t="s">
        <v>91</v>
      </c>
      <c r="F27" s="37" t="s">
        <v>92</v>
      </c>
      <c r="G27" s="39" t="s">
        <v>93</v>
      </c>
      <c r="H27" s="40" t="s">
        <v>94</v>
      </c>
    </row>
    <row r="28" spans="2:23" ht="96.9" customHeight="1" thickBot="1">
      <c r="B28" s="347"/>
      <c r="C28" s="41" t="s">
        <v>95</v>
      </c>
      <c r="D28" s="347"/>
      <c r="E28" s="346"/>
      <c r="F28" s="37" t="s">
        <v>96</v>
      </c>
      <c r="G28" s="24"/>
      <c r="H28" s="19"/>
    </row>
    <row r="29" spans="2:23" ht="120.9" customHeight="1">
      <c r="B29" s="353"/>
      <c r="C29" s="42" t="s">
        <v>97</v>
      </c>
      <c r="D29" s="356" t="s">
        <v>98</v>
      </c>
      <c r="E29" s="43" t="s">
        <v>99</v>
      </c>
      <c r="F29" s="43"/>
      <c r="G29" s="44" t="s">
        <v>100</v>
      </c>
      <c r="H29" s="45" t="s">
        <v>101</v>
      </c>
    </row>
    <row r="30" spans="2:23" ht="303" customHeight="1">
      <c r="B30" s="354"/>
      <c r="C30" s="42"/>
      <c r="D30" s="357"/>
      <c r="E30" s="43" t="s">
        <v>102</v>
      </c>
      <c r="F30" s="43"/>
      <c r="G30" s="44" t="s">
        <v>103</v>
      </c>
      <c r="H30" s="45" t="s">
        <v>82</v>
      </c>
    </row>
    <row r="31" spans="2:23" ht="65.099999999999994" customHeight="1" thickBot="1">
      <c r="B31" s="355"/>
      <c r="C31" s="46" t="s">
        <v>104</v>
      </c>
      <c r="D31" s="358"/>
      <c r="E31" s="43" t="s">
        <v>105</v>
      </c>
      <c r="F31" s="43"/>
      <c r="G31" s="47" t="s">
        <v>106</v>
      </c>
      <c r="H31" s="48" t="s">
        <v>107</v>
      </c>
      <c r="I31" s="10" t="s">
        <v>108</v>
      </c>
    </row>
    <row r="34" spans="2:5" ht="16.2" thickBot="1"/>
    <row r="35" spans="2:5" ht="16.2" thickBot="1">
      <c r="B35" s="49" t="s">
        <v>0</v>
      </c>
      <c r="C35" s="2"/>
      <c r="D35" s="2"/>
      <c r="E35" s="2" t="s">
        <v>3</v>
      </c>
    </row>
    <row r="36" spans="2:5" ht="43.2">
      <c r="B36" s="345" t="s">
        <v>109</v>
      </c>
      <c r="C36" s="345" t="s">
        <v>110</v>
      </c>
      <c r="D36" s="345" t="s">
        <v>111</v>
      </c>
      <c r="E36" s="37" t="s">
        <v>112</v>
      </c>
    </row>
    <row r="37" spans="2:5" ht="57.6">
      <c r="B37" s="346"/>
      <c r="C37" s="346"/>
      <c r="D37" s="346"/>
      <c r="E37" s="37" t="s">
        <v>113</v>
      </c>
    </row>
    <row r="38" spans="2:5" ht="29.4" thickBot="1">
      <c r="B38" s="347"/>
      <c r="C38" s="347"/>
      <c r="D38" s="347"/>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B29:B31"/>
    <mergeCell ref="D29:D31"/>
    <mergeCell ref="B36:B38"/>
    <mergeCell ref="C36:C38"/>
    <mergeCell ref="D36:D38"/>
    <mergeCell ref="B24:B26"/>
    <mergeCell ref="C24:C26"/>
    <mergeCell ref="D24:D26"/>
    <mergeCell ref="F24:F26"/>
    <mergeCell ref="B27:B28"/>
    <mergeCell ref="D27:D28"/>
    <mergeCell ref="E27:E28"/>
    <mergeCell ref="L20:L23"/>
    <mergeCell ref="M20:M23"/>
    <mergeCell ref="N20:N23"/>
    <mergeCell ref="O21:W22"/>
    <mergeCell ref="B22:B23"/>
    <mergeCell ref="C22:C23"/>
    <mergeCell ref="D22:D23"/>
    <mergeCell ref="E22:E23"/>
    <mergeCell ref="F22:F23"/>
    <mergeCell ref="G22:G23"/>
    <mergeCell ref="G17:G18"/>
    <mergeCell ref="B20:B21"/>
    <mergeCell ref="C20:C21"/>
    <mergeCell ref="D20:D21"/>
    <mergeCell ref="E20:E21"/>
    <mergeCell ref="F20:F21"/>
    <mergeCell ref="G20:G21"/>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TRP_E</vt:lpstr>
      <vt:lpstr>COM_2017</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2024-11-21T09:28:22Z</dcterms:modified>
</cp:coreProperties>
</file>