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01405439_wf_uct_ac_za/Documents/Energy Systems Research Group/Models/SATIMGE/Model Documentation/Energy Balances/"/>
    </mc:Choice>
  </mc:AlternateContent>
  <xr:revisionPtr revIDLastSave="59" documentId="8_{CEA892CE-0E67-4DEF-932A-3A4C21F9EBB3}" xr6:coauthVersionLast="47" xr6:coauthVersionMax="47" xr10:uidLastSave="{E5546AD5-63E0-4EE3-8185-B8C0A9BDFAB1}"/>
  <bookViews>
    <workbookView xWindow="30" yWindow="630" windowWidth="28770" windowHeight="15570" activeTab="1" xr2:uid="{00000000-000D-0000-FFFF-FFFF00000000}"/>
  </bookViews>
  <sheets>
    <sheet name="DMRE IEA format" sheetId="1" r:id="rId1"/>
    <sheet name="Eurostats format" sheetId="3" r:id="rId2"/>
  </sheets>
  <externalReferences>
    <externalReference r:id="rId3"/>
    <externalReference r:id="rId4"/>
    <externalReference r:id="rId5"/>
    <externalReference r:id="rId6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3" l="1"/>
  <c r="E8" i="3" l="1"/>
  <c r="F8" i="3"/>
  <c r="G8" i="3"/>
  <c r="H8" i="3"/>
  <c r="I8" i="3"/>
  <c r="J4" i="1"/>
  <c r="J8" i="3"/>
  <c r="I31" i="3"/>
  <c r="G31" i="3"/>
  <c r="F31" i="3"/>
  <c r="E7" i="3"/>
  <c r="E6" i="3"/>
  <c r="E5" i="3"/>
  <c r="U16" i="3"/>
  <c r="J15" i="3"/>
  <c r="I15" i="3"/>
  <c r="E15" i="3"/>
  <c r="D16" i="3"/>
  <c r="D14" i="3"/>
  <c r="P20" i="3"/>
  <c r="O18" i="3"/>
  <c r="J14" i="3"/>
  <c r="E16" i="3"/>
  <c r="F14" i="3"/>
  <c r="H15" i="3"/>
  <c r="G15" i="3"/>
  <c r="F15" i="3"/>
  <c r="H14" i="3"/>
  <c r="G14" i="3"/>
  <c r="T37" i="3"/>
  <c r="T36" i="3"/>
  <c r="T35" i="3"/>
  <c r="T34" i="3"/>
  <c r="E13" i="3" l="1"/>
  <c r="J13" i="3"/>
  <c r="E22" i="3" l="1"/>
  <c r="F22" i="3"/>
  <c r="G22" i="3"/>
  <c r="I22" i="3"/>
  <c r="J22" i="3"/>
  <c r="T22" i="3"/>
  <c r="K22" i="3"/>
  <c r="L22" i="3"/>
  <c r="M22" i="3"/>
  <c r="N22" i="3"/>
  <c r="O22" i="3"/>
  <c r="P22" i="3"/>
  <c r="D22" i="3"/>
  <c r="H31" i="3"/>
  <c r="H22" i="3" s="1"/>
  <c r="T5" i="3"/>
  <c r="K5" i="3"/>
  <c r="L5" i="3"/>
  <c r="M5" i="3"/>
  <c r="N5" i="3"/>
  <c r="O5" i="3"/>
  <c r="P5" i="3"/>
  <c r="F6" i="3"/>
  <c r="G6" i="3"/>
  <c r="H6" i="3"/>
  <c r="I6" i="3"/>
  <c r="J6" i="3"/>
  <c r="T6" i="3"/>
  <c r="K6" i="3"/>
  <c r="L6" i="3"/>
  <c r="M6" i="3"/>
  <c r="N6" i="3"/>
  <c r="O6" i="3"/>
  <c r="P6" i="3"/>
  <c r="F7" i="3"/>
  <c r="G7" i="3"/>
  <c r="H7" i="3"/>
  <c r="I7" i="3"/>
  <c r="J7" i="3"/>
  <c r="T7" i="3"/>
  <c r="K7" i="3"/>
  <c r="L7" i="3"/>
  <c r="M7" i="3"/>
  <c r="N7" i="3"/>
  <c r="O7" i="3"/>
  <c r="P7" i="3"/>
  <c r="K8" i="3"/>
  <c r="L8" i="3"/>
  <c r="M8" i="3"/>
  <c r="N8" i="3"/>
  <c r="O8" i="3"/>
  <c r="P8" i="3"/>
  <c r="D5" i="3"/>
  <c r="D6" i="3"/>
  <c r="D7" i="3"/>
  <c r="D8" i="3"/>
  <c r="Q59" i="1"/>
  <c r="P57" i="1"/>
  <c r="K11" i="3" l="1"/>
  <c r="O11" i="3"/>
  <c r="M11" i="3"/>
  <c r="L11" i="3"/>
  <c r="H11" i="3"/>
  <c r="N11" i="3"/>
  <c r="P11" i="3"/>
  <c r="O13" i="3"/>
  <c r="P13" i="3"/>
  <c r="N13" i="3"/>
  <c r="M13" i="3"/>
  <c r="K13" i="3"/>
  <c r="L13" i="3"/>
  <c r="L39" i="3" l="1"/>
  <c r="P39" i="3"/>
  <c r="N39" i="3"/>
  <c r="M39" i="3"/>
  <c r="O39" i="3"/>
  <c r="K39" i="3"/>
  <c r="E52" i="3" l="1"/>
  <c r="H50" i="3"/>
  <c r="G50" i="3"/>
  <c r="H20" i="1" l="1"/>
  <c r="G20" i="1"/>
  <c r="E22" i="1" l="1"/>
  <c r="K53" i="1" l="1"/>
  <c r="Q10" i="1" l="1"/>
  <c r="P40" i="3" l="1"/>
  <c r="K9" i="1" l="1"/>
  <c r="K8" i="1"/>
  <c r="E43" i="3" l="1"/>
  <c r="E13" i="1"/>
  <c r="E47" i="3"/>
  <c r="E17" i="1"/>
  <c r="E9" i="1" l="1"/>
  <c r="E7" i="1" l="1"/>
  <c r="E44" i="3" l="1"/>
  <c r="E14" i="1"/>
  <c r="E51" i="1"/>
  <c r="E50" i="1" s="1"/>
  <c r="E55" i="1"/>
  <c r="E48" i="3" l="1"/>
  <c r="E18" i="1"/>
  <c r="E74" i="3"/>
  <c r="E44" i="1"/>
  <c r="E6" i="1"/>
  <c r="E72" i="3" l="1"/>
  <c r="E42" i="1"/>
  <c r="E55" i="3"/>
  <c r="E25" i="1"/>
  <c r="E54" i="3"/>
  <c r="E24" i="1"/>
  <c r="E49" i="3"/>
  <c r="E19" i="1"/>
  <c r="E61" i="3"/>
  <c r="E31" i="1"/>
  <c r="E62" i="3"/>
  <c r="E32" i="1"/>
  <c r="E57" i="3"/>
  <c r="E27" i="1"/>
  <c r="E51" i="3"/>
  <c r="E21" i="1"/>
  <c r="E59" i="3"/>
  <c r="E29" i="1"/>
  <c r="E58" i="3"/>
  <c r="E28" i="1"/>
  <c r="E56" i="3"/>
  <c r="E26" i="1"/>
  <c r="E75" i="3"/>
  <c r="E45" i="1"/>
  <c r="E60" i="3"/>
  <c r="E30" i="1"/>
  <c r="E50" i="3"/>
  <c r="E20" i="1"/>
  <c r="E5" i="1"/>
  <c r="E11" i="3" s="1"/>
  <c r="E53" i="1"/>
  <c r="E54" i="1"/>
  <c r="E71" i="3" l="1"/>
  <c r="E41" i="1"/>
  <c r="E52" i="1"/>
  <c r="E39" i="3" s="1"/>
  <c r="E45" i="3" l="1"/>
  <c r="E15" i="1"/>
  <c r="E46" i="3" l="1"/>
  <c r="E16" i="1"/>
  <c r="E42" i="3" l="1"/>
  <c r="E41" i="3" s="1"/>
  <c r="E12" i="1"/>
  <c r="E11" i="1" l="1"/>
  <c r="E10" i="1" s="1"/>
  <c r="D52" i="3" l="1"/>
  <c r="D22" i="1"/>
  <c r="D9" i="3" l="1"/>
  <c r="D11" i="3" s="1"/>
  <c r="D53" i="3" l="1"/>
  <c r="D23" i="1"/>
  <c r="D75" i="3" l="1"/>
  <c r="D45" i="1"/>
  <c r="D74" i="3" l="1"/>
  <c r="D44" i="1"/>
  <c r="D57" i="3"/>
  <c r="D27" i="1"/>
  <c r="D42" i="3"/>
  <c r="D12" i="1"/>
  <c r="D72" i="3"/>
  <c r="D42" i="1"/>
  <c r="D52" i="1"/>
  <c r="D54" i="1"/>
  <c r="D56" i="3" l="1"/>
  <c r="D26" i="1"/>
  <c r="D49" i="3"/>
  <c r="D19" i="1"/>
  <c r="D71" i="3"/>
  <c r="D41" i="1"/>
  <c r="D51" i="3"/>
  <c r="D21" i="1"/>
  <c r="D50" i="3"/>
  <c r="D20" i="1"/>
  <c r="D49" i="1"/>
  <c r="D13" i="3" s="1"/>
  <c r="D39" i="3" s="1"/>
  <c r="D62" i="3" l="1"/>
  <c r="D32" i="1"/>
  <c r="D48" i="1"/>
  <c r="D58" i="3" l="1"/>
  <c r="D41" i="3" s="1"/>
  <c r="D40" i="3" s="1"/>
  <c r="D28" i="1"/>
  <c r="D11" i="1"/>
  <c r="D10" i="1" s="1"/>
  <c r="H9" i="1" l="1"/>
  <c r="G50" i="1"/>
  <c r="G49" i="1"/>
  <c r="F5" i="1"/>
  <c r="F11" i="3" s="1"/>
  <c r="J9" i="1"/>
  <c r="G9" i="1"/>
  <c r="F9" i="1"/>
  <c r="J5" i="1"/>
  <c r="J5" i="3" s="1"/>
  <c r="G13" i="3" l="1"/>
  <c r="J10" i="3"/>
  <c r="J11" i="3" s="1"/>
  <c r="J46" i="1"/>
  <c r="G48" i="1"/>
  <c r="G5" i="1"/>
  <c r="G11" i="3" s="1"/>
  <c r="G39" i="3" l="1"/>
  <c r="G4" i="1"/>
  <c r="I9" i="1" l="1"/>
  <c r="I5" i="1" l="1"/>
  <c r="I11" i="3" s="1"/>
  <c r="F27" i="1" l="1"/>
  <c r="F57" i="3"/>
  <c r="F43" i="1"/>
  <c r="F73" i="3"/>
  <c r="H49" i="1"/>
  <c r="H50" i="1"/>
  <c r="H37" i="1"/>
  <c r="H67" i="3"/>
  <c r="H36" i="1"/>
  <c r="H66" i="3"/>
  <c r="F19" i="1"/>
  <c r="F49" i="3"/>
  <c r="G12" i="1"/>
  <c r="G42" i="3"/>
  <c r="F44" i="1"/>
  <c r="F74" i="3"/>
  <c r="H39" i="1"/>
  <c r="H69" i="3"/>
  <c r="F67" i="3"/>
  <c r="F37" i="1"/>
  <c r="G32" i="1"/>
  <c r="G62" i="3"/>
  <c r="H42" i="1"/>
  <c r="H72" i="3"/>
  <c r="H35" i="1"/>
  <c r="H65" i="3"/>
  <c r="F12" i="1"/>
  <c r="F42" i="3"/>
  <c r="F68" i="3"/>
  <c r="F38" i="1"/>
  <c r="G34" i="1"/>
  <c r="G64" i="3"/>
  <c r="H38" i="1"/>
  <c r="H68" i="3"/>
  <c r="H45" i="1"/>
  <c r="H75" i="3"/>
  <c r="F40" i="1"/>
  <c r="F70" i="3"/>
  <c r="G39" i="1"/>
  <c r="G69" i="3"/>
  <c r="H28" i="1"/>
  <c r="H58" i="3"/>
  <c r="F72" i="3"/>
  <c r="F42" i="1"/>
  <c r="F36" i="1"/>
  <c r="F66" i="3"/>
  <c r="G53" i="3"/>
  <c r="G23" i="1"/>
  <c r="G40" i="1"/>
  <c r="G70" i="3"/>
  <c r="G22" i="1"/>
  <c r="G52" i="3"/>
  <c r="F22" i="1"/>
  <c r="F52" i="3"/>
  <c r="G26" i="1"/>
  <c r="G56" i="3"/>
  <c r="F45" i="1"/>
  <c r="F75" i="3"/>
  <c r="G42" i="1"/>
  <c r="G72" i="3"/>
  <c r="H23" i="1"/>
  <c r="H53" i="3"/>
  <c r="G74" i="3"/>
  <c r="G44" i="1"/>
  <c r="G67" i="3"/>
  <c r="G37" i="1"/>
  <c r="F23" i="1"/>
  <c r="F53" i="3"/>
  <c r="H43" i="1"/>
  <c r="H73" i="3"/>
  <c r="F28" i="1"/>
  <c r="F58" i="3"/>
  <c r="G43" i="1"/>
  <c r="G73" i="3"/>
  <c r="G51" i="3"/>
  <c r="G21" i="1"/>
  <c r="H32" i="1"/>
  <c r="H62" i="3"/>
  <c r="H74" i="3"/>
  <c r="H44" i="1"/>
  <c r="H34" i="1"/>
  <c r="H64" i="3"/>
  <c r="G27" i="1"/>
  <c r="G57" i="3"/>
  <c r="G65" i="3"/>
  <c r="G35" i="1"/>
  <c r="G60" i="3"/>
  <c r="G30" i="1"/>
  <c r="H40" i="1"/>
  <c r="H70" i="3"/>
  <c r="H22" i="1"/>
  <c r="H52" i="3"/>
  <c r="F21" i="1"/>
  <c r="F51" i="3"/>
  <c r="G19" i="1"/>
  <c r="G49" i="3"/>
  <c r="H30" i="1"/>
  <c r="H60" i="3"/>
  <c r="H56" i="3"/>
  <c r="H26" i="1"/>
  <c r="G28" i="1"/>
  <c r="G58" i="3"/>
  <c r="H27" i="1"/>
  <c r="H57" i="3"/>
  <c r="H19" i="1"/>
  <c r="H49" i="3"/>
  <c r="F35" i="1"/>
  <c r="F65" i="3"/>
  <c r="G75" i="3"/>
  <c r="G45" i="1"/>
  <c r="F61" i="3"/>
  <c r="F31" i="1"/>
  <c r="H21" i="1"/>
  <c r="H51" i="3"/>
  <c r="H12" i="1"/>
  <c r="H42" i="3"/>
  <c r="H11" i="1"/>
  <c r="H48" i="1"/>
  <c r="F50" i="1"/>
  <c r="G11" i="1"/>
  <c r="I50" i="1"/>
  <c r="F30" i="1" l="1"/>
  <c r="F60" i="3"/>
  <c r="I39" i="1"/>
  <c r="I69" i="3"/>
  <c r="H71" i="3"/>
  <c r="H41" i="1"/>
  <c r="I43" i="1"/>
  <c r="I73" i="3"/>
  <c r="I23" i="1"/>
  <c r="I53" i="3"/>
  <c r="I27" i="1"/>
  <c r="I57" i="3"/>
  <c r="I36" i="1"/>
  <c r="I38" i="1"/>
  <c r="I68" i="3"/>
  <c r="I66" i="3"/>
  <c r="I26" i="1"/>
  <c r="I56" i="3"/>
  <c r="I19" i="1"/>
  <c r="I49" i="3"/>
  <c r="I70" i="3"/>
  <c r="I40" i="1"/>
  <c r="I45" i="1"/>
  <c r="I75" i="3"/>
  <c r="G36" i="1"/>
  <c r="G66" i="3"/>
  <c r="I32" i="1"/>
  <c r="I62" i="3"/>
  <c r="I64" i="3"/>
  <c r="I34" i="1"/>
  <c r="F39" i="1"/>
  <c r="F69" i="3"/>
  <c r="G38" i="1"/>
  <c r="G68" i="3"/>
  <c r="I67" i="3"/>
  <c r="I37" i="1"/>
  <c r="I42" i="1"/>
  <c r="I72" i="3"/>
  <c r="H13" i="3"/>
  <c r="H39" i="3" s="1"/>
  <c r="F26" i="1"/>
  <c r="F56" i="3"/>
  <c r="I51" i="3"/>
  <c r="I21" i="1"/>
  <c r="I42" i="3"/>
  <c r="I12" i="1"/>
  <c r="F41" i="1"/>
  <c r="F71" i="3"/>
  <c r="I65" i="3"/>
  <c r="I35" i="1"/>
  <c r="I22" i="1"/>
  <c r="I52" i="3"/>
  <c r="F34" i="1"/>
  <c r="F64" i="3"/>
  <c r="I30" i="1"/>
  <c r="I60" i="3"/>
  <c r="H63" i="3"/>
  <c r="H33" i="1"/>
  <c r="I74" i="3"/>
  <c r="I44" i="1"/>
  <c r="I58" i="3"/>
  <c r="I28" i="1"/>
  <c r="G41" i="1"/>
  <c r="G71" i="3"/>
  <c r="I11" i="1"/>
  <c r="H4" i="1"/>
  <c r="I51" i="1"/>
  <c r="I13" i="3" s="1"/>
  <c r="I39" i="3" s="1"/>
  <c r="F11" i="1"/>
  <c r="F49" i="1"/>
  <c r="F13" i="3" s="1"/>
  <c r="F39" i="3" s="1"/>
  <c r="H10" i="1" l="1"/>
  <c r="H41" i="3"/>
  <c r="I41" i="1"/>
  <c r="I71" i="3"/>
  <c r="F33" i="1"/>
  <c r="F10" i="1" s="1"/>
  <c r="F63" i="3"/>
  <c r="F41" i="3" s="1"/>
  <c r="I33" i="1"/>
  <c r="I63" i="3"/>
  <c r="G63" i="3"/>
  <c r="G41" i="3" s="1"/>
  <c r="G33" i="1"/>
  <c r="G10" i="1" s="1"/>
  <c r="F48" i="1"/>
  <c r="I48" i="1"/>
  <c r="I10" i="1" l="1"/>
  <c r="I41" i="3"/>
  <c r="I4" i="1"/>
  <c r="F4" i="1"/>
  <c r="J51" i="1"/>
  <c r="J43" i="1" l="1"/>
  <c r="J73" i="3"/>
  <c r="J21" i="1"/>
  <c r="J51" i="3"/>
  <c r="J30" i="1"/>
  <c r="J60" i="3"/>
  <c r="J68" i="3"/>
  <c r="J38" i="1"/>
  <c r="J45" i="1"/>
  <c r="J75" i="3"/>
  <c r="J44" i="1"/>
  <c r="J74" i="3"/>
  <c r="J34" i="1"/>
  <c r="J64" i="3"/>
  <c r="J39" i="1"/>
  <c r="J69" i="3"/>
  <c r="J32" i="1"/>
  <c r="J62" i="3"/>
  <c r="J28" i="1"/>
  <c r="J58" i="3"/>
  <c r="J40" i="1"/>
  <c r="J70" i="3"/>
  <c r="J49" i="3"/>
  <c r="J19" i="1"/>
  <c r="J22" i="1"/>
  <c r="J52" i="3"/>
  <c r="J23" i="1"/>
  <c r="J53" i="3"/>
  <c r="J27" i="1"/>
  <c r="J57" i="3"/>
  <c r="J66" i="3"/>
  <c r="J36" i="1"/>
  <c r="J42" i="1"/>
  <c r="J72" i="3"/>
  <c r="J35" i="1"/>
  <c r="J65" i="3"/>
  <c r="J26" i="1"/>
  <c r="J56" i="3"/>
  <c r="J42" i="3"/>
  <c r="J12" i="1"/>
  <c r="J37" i="1"/>
  <c r="J67" i="3"/>
  <c r="J50" i="1"/>
  <c r="J49" i="1"/>
  <c r="J39" i="3" s="1"/>
  <c r="J11" i="1"/>
  <c r="J41" i="1" l="1"/>
  <c r="J71" i="3"/>
  <c r="J33" i="1"/>
  <c r="J63" i="3"/>
  <c r="J10" i="1" l="1"/>
  <c r="J41" i="3"/>
  <c r="J48" i="1"/>
  <c r="K54" i="1" l="1"/>
  <c r="K4" i="1"/>
  <c r="T50" i="3" l="1"/>
  <c r="T49" i="3"/>
  <c r="T9" i="3"/>
  <c r="T11" i="3" s="1"/>
  <c r="T63" i="3"/>
  <c r="T75" i="3"/>
  <c r="T58" i="3" l="1"/>
  <c r="T56" i="3"/>
  <c r="T53" i="3"/>
  <c r="K48" i="1"/>
  <c r="T15" i="3"/>
  <c r="T13" i="3" s="1"/>
  <c r="K51" i="1"/>
  <c r="K50" i="1" s="1"/>
  <c r="T57" i="3" l="1"/>
  <c r="T51" i="3"/>
  <c r="T72" i="3"/>
  <c r="T74" i="3"/>
  <c r="K19" i="1"/>
  <c r="K45" i="1" l="1"/>
  <c r="K42" i="1"/>
  <c r="K33" i="1"/>
  <c r="K27" i="1"/>
  <c r="K44" i="1"/>
  <c r="U74" i="3"/>
  <c r="K26" i="1"/>
  <c r="K28" i="1"/>
  <c r="K12" i="1" l="1"/>
  <c r="K20" i="1"/>
  <c r="K21" i="1"/>
  <c r="K23" i="1"/>
  <c r="T42" i="3" l="1"/>
  <c r="T62" i="3" l="1"/>
  <c r="T41" i="3" s="1"/>
  <c r="K32" i="1"/>
  <c r="K11" i="1" l="1"/>
  <c r="K10" i="1" s="1"/>
  <c r="T38" i="3" l="1"/>
  <c r="T3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IdeaPadL340</author>
  </authors>
  <commentList>
    <comment ref="K56" authorId="0" shapeId="0" xr:uid="{A6E94519-DB9E-4D9F-A49F-DDBC2B10933F}">
      <text>
        <r>
          <rPr>
            <b/>
            <sz val="9"/>
            <color indexed="81"/>
            <rFont val="Tahoma"/>
            <family val="2"/>
          </rPr>
          <t>Bianca Tarboton:</t>
        </r>
        <r>
          <rPr>
            <sz val="9"/>
            <color indexed="81"/>
            <rFont val="Tahoma"/>
            <family val="2"/>
          </rPr>
          <t xml:space="preserve">
On site elec production:: 0
</t>
        </r>
      </text>
    </comment>
    <comment ref="K57" authorId="0" shapeId="0" xr:uid="{E4C2EBE7-537F-433B-A137-A04D15DBB2FA}">
      <text>
        <r>
          <rPr>
            <b/>
            <sz val="9"/>
            <color indexed="81"/>
            <rFont val="Tahoma"/>
            <family val="2"/>
          </rPr>
          <t>Bianca Tarboton:</t>
        </r>
        <r>
          <rPr>
            <sz val="9"/>
            <color indexed="81"/>
            <rFont val="Tahoma"/>
            <family val="2"/>
          </rPr>
          <t xml:space="preserve">
On site elec production: 1741</t>
        </r>
      </text>
    </comment>
    <comment ref="K58" authorId="0" shapeId="0" xr:uid="{D7F5C1AB-38AA-494D-977F-D475E7144126}">
      <text>
        <r>
          <rPr>
            <b/>
            <sz val="9"/>
            <color indexed="81"/>
            <rFont val="Tahoma"/>
            <family val="2"/>
          </rPr>
          <t>Bianca Tarboton:</t>
        </r>
        <r>
          <rPr>
            <sz val="9"/>
            <color indexed="81"/>
            <rFont val="Tahoma"/>
            <family val="2"/>
          </rPr>
          <t xml:space="preserve">
On site elec production:  708</t>
        </r>
      </text>
    </comment>
    <comment ref="K59" authorId="0" shapeId="0" xr:uid="{F3412AC1-DCD0-46CD-9845-94CB9EC40261}">
      <text>
        <r>
          <rPr>
            <b/>
            <sz val="9"/>
            <color indexed="81"/>
            <rFont val="Tahoma"/>
            <family val="2"/>
          </rPr>
          <t>Bianca Tarboton:</t>
        </r>
        <r>
          <rPr>
            <sz val="9"/>
            <color indexed="81"/>
            <rFont val="Tahoma"/>
            <family val="2"/>
          </rPr>
          <t xml:space="preserve">
On site elec production: 2354</t>
        </r>
      </text>
    </comment>
    <comment ref="K60" authorId="0" shapeId="0" xr:uid="{14F869B7-338E-4DA2-95DD-9C4941D2C477}">
      <text>
        <r>
          <rPr>
            <b/>
            <sz val="9"/>
            <color indexed="81"/>
            <rFont val="Tahoma"/>
            <family val="2"/>
          </rPr>
          <t>Bianca Tarboton</t>
        </r>
        <r>
          <rPr>
            <sz val="9"/>
            <color indexed="81"/>
            <rFont val="Tahoma"/>
            <family val="2"/>
          </rPr>
          <t xml:space="preserve">
On site elec production: 4552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tc={1C07051E-A6AA-4612-858C-FBB29F8FA539}</author>
    <author>tc={6A250DDE-FFD3-49CB-8694-955C72F9870D}</author>
    <author>tc={98A85EF0-9C22-4F46-AC29-4341C323A5C7}</author>
  </authors>
  <commentList>
    <comment ref="B16" authorId="0" shapeId="0" xr:uid="{1C07051E-A6AA-4612-858C-FBB29F8FA539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split this into GTL and CTL</t>
      </text>
    </comment>
    <comment ref="B17" authorId="1" shapeId="0" xr:uid="{6A250DDE-FFD3-49CB-8694-955C72F9870D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add values and rows here for other sectors</t>
      </text>
    </comment>
    <comment ref="T42" authorId="2" shapeId="0" xr:uid="{98A85EF0-9C22-4F46-AC29-4341C323A5C7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link this to "Including own Gen"</t>
      </text>
    </comment>
  </commentList>
</comments>
</file>

<file path=xl/sharedStrings.xml><?xml version="1.0" encoding="utf-8"?>
<sst xmlns="http://schemas.openxmlformats.org/spreadsheetml/2006/main" count="189" uniqueCount="95">
  <si>
    <t>Liquid fuel</t>
  </si>
  <si>
    <t>Biomass</t>
  </si>
  <si>
    <t>Fuel Type</t>
  </si>
  <si>
    <t>Coal</t>
  </si>
  <si>
    <t>Natural Gas</t>
  </si>
  <si>
    <t>Diesel</t>
  </si>
  <si>
    <t>Gasoline</t>
  </si>
  <si>
    <t>LPG</t>
  </si>
  <si>
    <t>Kerosene</t>
  </si>
  <si>
    <t>HFO</t>
  </si>
  <si>
    <t>Electricity</t>
  </si>
  <si>
    <t>Bagasse</t>
  </si>
  <si>
    <t>Biodiesel</t>
  </si>
  <si>
    <t>Bioethanol</t>
  </si>
  <si>
    <t>Biogas</t>
  </si>
  <si>
    <t>Biomass Other</t>
  </si>
  <si>
    <t>Wood</t>
  </si>
  <si>
    <t>Units</t>
  </si>
  <si>
    <t>PJ</t>
  </si>
  <si>
    <t>Total Supply</t>
  </si>
  <si>
    <t>Primary Production</t>
  </si>
  <si>
    <t>Extraction (Petro SA)</t>
  </si>
  <si>
    <t>ByProduct (Sasol CTL)</t>
  </si>
  <si>
    <t>Power</t>
  </si>
  <si>
    <t>Import</t>
  </si>
  <si>
    <t>Total Consumption (excl transformation)</t>
  </si>
  <si>
    <t>Industry Sector</t>
  </si>
  <si>
    <t>Chemicals33</t>
  </si>
  <si>
    <t>Boilers (Combustion) Sasol</t>
  </si>
  <si>
    <t>Material Use Sasol (ex Ammonia)</t>
  </si>
  <si>
    <t>Boilers (Combustion) ex Sasol</t>
  </si>
  <si>
    <t>Material Use ex Sasol</t>
  </si>
  <si>
    <t>Ammonia Production</t>
  </si>
  <si>
    <t>Chemicals (Elc Gen)</t>
  </si>
  <si>
    <t>Iron and Steel</t>
  </si>
  <si>
    <t>Non-Ferrous Metals</t>
  </si>
  <si>
    <t>Non-Metallic Minerals</t>
  </si>
  <si>
    <t>Aluminium35220</t>
  </si>
  <si>
    <t>FerroAlloys</t>
  </si>
  <si>
    <t>Transport Equipment</t>
  </si>
  <si>
    <t>Machinery</t>
  </si>
  <si>
    <t>Mining and Quarrying</t>
  </si>
  <si>
    <t>Food and Tobacco</t>
  </si>
  <si>
    <t>Paper Pulp and Print</t>
  </si>
  <si>
    <t>Wood and Wood Products</t>
  </si>
  <si>
    <t>Construction</t>
  </si>
  <si>
    <t>Textile and Leather</t>
  </si>
  <si>
    <t>Non-specified (Industry)</t>
  </si>
  <si>
    <t>Transport</t>
  </si>
  <si>
    <t>Road</t>
  </si>
  <si>
    <t>CTL (material use)</t>
  </si>
  <si>
    <t>GTL</t>
  </si>
  <si>
    <t>Air- International</t>
  </si>
  <si>
    <t>CTL (energy)</t>
  </si>
  <si>
    <t>Air- Domestic</t>
  </si>
  <si>
    <t>Crude Refineries</t>
  </si>
  <si>
    <t>Sea- International</t>
  </si>
  <si>
    <t>Total Refineries</t>
  </si>
  <si>
    <t>Sea- Domestic</t>
  </si>
  <si>
    <t>Auto-Producers</t>
  </si>
  <si>
    <t>AutoProd-Commerce</t>
  </si>
  <si>
    <t>Rail</t>
  </si>
  <si>
    <t>AutoProd-Pulp and Paper</t>
  </si>
  <si>
    <t>Pipeline</t>
  </si>
  <si>
    <t>AutoProd-Food and Bev</t>
  </si>
  <si>
    <t>Other Sectors</t>
  </si>
  <si>
    <t>AutoProd-Chemicals (Sasol)</t>
  </si>
  <si>
    <t>Agriculture</t>
  </si>
  <si>
    <t>AutoProd-Synfuels (Sasol)</t>
  </si>
  <si>
    <t>Fishing</t>
  </si>
  <si>
    <t>Commerce and Public Services</t>
  </si>
  <si>
    <t>Residential</t>
  </si>
  <si>
    <t>Marine Bunkers</t>
  </si>
  <si>
    <t>Total Consumption (incl transformation)</t>
  </si>
  <si>
    <t>Transformation Sector</t>
  </si>
  <si>
    <t>Crude Refineries (Natref?)</t>
  </si>
  <si>
    <t>Liquefaction</t>
  </si>
  <si>
    <t>GTL Plants</t>
  </si>
  <si>
    <t>CTL Plants (Process/ energy)</t>
  </si>
  <si>
    <t>CTL Plants (Elc Gen)</t>
  </si>
  <si>
    <t>Hydro</t>
  </si>
  <si>
    <t>Solar</t>
  </si>
  <si>
    <t>Wind</t>
  </si>
  <si>
    <t>Imports</t>
  </si>
  <si>
    <t>Exports</t>
  </si>
  <si>
    <t>Total Primary Supply</t>
  </si>
  <si>
    <t>Transformation Input</t>
  </si>
  <si>
    <t>Transformation Output</t>
  </si>
  <si>
    <t>Grid Power</t>
  </si>
  <si>
    <t>Coal Based</t>
  </si>
  <si>
    <t>Nuclear</t>
  </si>
  <si>
    <t>Diesel based</t>
  </si>
  <si>
    <t>Solar PV</t>
  </si>
  <si>
    <t>Distribution Losses</t>
  </si>
  <si>
    <t>Available for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</si>
</sst>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5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2">
    <xf numFmtId="0" fontId="0" fillId="0" borderId="0" xfId="0"/>
    <xf numFmtId="0" fontId="0" fillId="0" borderId="6" xfId="0" applyBorder="1"/>
    <xf numFmtId="0" fontId="0" fillId="0" borderId="19" xfId="0" applyBorder="1"/>
    <xf numFmtId="0" fontId="1" fillId="0" borderId="0" xfId="0" applyFont="1"/>
    <xf numFmtId="0" fontId="2" fillId="0" borderId="41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42" xfId="0" applyFont="1" applyBorder="1"/>
    <xf numFmtId="0" fontId="2" fillId="0" borderId="30" xfId="0" applyFont="1" applyBorder="1"/>
    <xf numFmtId="0" fontId="2" fillId="0" borderId="31" xfId="0" applyFont="1" applyBorder="1"/>
    <xf numFmtId="0" fontId="2" fillId="0" borderId="40" xfId="0" applyFont="1" applyBorder="1"/>
    <xf numFmtId="0" fontId="2" fillId="0" borderId="9" xfId="0" applyFont="1" applyBorder="1"/>
    <xf numFmtId="0" fontId="2" fillId="0" borderId="27" xfId="0" applyFont="1" applyBorder="1"/>
    <xf numFmtId="0" fontId="2" fillId="0" borderId="39" xfId="0" applyFont="1" applyBorder="1"/>
    <xf numFmtId="0" fontId="2" fillId="0" borderId="25" xfId="0" applyFont="1" applyBorder="1"/>
    <xf numFmtId="0" fontId="2" fillId="0" borderId="26" xfId="0" applyFont="1" applyBorder="1"/>
    <xf numFmtId="0" fontId="3" fillId="0" borderId="43" xfId="0" applyFont="1" applyBorder="1"/>
    <xf numFmtId="0" fontId="3" fillId="0" borderId="22" xfId="0" applyFont="1" applyBorder="1"/>
    <xf numFmtId="0" fontId="3" fillId="0" borderId="38" xfId="0" applyFont="1" applyBorder="1"/>
    <xf numFmtId="0" fontId="2" fillId="0" borderId="13" xfId="0" applyFont="1" applyBorder="1"/>
    <xf numFmtId="0" fontId="2" fillId="0" borderId="18" xfId="0" applyFont="1" applyBorder="1"/>
    <xf numFmtId="0" fontId="2" fillId="0" borderId="19" xfId="0" applyFont="1" applyBorder="1"/>
    <xf numFmtId="0" fontId="3" fillId="0" borderId="50" xfId="0" applyFont="1" applyBorder="1" applyAlignment="1">
      <alignment horizontal="left"/>
    </xf>
    <xf numFmtId="0" fontId="2" fillId="0" borderId="5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5" fillId="0" borderId="4" xfId="0" applyFont="1" applyBorder="1"/>
    <xf numFmtId="0" fontId="5" fillId="0" borderId="31" xfId="0" applyFont="1" applyBorder="1"/>
    <xf numFmtId="0" fontId="5" fillId="0" borderId="6" xfId="0" applyFont="1" applyBorder="1"/>
    <xf numFmtId="0" fontId="5" fillId="0" borderId="27" xfId="0" applyFont="1" applyBorder="1"/>
    <xf numFmtId="0" fontId="5" fillId="0" borderId="26" xfId="0" applyFont="1" applyBorder="1"/>
    <xf numFmtId="0" fontId="4" fillId="0" borderId="29" xfId="0" applyFont="1" applyBorder="1"/>
    <xf numFmtId="0" fontId="4" fillId="0" borderId="35" xfId="0" applyFont="1" applyBorder="1"/>
    <xf numFmtId="0" fontId="4" fillId="0" borderId="4" xfId="0" applyFont="1" applyBorder="1"/>
    <xf numFmtId="0" fontId="4" fillId="0" borderId="31" xfId="0" applyFont="1" applyBorder="1"/>
    <xf numFmtId="2" fontId="2" fillId="0" borderId="30" xfId="0" applyNumberFormat="1" applyFont="1" applyBorder="1"/>
    <xf numFmtId="0" fontId="4" fillId="0" borderId="6" xfId="0" applyFont="1" applyBorder="1"/>
    <xf numFmtId="0" fontId="4" fillId="0" borderId="27" xfId="0" applyFont="1" applyBorder="1"/>
    <xf numFmtId="2" fontId="2" fillId="0" borderId="9" xfId="0" applyNumberFormat="1" applyFont="1" applyBorder="1"/>
    <xf numFmtId="0" fontId="5" fillId="0" borderId="20" xfId="0" applyFont="1" applyBorder="1"/>
    <xf numFmtId="0" fontId="4" fillId="0" borderId="24" xfId="0" applyFont="1" applyBorder="1"/>
    <xf numFmtId="0" fontId="4" fillId="0" borderId="38" xfId="0" applyFont="1" applyBorder="1"/>
    <xf numFmtId="0" fontId="5" fillId="0" borderId="19" xfId="0" applyFont="1" applyBorder="1"/>
    <xf numFmtId="0" fontId="3" fillId="0" borderId="47" xfId="0" applyFont="1" applyBorder="1"/>
    <xf numFmtId="0" fontId="3" fillId="0" borderId="48" xfId="0" applyFont="1" applyBorder="1"/>
    <xf numFmtId="0" fontId="3" fillId="0" borderId="46" xfId="0" applyFont="1" applyBorder="1"/>
    <xf numFmtId="0" fontId="3" fillId="0" borderId="40" xfId="0" applyFont="1" applyBorder="1"/>
    <xf numFmtId="2" fontId="3" fillId="0" borderId="9" xfId="0" applyNumberFormat="1" applyFont="1" applyBorder="1"/>
    <xf numFmtId="0" fontId="3" fillId="0" borderId="9" xfId="0" applyFont="1" applyBorder="1"/>
    <xf numFmtId="0" fontId="3" fillId="0" borderId="27" xfId="0" applyFont="1" applyBorder="1"/>
    <xf numFmtId="0" fontId="3" fillId="0" borderId="42" xfId="0" applyFont="1" applyBorder="1"/>
    <xf numFmtId="2" fontId="3" fillId="0" borderId="30" xfId="0" applyNumberFormat="1" applyFont="1" applyBorder="1"/>
    <xf numFmtId="0" fontId="3" fillId="0" borderId="30" xfId="0" applyFont="1" applyBorder="1"/>
    <xf numFmtId="0" fontId="3" fillId="0" borderId="31" xfId="0" applyFont="1" applyBorder="1"/>
    <xf numFmtId="2" fontId="3" fillId="0" borderId="22" xfId="0" applyNumberFormat="1" applyFont="1" applyBorder="1"/>
    <xf numFmtId="2" fontId="2" fillId="0" borderId="18" xfId="0" applyNumberFormat="1" applyFont="1" applyBorder="1"/>
    <xf numFmtId="2" fontId="2" fillId="0" borderId="25" xfId="0" applyNumberFormat="1" applyFont="1" applyBorder="1"/>
    <xf numFmtId="0" fontId="4" fillId="0" borderId="20" xfId="0" applyFont="1" applyBorder="1"/>
    <xf numFmtId="0" fontId="4" fillId="0" borderId="26" xfId="0" applyFont="1" applyBorder="1"/>
    <xf numFmtId="0" fontId="3" fillId="0" borderId="39" xfId="0" applyFont="1" applyBorder="1"/>
    <xf numFmtId="2" fontId="3" fillId="0" borderId="25" xfId="0" applyNumberFormat="1" applyFont="1" applyBorder="1"/>
    <xf numFmtId="4" fontId="3" fillId="0" borderId="30" xfId="0" applyNumberFormat="1" applyFont="1" applyBorder="1"/>
    <xf numFmtId="4" fontId="2" fillId="0" borderId="9" xfId="0" applyNumberFormat="1" applyFont="1" applyBorder="1"/>
    <xf numFmtId="4" fontId="3" fillId="0" borderId="9" xfId="0" applyNumberFormat="1" applyFont="1" applyBorder="1"/>
    <xf numFmtId="4" fontId="3" fillId="0" borderId="25" xfId="0" applyNumberFormat="1" applyFont="1" applyBorder="1"/>
    <xf numFmtId="4" fontId="3" fillId="0" borderId="22" xfId="0" applyNumberFormat="1" applyFont="1" applyBorder="1"/>
    <xf numFmtId="4" fontId="2" fillId="0" borderId="30" xfId="0" applyNumberFormat="1" applyFont="1" applyBorder="1"/>
    <xf numFmtId="4" fontId="2" fillId="0" borderId="18" xfId="0" applyNumberFormat="1" applyFont="1" applyBorder="1"/>
    <xf numFmtId="0" fontId="3" fillId="0" borderId="51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21" xfId="0" applyFont="1" applyBorder="1"/>
    <xf numFmtId="4" fontId="3" fillId="0" borderId="5" xfId="0" applyNumberFormat="1" applyFont="1" applyBorder="1"/>
    <xf numFmtId="4" fontId="2" fillId="0" borderId="7" xfId="0" applyNumberFormat="1" applyFont="1" applyBorder="1"/>
    <xf numFmtId="4" fontId="3" fillId="0" borderId="7" xfId="0" applyNumberFormat="1" applyFont="1" applyBorder="1"/>
    <xf numFmtId="4" fontId="3" fillId="0" borderId="21" xfId="0" applyNumberFormat="1" applyFont="1" applyBorder="1"/>
    <xf numFmtId="4" fontId="3" fillId="0" borderId="28" xfId="0" applyNumberFormat="1" applyFont="1" applyBorder="1"/>
    <xf numFmtId="4" fontId="2" fillId="0" borderId="5" xfId="0" applyNumberFormat="1" applyFont="1" applyBorder="1"/>
    <xf numFmtId="4" fontId="2" fillId="0" borderId="11" xfId="0" applyNumberFormat="1" applyFont="1" applyBorder="1"/>
    <xf numFmtId="0" fontId="3" fillId="0" borderId="32" xfId="0" applyFont="1" applyBorder="1"/>
    <xf numFmtId="0" fontId="3" fillId="0" borderId="33" xfId="0" applyFont="1" applyBorder="1"/>
    <xf numFmtId="0" fontId="3" fillId="0" borderId="34" xfId="0" applyFont="1" applyBorder="1"/>
    <xf numFmtId="0" fontId="2" fillId="0" borderId="52" xfId="0" applyFont="1" applyBorder="1"/>
    <xf numFmtId="0" fontId="2" fillId="0" borderId="6" xfId="0" applyFont="1" applyBorder="1"/>
    <xf numFmtId="4" fontId="0" fillId="0" borderId="0" xfId="0" applyNumberFormat="1"/>
    <xf numFmtId="0" fontId="2" fillId="0" borderId="55" xfId="0" applyFont="1" applyBorder="1"/>
    <xf numFmtId="0" fontId="2" fillId="0" borderId="56" xfId="0" applyFont="1" applyBorder="1"/>
    <xf numFmtId="0" fontId="5" fillId="0" borderId="56" xfId="0" applyFont="1" applyBorder="1"/>
    <xf numFmtId="4" fontId="2" fillId="0" borderId="25" xfId="0" applyNumberFormat="1" applyFont="1" applyBorder="1"/>
    <xf numFmtId="4" fontId="2" fillId="0" borderId="21" xfId="0" applyNumberFormat="1" applyFont="1" applyBorder="1"/>
    <xf numFmtId="0" fontId="5" fillId="0" borderId="10" xfId="0" applyFont="1" applyBorder="1"/>
    <xf numFmtId="2" fontId="3" fillId="0" borderId="41" xfId="0" applyNumberFormat="1" applyFont="1" applyBorder="1"/>
    <xf numFmtId="4" fontId="3" fillId="0" borderId="3" xfId="0" applyNumberFormat="1" applyFont="1" applyBorder="1"/>
    <xf numFmtId="0" fontId="3" fillId="0" borderId="36" xfId="0" applyFont="1" applyBorder="1"/>
    <xf numFmtId="4" fontId="3" fillId="0" borderId="37" xfId="0" applyNumberFormat="1" applyFont="1" applyBorder="1"/>
    <xf numFmtId="2" fontId="3" fillId="0" borderId="42" xfId="0" applyNumberFormat="1" applyFont="1" applyBorder="1"/>
    <xf numFmtId="2" fontId="2" fillId="0" borderId="40" xfId="0" applyNumberFormat="1" applyFont="1" applyBorder="1"/>
    <xf numFmtId="0" fontId="5" fillId="3" borderId="27" xfId="0" applyFont="1" applyFill="1" applyBorder="1"/>
    <xf numFmtId="0" fontId="2" fillId="3" borderId="39" xfId="0" applyFont="1" applyFill="1" applyBorder="1"/>
    <xf numFmtId="2" fontId="2" fillId="3" borderId="25" xfId="0" applyNumberFormat="1" applyFont="1" applyFill="1" applyBorder="1"/>
    <xf numFmtId="2" fontId="0" fillId="0" borderId="0" xfId="0" applyNumberFormat="1"/>
    <xf numFmtId="2" fontId="2" fillId="0" borderId="36" xfId="0" applyNumberFormat="1" applyFont="1" applyBorder="1"/>
    <xf numFmtId="0" fontId="0" fillId="0" borderId="8" xfId="0" applyBorder="1"/>
    <xf numFmtId="3" fontId="2" fillId="0" borderId="21" xfId="0" applyNumberFormat="1" applyFont="1" applyBorder="1"/>
    <xf numFmtId="0" fontId="2" fillId="0" borderId="14" xfId="0" applyFont="1" applyBorder="1"/>
    <xf numFmtId="4" fontId="2" fillId="0" borderId="44" xfId="0" applyNumberFormat="1" applyFont="1" applyBorder="1"/>
    <xf numFmtId="0" fontId="2" fillId="0" borderId="58" xfId="0" applyFont="1" applyBorder="1"/>
    <xf numFmtId="0" fontId="2" fillId="0" borderId="59" xfId="0" applyFont="1" applyBorder="1"/>
    <xf numFmtId="0" fontId="3" fillId="0" borderId="58" xfId="0" applyFont="1" applyBorder="1"/>
    <xf numFmtId="0" fontId="3" fillId="0" borderId="55" xfId="0" applyFont="1" applyBorder="1"/>
    <xf numFmtId="0" fontId="2" fillId="0" borderId="61" xfId="0" applyFont="1" applyBorder="1"/>
    <xf numFmtId="2" fontId="2" fillId="0" borderId="4" xfId="0" applyNumberFormat="1" applyFont="1" applyBorder="1"/>
    <xf numFmtId="2" fontId="2" fillId="0" borderId="6" xfId="0" applyNumberFormat="1" applyFont="1" applyBorder="1"/>
    <xf numFmtId="0" fontId="2" fillId="0" borderId="44" xfId="0" applyFont="1" applyBorder="1"/>
    <xf numFmtId="2" fontId="3" fillId="0" borderId="4" xfId="0" applyNumberFormat="1" applyFont="1" applyBorder="1"/>
    <xf numFmtId="2" fontId="2" fillId="0" borderId="27" xfId="0" applyNumberFormat="1" applyFont="1" applyBorder="1"/>
    <xf numFmtId="2" fontId="3" fillId="0" borderId="6" xfId="0" applyNumberFormat="1" applyFont="1" applyBorder="1"/>
    <xf numFmtId="2" fontId="3" fillId="0" borderId="27" xfId="0" applyNumberFormat="1" applyFont="1" applyBorder="1"/>
    <xf numFmtId="0" fontId="3" fillId="0" borderId="62" xfId="0" applyFont="1" applyBorder="1"/>
    <xf numFmtId="2" fontId="2" fillId="0" borderId="20" xfId="0" applyNumberFormat="1" applyFont="1" applyBorder="1"/>
    <xf numFmtId="2" fontId="2" fillId="0" borderId="10" xfId="0" applyNumberFormat="1" applyFont="1" applyBorder="1"/>
    <xf numFmtId="4" fontId="3" fillId="0" borderId="63" xfId="0" applyNumberFormat="1" applyFont="1" applyBorder="1"/>
    <xf numFmtId="4" fontId="2" fillId="0" borderId="64" xfId="0" applyNumberFormat="1" applyFont="1" applyBorder="1"/>
    <xf numFmtId="4" fontId="2" fillId="0" borderId="63" xfId="0" applyNumberFormat="1" applyFont="1" applyBorder="1"/>
    <xf numFmtId="2" fontId="3" fillId="0" borderId="63" xfId="0" applyNumberFormat="1" applyFont="1" applyBorder="1"/>
    <xf numFmtId="4" fontId="2" fillId="0" borderId="66" xfId="0" applyNumberFormat="1" applyFont="1" applyBorder="1"/>
    <xf numFmtId="4" fontId="2" fillId="0" borderId="65" xfId="0" applyNumberFormat="1" applyFont="1" applyBorder="1"/>
    <xf numFmtId="4" fontId="2" fillId="0" borderId="67" xfId="0" applyNumberFormat="1" applyFont="1" applyBorder="1"/>
    <xf numFmtId="4" fontId="3" fillId="0" borderId="68" xfId="0" applyNumberFormat="1" applyFont="1" applyBorder="1"/>
    <xf numFmtId="4" fontId="2" fillId="0" borderId="69" xfId="0" applyNumberFormat="1" applyFont="1" applyBorder="1"/>
    <xf numFmtId="4" fontId="3" fillId="0" borderId="69" xfId="0" applyNumberFormat="1" applyFont="1" applyBorder="1"/>
    <xf numFmtId="4" fontId="2" fillId="0" borderId="68" xfId="0" applyNumberFormat="1" applyFont="1" applyBorder="1"/>
    <xf numFmtId="2" fontId="3" fillId="0" borderId="62" xfId="0" applyNumberFormat="1" applyFont="1" applyBorder="1"/>
    <xf numFmtId="4" fontId="2" fillId="0" borderId="50" xfId="0" applyNumberFormat="1" applyFont="1" applyBorder="1"/>
    <xf numFmtId="4" fontId="2" fillId="0" borderId="12" xfId="0" applyNumberFormat="1" applyFont="1" applyBorder="1"/>
    <xf numFmtId="0" fontId="3" fillId="0" borderId="47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4" fillId="0" borderId="67" xfId="0" applyFont="1" applyBorder="1"/>
    <xf numFmtId="0" fontId="4" fillId="0" borderId="60" xfId="0" applyFont="1" applyBorder="1"/>
    <xf numFmtId="2" fontId="2" fillId="0" borderId="19" xfId="0" applyNumberFormat="1" applyFont="1" applyBorder="1"/>
    <xf numFmtId="2" fontId="2" fillId="0" borderId="55" xfId="0" applyNumberFormat="1" applyFont="1" applyBorder="1"/>
    <xf numFmtId="2" fontId="3" fillId="0" borderId="58" xfId="0" applyNumberFormat="1" applyFont="1" applyBorder="1"/>
    <xf numFmtId="0" fontId="8" fillId="0" borderId="6" xfId="0" applyFont="1" applyBorder="1"/>
    <xf numFmtId="2" fontId="8" fillId="0" borderId="55" xfId="0" applyNumberFormat="1" applyFont="1" applyBorder="1"/>
    <xf numFmtId="2" fontId="8" fillId="0" borderId="6" xfId="0" applyNumberFormat="1" applyFont="1" applyBorder="1"/>
    <xf numFmtId="2" fontId="8" fillId="0" borderId="9" xfId="0" applyNumberFormat="1" applyFont="1" applyBorder="1"/>
    <xf numFmtId="0" fontId="8" fillId="0" borderId="9" xfId="0" applyFont="1" applyBorder="1"/>
    <xf numFmtId="0" fontId="8" fillId="0" borderId="27" xfId="0" applyFont="1" applyBorder="1"/>
    <xf numFmtId="0" fontId="9" fillId="0" borderId="0" xfId="0" applyFont="1"/>
    <xf numFmtId="0" fontId="4" fillId="0" borderId="49" xfId="0" applyFont="1" applyBorder="1"/>
    <xf numFmtId="0" fontId="4" fillId="0" borderId="45" xfId="0" applyFont="1" applyBorder="1"/>
    <xf numFmtId="0" fontId="4" fillId="0" borderId="46" xfId="0" applyFont="1" applyBorder="1"/>
    <xf numFmtId="0" fontId="3" fillId="0" borderId="16" xfId="0" applyFont="1" applyBorder="1"/>
    <xf numFmtId="2" fontId="3" fillId="0" borderId="45" xfId="0" applyNumberFormat="1" applyFont="1" applyBorder="1"/>
    <xf numFmtId="4" fontId="3" fillId="0" borderId="15" xfId="0" applyNumberFormat="1" applyFont="1" applyBorder="1"/>
    <xf numFmtId="0" fontId="4" fillId="0" borderId="33" xfId="0" applyFont="1" applyBorder="1"/>
    <xf numFmtId="2" fontId="3" fillId="0" borderId="54" xfId="0" applyNumberFormat="1" applyFont="1" applyBorder="1"/>
    <xf numFmtId="2" fontId="2" fillId="0" borderId="60" xfId="0" applyNumberFormat="1" applyFont="1" applyBorder="1"/>
    <xf numFmtId="0" fontId="0" fillId="0" borderId="9" xfId="0" applyBorder="1"/>
    <xf numFmtId="0" fontId="0" fillId="0" borderId="27" xfId="0" applyBorder="1"/>
    <xf numFmtId="0" fontId="5" fillId="0" borderId="73" xfId="0" applyFont="1" applyBorder="1"/>
    <xf numFmtId="0" fontId="5" fillId="0" borderId="74" xfId="0" applyFont="1" applyBorder="1"/>
    <xf numFmtId="2" fontId="2" fillId="0" borderId="42" xfId="0" applyNumberFormat="1" applyFont="1" applyBorder="1"/>
    <xf numFmtId="2" fontId="2" fillId="0" borderId="39" xfId="0" applyNumberFormat="1" applyFont="1" applyBorder="1"/>
    <xf numFmtId="2" fontId="2" fillId="0" borderId="13" xfId="0" applyNumberFormat="1" applyFont="1" applyBorder="1"/>
    <xf numFmtId="0" fontId="2" fillId="0" borderId="75" xfId="0" applyFont="1" applyBorder="1"/>
    <xf numFmtId="0" fontId="0" fillId="0" borderId="55" xfId="0" applyBorder="1"/>
    <xf numFmtId="2" fontId="2" fillId="0" borderId="73" xfId="0" applyNumberFormat="1" applyFont="1" applyBorder="1"/>
    <xf numFmtId="2" fontId="2" fillId="0" borderId="76" xfId="0" applyNumberFormat="1" applyFont="1" applyBorder="1"/>
    <xf numFmtId="0" fontId="2" fillId="0" borderId="76" xfId="0" applyFont="1" applyBorder="1"/>
    <xf numFmtId="0" fontId="2" fillId="0" borderId="74" xfId="0" applyFont="1" applyBorder="1"/>
    <xf numFmtId="0" fontId="4" fillId="0" borderId="24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2" fontId="3" fillId="0" borderId="24" xfId="0" applyNumberFormat="1" applyFont="1" applyBorder="1"/>
    <xf numFmtId="2" fontId="3" fillId="0" borderId="38" xfId="0" applyNumberFormat="1" applyFont="1" applyBorder="1"/>
    <xf numFmtId="2" fontId="3" fillId="0" borderId="77" xfId="0" applyNumberFormat="1" applyFont="1" applyBorder="1"/>
    <xf numFmtId="2" fontId="2" fillId="0" borderId="31" xfId="0" applyNumberFormat="1" applyFont="1" applyBorder="1"/>
    <xf numFmtId="0" fontId="0" fillId="0" borderId="64" xfId="0" applyBorder="1"/>
    <xf numFmtId="0" fontId="2" fillId="0" borderId="73" xfId="0" applyFont="1" applyBorder="1"/>
    <xf numFmtId="0" fontId="3" fillId="0" borderId="24" xfId="0" applyFont="1" applyBorder="1"/>
    <xf numFmtId="3" fontId="2" fillId="0" borderId="50" xfId="0" applyNumberFormat="1" applyFont="1" applyBorder="1"/>
    <xf numFmtId="0" fontId="4" fillId="0" borderId="73" xfId="0" applyFont="1" applyBorder="1"/>
    <xf numFmtId="0" fontId="4" fillId="0" borderId="74" xfId="0" applyFont="1" applyBorder="1"/>
    <xf numFmtId="2" fontId="0" fillId="0" borderId="15" xfId="0" applyNumberFormat="1" applyBorder="1"/>
    <xf numFmtId="2" fontId="2" fillId="0" borderId="26" xfId="0" applyNumberFormat="1" applyFont="1" applyBorder="1"/>
    <xf numFmtId="3" fontId="2" fillId="0" borderId="80" xfId="0" applyNumberFormat="1" applyFont="1" applyBorder="1"/>
    <xf numFmtId="4" fontId="2" fillId="3" borderId="64" xfId="0" applyNumberFormat="1" applyFont="1" applyFill="1" applyBorder="1"/>
    <xf numFmtId="0" fontId="2" fillId="0" borderId="0" xfId="0" applyFont="1"/>
    <xf numFmtId="0" fontId="5" fillId="0" borderId="81" xfId="0" applyFont="1" applyBorder="1"/>
    <xf numFmtId="0" fontId="3" fillId="0" borderId="53" xfId="0" applyFont="1" applyBorder="1" applyAlignment="1">
      <alignment horizontal="center"/>
    </xf>
    <xf numFmtId="0" fontId="3" fillId="0" borderId="54" xfId="0" applyFont="1" applyBorder="1" applyAlignment="1">
      <alignment horizontal="center"/>
    </xf>
    <xf numFmtId="0" fontId="3" fillId="4" borderId="32" xfId="0" applyFont="1" applyFill="1" applyBorder="1" applyAlignment="1">
      <alignment horizontal="center"/>
    </xf>
    <xf numFmtId="0" fontId="3" fillId="4" borderId="53" xfId="0" applyFont="1" applyFill="1" applyBorder="1" applyAlignment="1">
      <alignment horizontal="center"/>
    </xf>
    <xf numFmtId="0" fontId="3" fillId="4" borderId="54" xfId="0" applyFont="1" applyFill="1" applyBorder="1" applyAlignment="1">
      <alignment horizontal="center"/>
    </xf>
    <xf numFmtId="0" fontId="3" fillId="0" borderId="70" xfId="0" applyFont="1" applyBorder="1" applyAlignment="1">
      <alignment horizontal="center" vertical="top"/>
    </xf>
    <xf numFmtId="0" fontId="3" fillId="0" borderId="71" xfId="0" applyFont="1" applyBorder="1" applyAlignment="1">
      <alignment horizontal="center" vertical="top"/>
    </xf>
    <xf numFmtId="0" fontId="5" fillId="3" borderId="6" xfId="0" applyFont="1" applyFill="1" applyBorder="1"/>
    <xf numFmtId="0" fontId="2" fillId="3" borderId="55" xfId="0" applyFont="1" applyFill="1" applyBorder="1"/>
    <xf numFmtId="2" fontId="2" fillId="3" borderId="6" xfId="0" applyNumberFormat="1" applyFont="1" applyFill="1" applyBorder="1"/>
    <xf numFmtId="0" fontId="2" fillId="3" borderId="9" xfId="0" applyFont="1" applyFill="1" applyBorder="1"/>
    <xf numFmtId="0" fontId="0" fillId="3" borderId="0" xfId="0" applyFill="1"/>
    <xf numFmtId="0" fontId="2" fillId="3" borderId="27" xfId="0" applyFont="1" applyFill="1" applyBorder="1"/>
    <xf numFmtId="4" fontId="2" fillId="3" borderId="69" xfId="0" applyNumberFormat="1" applyFont="1" applyFill="1" applyBorder="1"/>
    <xf numFmtId="4" fontId="2" fillId="3" borderId="66" xfId="0" applyNumberFormat="1" applyFont="1" applyFill="1" applyBorder="1"/>
    <xf numFmtId="4" fontId="2" fillId="3" borderId="65" xfId="0" applyNumberFormat="1" applyFont="1" applyFill="1" applyBorder="1"/>
    <xf numFmtId="0" fontId="3" fillId="3" borderId="70" xfId="0" applyFont="1" applyFill="1" applyBorder="1" applyAlignment="1">
      <alignment horizontal="center" vertical="top"/>
    </xf>
    <xf numFmtId="0" fontId="3" fillId="3" borderId="71" xfId="0" applyFont="1" applyFill="1" applyBorder="1" applyAlignment="1">
      <alignment horizontal="center" vertical="top"/>
    </xf>
    <xf numFmtId="0" fontId="3" fillId="3" borderId="53" xfId="0" applyFont="1" applyFill="1" applyBorder="1" applyAlignment="1">
      <alignment horizontal="center"/>
    </xf>
    <xf numFmtId="2" fontId="2" fillId="3" borderId="78" xfId="0" applyNumberFormat="1" applyFont="1" applyFill="1" applyBorder="1"/>
    <xf numFmtId="2" fontId="2" fillId="3" borderId="64" xfId="0" applyNumberFormat="1" applyFont="1" applyFill="1" applyBorder="1"/>
    <xf numFmtId="2" fontId="8" fillId="3" borderId="64" xfId="0" applyNumberFormat="1" applyFont="1" applyFill="1" applyBorder="1"/>
    <xf numFmtId="0" fontId="0" fillId="3" borderId="64" xfId="0" applyFill="1" applyBorder="1"/>
    <xf numFmtId="2" fontId="3" fillId="3" borderId="79" xfId="0" applyNumberFormat="1" applyFont="1" applyFill="1" applyBorder="1"/>
    <xf numFmtId="4" fontId="2" fillId="3" borderId="63" xfId="0" applyNumberFormat="1" applyFont="1" applyFill="1" applyBorder="1"/>
    <xf numFmtId="2" fontId="3" fillId="3" borderId="63" xfId="0" applyNumberFormat="1" applyFont="1" applyFill="1" applyBorder="1"/>
    <xf numFmtId="0" fontId="3" fillId="3" borderId="58" xfId="0" applyFont="1" applyFill="1" applyBorder="1"/>
    <xf numFmtId="4" fontId="2" fillId="3" borderId="58" xfId="0" applyNumberFormat="1" applyFont="1" applyFill="1" applyBorder="1"/>
    <xf numFmtId="4" fontId="3" fillId="3" borderId="58" xfId="0" applyNumberFormat="1" applyFont="1" applyFill="1" applyBorder="1"/>
    <xf numFmtId="4" fontId="2" fillId="3" borderId="55" xfId="0" applyNumberFormat="1" applyFont="1" applyFill="1" applyBorder="1"/>
    <xf numFmtId="4" fontId="2" fillId="3" borderId="61" xfId="0" applyNumberFormat="1" applyFont="1" applyFill="1" applyBorder="1"/>
    <xf numFmtId="4" fontId="2" fillId="3" borderId="59" xfId="0" applyNumberFormat="1" applyFont="1" applyFill="1" applyBorder="1"/>
    <xf numFmtId="4" fontId="3" fillId="3" borderId="72" xfId="0" applyNumberFormat="1" applyFont="1" applyFill="1" applyBorder="1"/>
    <xf numFmtId="2" fontId="3" fillId="3" borderId="54" xfId="0" applyNumberFormat="1" applyFont="1" applyFill="1" applyBorder="1"/>
    <xf numFmtId="0" fontId="2" fillId="3" borderId="23" xfId="0" applyFont="1" applyFill="1" applyBorder="1"/>
    <xf numFmtId="2" fontId="3" fillId="3" borderId="58" xfId="0" applyNumberFormat="1" applyFont="1" applyFill="1" applyBorder="1"/>
    <xf numFmtId="4" fontId="0" fillId="3" borderId="0" xfId="0" applyNumberFormat="1" applyFill="1"/>
    <xf numFmtId="4" fontId="3" fillId="3" borderId="64" xfId="0" applyNumberFormat="1" applyFont="1" applyFill="1" applyBorder="1"/>
    <xf numFmtId="0" fontId="1" fillId="3" borderId="0" xfId="0" applyFont="1" applyFill="1"/>
    <xf numFmtId="0" fontId="3" fillId="4" borderId="16" xfId="0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" fillId="0" borderId="78" xfId="0" applyFont="1" applyBorder="1"/>
    <xf numFmtId="0" fontId="2" fillId="0" borderId="64" xfId="0" applyFont="1" applyBorder="1"/>
    <xf numFmtId="0" fontId="8" fillId="0" borderId="64" xfId="0" applyFont="1" applyBorder="1"/>
    <xf numFmtId="0" fontId="3" fillId="0" borderId="79" xfId="0" applyFont="1" applyBorder="1"/>
    <xf numFmtId="0" fontId="2" fillId="0" borderId="63" xfId="0" applyFont="1" applyBorder="1"/>
    <xf numFmtId="0" fontId="2" fillId="3" borderId="64" xfId="0" applyFont="1" applyFill="1" applyBorder="1"/>
    <xf numFmtId="0" fontId="2" fillId="0" borderId="66" xfId="0" applyFont="1" applyBorder="1"/>
    <xf numFmtId="0" fontId="2" fillId="0" borderId="65" xfId="0" applyFont="1" applyBorder="1"/>
    <xf numFmtId="0" fontId="2" fillId="0" borderId="62" xfId="0" applyFont="1" applyBorder="1"/>
    <xf numFmtId="0" fontId="2" fillId="0" borderId="82" xfId="0" applyFont="1" applyBorder="1"/>
    <xf numFmtId="0" fontId="2" fillId="0" borderId="83" xfId="0" applyFont="1" applyBorder="1"/>
    <xf numFmtId="0" fontId="2" fillId="0" borderId="84" xfId="0" applyFont="1" applyBorder="1"/>
    <xf numFmtId="4" fontId="2" fillId="0" borderId="23" xfId="0" applyNumberFormat="1" applyFont="1" applyBorder="1"/>
    <xf numFmtId="0" fontId="3" fillId="0" borderId="64" xfId="0" applyFont="1" applyBorder="1"/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9" xfId="0" applyFont="1" applyBorder="1" applyAlignment="1">
      <alignment horizontal="left"/>
    </xf>
    <xf numFmtId="0" fontId="4" fillId="0" borderId="34" xfId="0" applyFont="1" applyBorder="1" applyAlignment="1">
      <alignment horizontal="left"/>
    </xf>
    <xf numFmtId="0" fontId="0" fillId="2" borderId="32" xfId="0" applyFill="1" applyBorder="1" applyAlignment="1">
      <alignment horizontal="center"/>
    </xf>
    <xf numFmtId="0" fontId="0" fillId="2" borderId="53" xfId="0" applyFill="1" applyBorder="1" applyAlignment="1">
      <alignment horizontal="center"/>
    </xf>
    <xf numFmtId="0" fontId="0" fillId="2" borderId="54" xfId="0" applyFill="1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3" fillId="0" borderId="54" xfId="0" applyFont="1" applyBorder="1" applyAlignment="1">
      <alignment horizontal="center"/>
    </xf>
    <xf numFmtId="0" fontId="4" fillId="0" borderId="5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microsoft.com/office/2017/10/relationships/person" Target="persons/perso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6138</xdr:colOff>
      <xdr:row>2</xdr:row>
      <xdr:rowOff>86069</xdr:rowOff>
    </xdr:from>
    <xdr:to>
      <xdr:col>37</xdr:col>
      <xdr:colOff>524876</xdr:colOff>
      <xdr:row>31</xdr:row>
      <xdr:rowOff>84880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6579D2-6412-35B7-8D1A-DD5DF5EDA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41763" y="490882"/>
          <a:ext cx="8412582" cy="5594748"/>
        </a:xfrm>
        <a:prstGeom prst="rect">
          <a:avLst/>
        </a:prstGeom>
      </xdr:spPr>
    </xdr:pic>
    <xdr:clientData/>
  </xdr:twoCellAnchor>
  <xdr:twoCellAnchor editAs="oneCell">
    <xdr:from>
      <xdr:col>23</xdr:col>
      <xdr:colOff>462307</xdr:colOff>
      <xdr:row>32</xdr:row>
      <xdr:rowOff>130969</xdr:rowOff>
    </xdr:from>
    <xdr:to>
      <xdr:col>34</xdr:col>
      <xdr:colOff>213848</xdr:colOff>
      <xdr:row>69</xdr:row>
      <xdr:rowOff>179905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62C77FC-BF32-8AB7-A0EA-C013CF46A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90713" y="6322219"/>
          <a:ext cx="6430948" cy="71569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tcloud-my.sharepoint.com/personal/01405439_wf_uct_ac_za/Documents/Energy%20Systems%20Research%20Group/Models/SATIMGE/Model%20Documentation/Energy%20Balances/Liquid%20Fuels/LiquidFuels_National_v02.xlsx" TargetMode="External"/><Relationship Id="rId1" Type="http://schemas.openxmlformats.org/officeDocument/2006/relationships/externalLinkPath" Target="Liquid%20Fuels/LiquidFuels_National_v0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tcloud-my.sharepoint.com/personal/01405439_wf_uct_ac_za/Documents/Energy%20Systems%20Research%20Group/Models/SATIMGE/Model%20Documentation/Energy%20Balances/Electricity/EB%202017.xlsx" TargetMode="External"/><Relationship Id="rId1" Type="http://schemas.openxmlformats.org/officeDocument/2006/relationships/externalLinkPath" Target="Electricity/EB%202017.xlsx" TargetMode="External"/></Relationships>
</file>

<file path=xl/externalLinks/_rels/externalLink3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uctcloud-my.sharepoint.com/personal/01405439_wf_uct_ac_za/Documents/Energy%20Systems%20Research%20Group/Models/SATIMGE/Model%20Documentation/Energy%20Balances/Natural%20Gas/Copy%20of%20Natural%20Gas%20Balance%202017%20-%20Gas%20summary%20for%20fix%20(1).xlsx" TargetMode="External"/><Relationship Id="rId2" Type="http://schemas.microsoft.com/office/2019/04/relationships/externalLinkLongPath" Target="Natural%20Gas/Copy%20of%20Natural%20Gas%20Balance%202017%20-%20Gas%20summary%20for%20fix%20(1).xlsx?E9761C05" TargetMode="External"/><Relationship Id="rId1" Type="http://schemas.openxmlformats.org/officeDocument/2006/relationships/externalLinkPath" Target="file:///\\E9761C05\Copy%20of%20Natural%20Gas%20Balance%202017%20-%20Gas%20summary%20for%20fix%20(1)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tcloud-my.sharepoint.com/personal/01405439_wf_uct_ac_za/Documents/Energy%20Systems%20Research%20Group/Models/SATIMGE/Model%20Documentation/Energy%20Balances/Coal/Coal_Balance_2017.xlsx" TargetMode="External"/><Relationship Id="rId1" Type="http://schemas.openxmlformats.org/officeDocument/2006/relationships/externalLinkPath" Target="Coal/Coal_Balance_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XBztFS0X202qc9k8lltjQPWLlMtvxZ1Lmn8DmonxxiZUzzeswz3tRYtnhNKXxj2U" itemId="01XRASRJTQE3XFOLZE3NBI5QHCI6VICFKI">
      <xxl21:absoluteUrl r:id="rId2"/>
    </xxl21:alternateUrls>
    <sheetNames>
      <sheetName val="RawAll"/>
      <sheetName val="PivotRaw"/>
      <sheetName val="MappingsAll"/>
      <sheetName val="Energy.Meth.1"/>
      <sheetName val="Energy.Meth.2"/>
      <sheetName val="Quaterly Data"/>
      <sheetName val="ComparisonDiesel"/>
      <sheetName val="Constants Tables"/>
      <sheetName val="Eskom Diesel"/>
      <sheetName val="Assumptions Adrian"/>
      <sheetName val="Diesel Road Share"/>
      <sheetName val="Data Summary"/>
      <sheetName val="DataSources"/>
      <sheetName val="EBCheck"/>
      <sheetName val="EB 2017"/>
      <sheetName val="PivotTPES"/>
      <sheetName val="TPES2016-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">
          <cell r="E5">
            <v>463.41546243405003</v>
          </cell>
        </row>
        <row r="6">
          <cell r="E6">
            <v>162</v>
          </cell>
        </row>
        <row r="7">
          <cell r="E7">
            <v>301.8</v>
          </cell>
        </row>
        <row r="8">
          <cell r="E8">
            <v>-0.38453756594999999</v>
          </cell>
        </row>
        <row r="9">
          <cell r="E9">
            <v>-0.38453756594999999</v>
          </cell>
        </row>
        <row r="12">
          <cell r="E12">
            <v>0</v>
          </cell>
        </row>
        <row r="16">
          <cell r="E16">
            <v>34.2477433945445</v>
          </cell>
        </row>
        <row r="17">
          <cell r="E17">
            <v>0</v>
          </cell>
        </row>
        <row r="18">
          <cell r="E18">
            <v>1.8393730709925001E-2</v>
          </cell>
        </row>
        <row r="19">
          <cell r="E19">
            <v>9.1748985627900011E-3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29.930612534513735</v>
          </cell>
        </row>
        <row r="23">
          <cell r="E23">
            <v>0</v>
          </cell>
        </row>
        <row r="24">
          <cell r="E24">
            <v>2.0404596230985002E-2</v>
          </cell>
        </row>
        <row r="25">
          <cell r="E25">
            <v>4.1995176118826993</v>
          </cell>
        </row>
        <row r="27">
          <cell r="E27">
            <v>6.9640022644364988E-2</v>
          </cell>
        </row>
        <row r="28">
          <cell r="E28">
            <v>402.98301301502124</v>
          </cell>
        </row>
        <row r="29">
          <cell r="E29">
            <v>395.7229620893155</v>
          </cell>
        </row>
        <row r="30">
          <cell r="E30">
            <v>7.6125333856469996E-2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6.4729999999999999</v>
          </cell>
        </row>
        <row r="35">
          <cell r="E35">
            <v>0.71092559184929993</v>
          </cell>
        </row>
        <row r="36">
          <cell r="E36">
            <v>26.36378412491279</v>
          </cell>
        </row>
        <row r="37">
          <cell r="E37">
            <v>23.248930058093379</v>
          </cell>
        </row>
        <row r="38">
          <cell r="E38">
            <v>2.0187781933156499</v>
          </cell>
        </row>
        <row r="39">
          <cell r="E39">
            <v>0</v>
          </cell>
        </row>
        <row r="40">
          <cell r="E40">
            <v>1.0529563375687621</v>
          </cell>
        </row>
        <row r="41">
          <cell r="E41">
            <v>4.3119535935000008E-2</v>
          </cell>
        </row>
        <row r="42">
          <cell r="E42">
            <v>382</v>
          </cell>
        </row>
        <row r="43">
          <cell r="E43">
            <v>35.299999999999997</v>
          </cell>
        </row>
        <row r="44">
          <cell r="E44">
            <v>346.7</v>
          </cell>
        </row>
        <row r="45">
          <cell r="E45">
            <v>0</v>
          </cell>
        </row>
        <row r="46">
          <cell r="E46">
            <v>0</v>
          </cell>
        </row>
        <row r="49">
          <cell r="E49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4">
          <cell r="E64">
            <v>0</v>
          </cell>
        </row>
        <row r="65">
          <cell r="E65">
            <v>381.58026708936421</v>
          </cell>
        </row>
        <row r="66">
          <cell r="E66">
            <v>381.58026708936421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0.22994539289999999</v>
          </cell>
        </row>
        <row r="74">
          <cell r="E74">
            <v>0</v>
          </cell>
        </row>
        <row r="75">
          <cell r="E75">
            <v>0.22994539289999999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18.700000000000003</v>
          </cell>
        </row>
        <row r="80">
          <cell r="E80">
            <v>2.1</v>
          </cell>
        </row>
        <row r="82">
          <cell r="E82">
            <v>0</v>
          </cell>
        </row>
        <row r="83">
          <cell r="E83">
            <v>0</v>
          </cell>
        </row>
        <row r="90">
          <cell r="E90">
            <v>6.1292807635094997</v>
          </cell>
        </row>
        <row r="91">
          <cell r="E91">
            <v>0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2.34</v>
          </cell>
        </row>
        <row r="95">
          <cell r="E95">
            <v>0</v>
          </cell>
        </row>
        <row r="96">
          <cell r="E96">
            <v>0.13585720949999999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9.7612743599999996E-2</v>
          </cell>
        </row>
        <row r="101">
          <cell r="E101">
            <v>0.55581081040949998</v>
          </cell>
        </row>
        <row r="102">
          <cell r="E102">
            <v>0.11545467083249998</v>
          </cell>
        </row>
        <row r="103">
          <cell r="E103">
            <v>0.10675268693249998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8.7019838999999998E-3</v>
          </cell>
        </row>
        <row r="110">
          <cell r="E110">
            <v>12.151365655866027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10</v>
          </cell>
        </row>
        <row r="114">
          <cell r="E114">
            <v>2.1513656558660275</v>
          </cell>
        </row>
        <row r="115">
          <cell r="E115">
            <v>0</v>
          </cell>
        </row>
        <row r="116">
          <cell r="E116">
            <v>117.05022878773491</v>
          </cell>
        </row>
        <row r="117">
          <cell r="E117">
            <v>14.540857365734908</v>
          </cell>
        </row>
        <row r="118">
          <cell r="E118">
            <v>104.273</v>
          </cell>
        </row>
        <row r="119">
          <cell r="E119">
            <v>-1.7636285780000001</v>
          </cell>
        </row>
        <row r="123">
          <cell r="E123">
            <v>-0.163628578</v>
          </cell>
        </row>
        <row r="125">
          <cell r="E125">
            <v>-0.163628578</v>
          </cell>
        </row>
        <row r="127">
          <cell r="E127">
            <v>1.3577182560000001</v>
          </cell>
        </row>
        <row r="128">
          <cell r="E128">
            <v>0</v>
          </cell>
        </row>
        <row r="129">
          <cell r="E129">
            <v>7.3999999999999996E-5</v>
          </cell>
        </row>
        <row r="130">
          <cell r="E130">
            <v>5.8878469999999999E-3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0.45839629300000001</v>
          </cell>
        </row>
        <row r="134">
          <cell r="E134">
            <v>9.0784716999999987E-2</v>
          </cell>
        </row>
        <row r="135">
          <cell r="E135">
            <v>0</v>
          </cell>
        </row>
        <row r="136">
          <cell r="E136">
            <v>0.25556303300000005</v>
          </cell>
        </row>
        <row r="138">
          <cell r="E138">
            <v>0.54701236600000014</v>
          </cell>
        </row>
        <row r="139">
          <cell r="E139">
            <v>93.343548732200901</v>
          </cell>
        </row>
        <row r="140">
          <cell r="E140">
            <v>0.30513994190900001</v>
          </cell>
        </row>
        <row r="141">
          <cell r="E141">
            <v>14.089421919645099</v>
          </cell>
        </row>
        <row r="142">
          <cell r="E142">
            <v>78.944447488646802</v>
          </cell>
        </row>
        <row r="143">
          <cell r="E143">
            <v>0</v>
          </cell>
        </row>
        <row r="145">
          <cell r="E145">
            <v>6.2160000000000001E-5</v>
          </cell>
        </row>
        <row r="146">
          <cell r="E146">
            <v>4.4772219999999995E-3</v>
          </cell>
        </row>
        <row r="147">
          <cell r="E147">
            <v>22.348961799534003</v>
          </cell>
        </row>
        <row r="148">
          <cell r="E148">
            <v>9.3958823555049982</v>
          </cell>
        </row>
        <row r="149">
          <cell r="E149">
            <v>0.84972856899999993</v>
          </cell>
        </row>
        <row r="150">
          <cell r="E150">
            <v>6.8251217555870047</v>
          </cell>
        </row>
        <row r="151">
          <cell r="E151">
            <v>5.2411092024419998</v>
          </cell>
        </row>
        <row r="152">
          <cell r="E152">
            <v>3.7119917000000002E-2</v>
          </cell>
        </row>
        <row r="154">
          <cell r="E154">
            <v>-16.3</v>
          </cell>
        </row>
        <row r="155">
          <cell r="E155">
            <v>36.176995399999996</v>
          </cell>
        </row>
        <row r="156">
          <cell r="E156">
            <v>-10.780976327680001</v>
          </cell>
        </row>
        <row r="157">
          <cell r="E157">
            <v>-9.4333542867200002</v>
          </cell>
        </row>
        <row r="160">
          <cell r="E160">
            <v>-1.3476220409600002</v>
          </cell>
        </row>
        <row r="162">
          <cell r="E162">
            <v>-1.3476220409600002</v>
          </cell>
        </row>
        <row r="164">
          <cell r="E164">
            <v>23.2</v>
          </cell>
        </row>
        <row r="165">
          <cell r="E165">
            <v>7.1189566082752007</v>
          </cell>
        </row>
        <row r="166">
          <cell r="E166">
            <v>3.9193984515712001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1.310085041824</v>
          </cell>
        </row>
        <row r="172">
          <cell r="E172">
            <v>5.4638979199999993E-2</v>
          </cell>
        </row>
        <row r="173">
          <cell r="E173">
            <v>2.7800448000000002E-2</v>
          </cell>
        </row>
        <row r="174">
          <cell r="E174">
            <v>1.3476220409600002</v>
          </cell>
        </row>
        <row r="176">
          <cell r="E176">
            <v>0.45941164672000007</v>
          </cell>
        </row>
        <row r="177">
          <cell r="E177">
            <v>24.3537754952544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23.232316288854399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1.1214592064000002</v>
          </cell>
        </row>
        <row r="185">
          <cell r="E185">
            <v>4.3932764510752005</v>
          </cell>
        </row>
        <row r="186">
          <cell r="E186">
            <v>0</v>
          </cell>
        </row>
        <row r="187">
          <cell r="E187">
            <v>1.6464979325600002</v>
          </cell>
        </row>
        <row r="188">
          <cell r="E188">
            <v>0</v>
          </cell>
        </row>
        <row r="189">
          <cell r="E189">
            <v>2.5286109793151996</v>
          </cell>
        </row>
        <row r="190">
          <cell r="E190">
            <v>0.21816753920000004</v>
          </cell>
        </row>
      </sheetData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XBztFS0X202qc9k8lltjQPWLlMtvxZ1Lmn8DmonxxiZUzzeswz3tRYtnhNKXxj2U" itemId="01XRASRJSKOJJSDMSS4RBIRTDJCPVSQKQH">
      <xxl21:absoluteUrl r:id="rId2"/>
    </xxl21:alternateUrls>
    <sheetNames>
      <sheetName val="SATIM EB 2017-Labels"/>
      <sheetName val="EB2017Flat"/>
      <sheetName val="DMRE 2016EB"/>
      <sheetName val="DMRE 2017EB"/>
      <sheetName val="elec"/>
      <sheetName val="EskomSales"/>
      <sheetName val="PivotEskomSales"/>
      <sheetName val="EskomSales per SIC"/>
      <sheetName val="SATIM Sector"/>
      <sheetName val="coal"/>
      <sheetName val="gas"/>
      <sheetName val="Sheet9"/>
      <sheetName val="Inventory"/>
      <sheetName val="Wood"/>
      <sheetName val="NERSA2018"/>
      <sheetName val="NERSA2017"/>
      <sheetName val="SUT2017"/>
      <sheetName val="SUTCoal"/>
      <sheetName val="SUTElec"/>
      <sheetName val="2017 Elec EB for Word"/>
      <sheetName val="Elec EB final SATIM for Word"/>
      <sheetName val="Petroleum products"/>
      <sheetName val="SATIM Energy balance 2017 (new)"/>
      <sheetName val="2017 Biomass EB for Wor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4">
          <cell r="F4">
            <v>9064.8870000000006</v>
          </cell>
        </row>
        <row r="5">
          <cell r="F5">
            <v>225989.3721230095</v>
          </cell>
        </row>
        <row r="6">
          <cell r="F6">
            <v>235054.25912300948</v>
          </cell>
        </row>
        <row r="9">
          <cell r="L9">
            <v>88905.220340671673</v>
          </cell>
        </row>
        <row r="10">
          <cell r="L10">
            <v>9951.9866666666676</v>
          </cell>
        </row>
        <row r="11">
          <cell r="G11">
            <v>14393.714465999999</v>
          </cell>
          <cell r="L11">
            <v>14393.714465999999</v>
          </cell>
        </row>
        <row r="12">
          <cell r="F12">
            <v>4153.4000000000005</v>
          </cell>
          <cell r="G12">
            <v>4542.5249480000002</v>
          </cell>
        </row>
        <row r="13">
          <cell r="F13">
            <v>6381.75</v>
          </cell>
          <cell r="G13">
            <v>6438.656712</v>
          </cell>
        </row>
        <row r="14">
          <cell r="G14">
            <v>4831.9811309999996</v>
          </cell>
          <cell r="L14">
            <v>4831.9811309999996</v>
          </cell>
        </row>
        <row r="15">
          <cell r="F15">
            <v>30543.001059005001</v>
          </cell>
          <cell r="G15">
            <v>30571.454415005002</v>
          </cell>
        </row>
        <row r="16">
          <cell r="G16">
            <v>1631.81</v>
          </cell>
          <cell r="L16">
            <v>1631.81</v>
          </cell>
        </row>
        <row r="17">
          <cell r="G17">
            <v>14804.717017999999</v>
          </cell>
          <cell r="L17">
            <v>14804.717017999999</v>
          </cell>
        </row>
        <row r="18">
          <cell r="F18">
            <v>2212.86</v>
          </cell>
          <cell r="G18">
            <v>3954.1564900000003</v>
          </cell>
        </row>
        <row r="20">
          <cell r="F20">
            <v>5650.785045093</v>
          </cell>
          <cell r="G20">
            <v>5715.8911170929996</v>
          </cell>
        </row>
        <row r="21">
          <cell r="F21">
            <v>36365.628070713457</v>
          </cell>
          <cell r="G21">
            <v>38266.518334713459</v>
          </cell>
        </row>
        <row r="22">
          <cell r="F22">
            <v>47138.617448419012</v>
          </cell>
          <cell r="G22">
            <v>47175.270164419009</v>
          </cell>
        </row>
        <row r="23">
          <cell r="F23">
            <v>3881.4392732332644</v>
          </cell>
          <cell r="G23">
            <v>3881.4392732332644</v>
          </cell>
        </row>
        <row r="25">
          <cell r="L25">
            <v>-6892.833333333333</v>
          </cell>
        </row>
        <row r="27">
          <cell r="L27">
            <v>-840.83333333333326</v>
          </cell>
        </row>
        <row r="28">
          <cell r="L28">
            <v>-4876</v>
          </cell>
        </row>
        <row r="29">
          <cell r="L29">
            <v>-1176</v>
          </cell>
        </row>
        <row r="48">
          <cell r="F48">
            <v>30689.27788034566</v>
          </cell>
        </row>
        <row r="57">
          <cell r="F57">
            <v>15268</v>
          </cell>
        </row>
      </sheetData>
      <sheetData sheetId="21"/>
      <sheetData sheetId="22"/>
      <sheetData sheetId="23">
        <row r="7">
          <cell r="G7">
            <v>83768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XBztFS0X202qc9k8lltjQPWLlMtvxZ1Lmn8DmonxxiZUzzeswz3tRYtnhNKXxj2U" itemId="01XRASRJUOG7URWUDKCRC3WVXVNUD3EZ6R">
      <xxl21:absoluteUrl r:id="rId3"/>
    </xxl21:alternateUrls>
    <sheetNames>
      <sheetName val="GasBalance"/>
      <sheetName val="GasBalance SATIM"/>
      <sheetName val="GasBalance for word"/>
      <sheetName val="GasBalanceSATIM edited"/>
    </sheetNames>
    <sheetDataSet>
      <sheetData sheetId="0"/>
      <sheetData sheetId="1"/>
      <sheetData sheetId="2"/>
      <sheetData sheetId="3">
        <row r="5">
          <cell r="G5">
            <v>50.152312499999994</v>
          </cell>
        </row>
        <row r="6">
          <cell r="G6">
            <v>25.570812499999999</v>
          </cell>
        </row>
        <row r="7">
          <cell r="G7">
            <v>24.581499999999998</v>
          </cell>
        </row>
        <row r="8">
          <cell r="G8">
            <v>151.28700000000001</v>
          </cell>
        </row>
        <row r="11">
          <cell r="G11">
            <v>-28.640346999999998</v>
          </cell>
        </row>
        <row r="12">
          <cell r="G12">
            <v>-68.048943099999974</v>
          </cell>
        </row>
        <row r="13">
          <cell r="G13">
            <v>-25.570812499999999</v>
          </cell>
        </row>
        <row r="14">
          <cell r="G14">
            <v>-23.300217690909065</v>
          </cell>
        </row>
        <row r="15">
          <cell r="G15">
            <v>-19.17791290909091</v>
          </cell>
        </row>
        <row r="17">
          <cell r="G17">
            <v>103.29722474680176</v>
          </cell>
        </row>
        <row r="18">
          <cell r="G18">
            <v>50.384461672880562</v>
          </cell>
        </row>
        <row r="19">
          <cell r="G19">
            <v>0.91098800000000002</v>
          </cell>
        </row>
        <row r="20">
          <cell r="G20">
            <v>26.659407954999999</v>
          </cell>
        </row>
        <row r="21">
          <cell r="G21">
            <v>2.7792196364402777</v>
          </cell>
        </row>
        <row r="22">
          <cell r="G22">
            <v>2.7792196364402777</v>
          </cell>
        </row>
        <row r="23">
          <cell r="G23">
            <v>10.898592044999999</v>
          </cell>
        </row>
        <row r="24">
          <cell r="G24">
            <v>6.3570344000000008</v>
          </cell>
        </row>
        <row r="25">
          <cell r="G25">
            <v>15.927381835937499</v>
          </cell>
        </row>
        <row r="26">
          <cell r="G26">
            <v>2.2541069641113283</v>
          </cell>
        </row>
        <row r="27">
          <cell r="G27">
            <v>15.49837338256836</v>
          </cell>
        </row>
        <row r="28">
          <cell r="G28">
            <v>0.66913997936248781</v>
          </cell>
        </row>
        <row r="29">
          <cell r="G29">
            <v>1.4128140563964844</v>
          </cell>
        </row>
        <row r="30">
          <cell r="G30">
            <v>1.0014639892578125</v>
          </cell>
        </row>
        <row r="31">
          <cell r="G31">
            <v>7.3658288574218753</v>
          </cell>
        </row>
        <row r="32">
          <cell r="G32">
            <v>4.1653308105468749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1.4420000076293946E-2</v>
          </cell>
        </row>
        <row r="36">
          <cell r="G36">
            <v>4.6039031982421879</v>
          </cell>
        </row>
        <row r="37">
          <cell r="G37">
            <v>1.4527976531982421</v>
          </cell>
        </row>
        <row r="38">
          <cell r="G38">
            <v>0</v>
          </cell>
        </row>
        <row r="39">
          <cell r="G39">
            <v>1.2323005371093749</v>
          </cell>
        </row>
        <row r="40">
          <cell r="G40">
            <v>0.22049711608886718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XBztFS0X202qc9k8lltjQPWLlMtvxZ1Lmn8DmonxxiZUzzeswz3tRYtnhNKXxj2U" itemId="01XRASRJXR6BPX5REJJZAYQCYQHGUV2ZVC">
      <xxl21:absoluteUrl r:id="rId2"/>
    </xxl21:alternateUrls>
    <sheetNames>
      <sheetName val="CoalBalance"/>
      <sheetName val="CoalBalance for Word"/>
      <sheetName val="CoalBalance SATIM"/>
      <sheetName val="CoalBalance for Word final "/>
      <sheetName val="CoalBalance SATIM final"/>
      <sheetName val="Commodity flow native units"/>
      <sheetName val="2019 Eskom Check"/>
    </sheetNames>
    <sheetDataSet>
      <sheetData sheetId="0"/>
      <sheetData sheetId="1"/>
      <sheetData sheetId="2"/>
      <sheetData sheetId="3"/>
      <sheetData sheetId="4">
        <row r="5">
          <cell r="E5">
            <v>453.35880808080799</v>
          </cell>
        </row>
        <row r="7">
          <cell r="E7">
            <v>33.299999999999997</v>
          </cell>
        </row>
        <row r="9">
          <cell r="E9">
            <v>80.41</v>
          </cell>
        </row>
        <row r="10">
          <cell r="E10">
            <v>0.45</v>
          </cell>
        </row>
        <row r="11">
          <cell r="E11">
            <v>48.92</v>
          </cell>
        </row>
        <row r="12">
          <cell r="E12">
            <v>0</v>
          </cell>
        </row>
        <row r="13">
          <cell r="E13">
            <v>75.600000000000009</v>
          </cell>
        </row>
        <row r="14">
          <cell r="E14">
            <v>38.15</v>
          </cell>
        </row>
        <row r="15">
          <cell r="E15">
            <v>16.27</v>
          </cell>
        </row>
        <row r="16">
          <cell r="E16">
            <v>58.622363636363637</v>
          </cell>
        </row>
        <row r="17">
          <cell r="E17">
            <v>101.63644444444444</v>
          </cell>
        </row>
        <row r="18">
          <cell r="E18">
            <v>41.03</v>
          </cell>
        </row>
        <row r="19">
          <cell r="E19">
            <v>0.8</v>
          </cell>
        </row>
        <row r="20">
          <cell r="E20">
            <v>26.73</v>
          </cell>
        </row>
        <row r="21">
          <cell r="E21">
            <v>13.5</v>
          </cell>
        </row>
        <row r="23">
          <cell r="E23">
            <v>-3109.66</v>
          </cell>
        </row>
        <row r="24">
          <cell r="E24">
            <v>-2284</v>
          </cell>
        </row>
        <row r="28">
          <cell r="E28">
            <v>-825.66000000000008</v>
          </cell>
        </row>
        <row r="29">
          <cell r="E29">
            <v>-825.66000000000008</v>
          </cell>
        </row>
        <row r="31">
          <cell r="E31">
            <v>1915.1999999999998</v>
          </cell>
        </row>
      </sheetData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824DA22A-E558-4C54-A44B-54D24BC47940}" userId="S::01405439@wf.uct.ac.za::c7f06137-2c3b-4c5c-8f38-fe1abbc9686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6" dT="2023-08-08T10:10:13.63" personId="{824DA22A-E558-4C54-A44B-54D24BC47940}" id="{1C07051E-A6AA-4612-858C-FBB29F8FA539}">
    <text>Need to split this into GTL and CTL</text>
  </threadedComment>
  <threadedComment ref="B17" dT="2023-08-08T10:10:42.00" personId="{824DA22A-E558-4C54-A44B-54D24BC47940}" id="{6A250DDE-FFD3-49CB-8694-955C72F9870D}">
    <text>Need to add values and rows here for other sectors</text>
  </threadedComment>
  <threadedComment ref="T42" dT="2023-08-08T10:11:59.15" personId="{824DA22A-E558-4C54-A44B-54D24BC47940}" id="{98A85EF0-9C22-4F46-AC29-4341C323A5C7}">
    <text>Need to link this to "Including own Gen"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Y60"/>
  <sheetViews>
    <sheetView zoomScale="60" zoomScaleNormal="60" workbookViewId="0">
      <selection activeCell="D75" sqref="D75"/>
    </sheetView>
  </sheetViews>
  <sheetFormatPr defaultRowHeight="15" x14ac:dyDescent="0.25"/>
  <cols>
    <col min="2" max="2" width="49" customWidth="1"/>
    <col min="3" max="3" width="34" bestFit="1" customWidth="1"/>
    <col min="4" max="5" width="16" bestFit="1" customWidth="1"/>
    <col min="6" max="6" width="8.7109375" bestFit="1" customWidth="1"/>
    <col min="7" max="7" width="11.5703125" bestFit="1" customWidth="1"/>
    <col min="8" max="8" width="7.140625" bestFit="1" customWidth="1"/>
    <col min="9" max="9" width="12.140625" bestFit="1" customWidth="1"/>
    <col min="10" max="10" width="7.5703125" bestFit="1" customWidth="1"/>
    <col min="11" max="11" width="13.140625" bestFit="1" customWidth="1"/>
    <col min="12" max="12" width="11.28515625" bestFit="1" customWidth="1"/>
    <col min="13" max="13" width="12.140625" bestFit="1" customWidth="1"/>
    <col min="14" max="14" width="13.7109375" bestFit="1" customWidth="1"/>
    <col min="15" max="15" width="9.28515625" bestFit="1" customWidth="1"/>
    <col min="16" max="16" width="18.42578125" bestFit="1" customWidth="1"/>
    <col min="17" max="17" width="8.140625" bestFit="1" customWidth="1"/>
  </cols>
  <sheetData>
    <row r="1" spans="2:17" ht="15.75" thickBot="1" x14ac:dyDescent="0.3">
      <c r="E1" s="253" t="s">
        <v>0</v>
      </c>
      <c r="F1" s="254"/>
      <c r="G1" s="254"/>
      <c r="H1" s="254"/>
      <c r="I1" s="254"/>
      <c r="J1" s="255"/>
      <c r="L1" s="253" t="s">
        <v>1</v>
      </c>
      <c r="M1" s="254"/>
      <c r="N1" s="254"/>
      <c r="O1" s="254"/>
      <c r="P1" s="254"/>
      <c r="Q1" s="255"/>
    </row>
    <row r="2" spans="2:17" ht="15.75" thickBot="1" x14ac:dyDescent="0.3">
      <c r="B2" s="249" t="s">
        <v>2</v>
      </c>
      <c r="C2" s="250"/>
      <c r="D2" s="43" t="s">
        <v>3</v>
      </c>
      <c r="E2" s="44" t="s">
        <v>4</v>
      </c>
      <c r="F2" s="44" t="s">
        <v>5</v>
      </c>
      <c r="G2" s="44" t="s">
        <v>6</v>
      </c>
      <c r="H2" s="44" t="s">
        <v>7</v>
      </c>
      <c r="I2" s="44" t="s">
        <v>8</v>
      </c>
      <c r="J2" s="44" t="s">
        <v>9</v>
      </c>
      <c r="K2" s="68" t="s">
        <v>10</v>
      </c>
      <c r="L2" s="80" t="s">
        <v>11</v>
      </c>
      <c r="M2" s="81" t="s">
        <v>12</v>
      </c>
      <c r="N2" s="81" t="s">
        <v>13</v>
      </c>
      <c r="O2" s="81" t="s">
        <v>14</v>
      </c>
      <c r="P2" s="81" t="s">
        <v>15</v>
      </c>
      <c r="Q2" s="82" t="s">
        <v>16</v>
      </c>
    </row>
    <row r="3" spans="2:17" ht="15.75" thickBot="1" x14ac:dyDescent="0.3">
      <c r="B3" s="251" t="s">
        <v>17</v>
      </c>
      <c r="C3" s="252"/>
      <c r="D3" s="256" t="s">
        <v>18</v>
      </c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7"/>
    </row>
    <row r="4" spans="2:17" ht="15.75" thickBot="1" x14ac:dyDescent="0.3">
      <c r="B4" s="24" t="s">
        <v>19</v>
      </c>
      <c r="C4" s="25"/>
      <c r="D4" s="4"/>
      <c r="E4" s="5"/>
      <c r="F4" s="35">
        <f>'[1]EB 2017'!$E$5</f>
        <v>463.41546243405003</v>
      </c>
      <c r="G4" s="102">
        <f>'[1]EB 2017'!$E$42</f>
        <v>382</v>
      </c>
      <c r="H4" s="102">
        <f>'[1]EB 2017'!$E$79</f>
        <v>18.700000000000003</v>
      </c>
      <c r="I4" s="102">
        <f>'[1]EB 2017'!$E$116</f>
        <v>117.05022878773491</v>
      </c>
      <c r="J4" s="56">
        <f>'[1]EB 2017'!$E$154</f>
        <v>-16.3</v>
      </c>
      <c r="K4" s="102">
        <f>'[2]Elec EB final SATIM for Word'!$F$6*0.0036</f>
        <v>846.19533284283409</v>
      </c>
      <c r="L4" s="69"/>
      <c r="M4" s="5"/>
      <c r="N4" s="5"/>
      <c r="O4" s="5"/>
      <c r="P4" s="5"/>
      <c r="Q4" s="6"/>
    </row>
    <row r="5" spans="2:17" ht="15.75" thickTop="1" x14ac:dyDescent="0.25">
      <c r="B5" s="26" t="s">
        <v>20</v>
      </c>
      <c r="C5" s="27"/>
      <c r="D5" s="7"/>
      <c r="E5" s="35">
        <f>'[3]GasBalanceSATIM edited'!$G$5</f>
        <v>50.152312499999994</v>
      </c>
      <c r="F5" s="101">
        <f>'[1]EB 2017'!$E$7</f>
        <v>301.8</v>
      </c>
      <c r="G5" s="35">
        <f>'[1]EB 2017'!$E$44</f>
        <v>346.7</v>
      </c>
      <c r="H5" s="8"/>
      <c r="I5" s="35">
        <f>'[1]EB 2017'!$E$118</f>
        <v>104.273</v>
      </c>
      <c r="J5" s="35">
        <f>'[1]EB 2017'!$E$155</f>
        <v>36.176995399999996</v>
      </c>
      <c r="K5" s="8"/>
      <c r="L5" s="70"/>
      <c r="M5" s="8"/>
      <c r="N5" s="8"/>
      <c r="O5" s="8"/>
      <c r="P5" s="8"/>
      <c r="Q5" s="9"/>
    </row>
    <row r="6" spans="2:17" x14ac:dyDescent="0.25">
      <c r="B6" s="28"/>
      <c r="C6" s="29" t="s">
        <v>21</v>
      </c>
      <c r="D6" s="10"/>
      <c r="E6" s="38">
        <f>'[3]GasBalanceSATIM edited'!$G$6</f>
        <v>25.570812499999999</v>
      </c>
      <c r="F6" s="11"/>
      <c r="G6" s="11"/>
      <c r="H6" s="11"/>
      <c r="I6" s="11"/>
      <c r="J6" s="11"/>
      <c r="K6" s="11"/>
      <c r="L6" s="71"/>
      <c r="M6" s="11"/>
      <c r="N6" s="11"/>
      <c r="O6" s="11"/>
      <c r="P6" s="11"/>
      <c r="Q6" s="12"/>
    </row>
    <row r="7" spans="2:17" x14ac:dyDescent="0.25">
      <c r="B7" s="28"/>
      <c r="C7" s="29" t="s">
        <v>22</v>
      </c>
      <c r="D7" s="10"/>
      <c r="E7" s="38">
        <f>'[3]GasBalanceSATIM edited'!$G$7</f>
        <v>24.581499999999998</v>
      </c>
      <c r="F7" s="11"/>
      <c r="G7" s="11"/>
      <c r="H7" s="11"/>
      <c r="I7" s="11"/>
      <c r="J7" s="11"/>
      <c r="K7" s="11"/>
      <c r="L7" s="71"/>
      <c r="M7" s="11"/>
      <c r="N7" s="11"/>
      <c r="O7" s="11"/>
      <c r="P7" s="11"/>
      <c r="Q7" s="12"/>
    </row>
    <row r="8" spans="2:17" x14ac:dyDescent="0.25">
      <c r="B8" s="28" t="s">
        <v>23</v>
      </c>
      <c r="C8" s="30"/>
      <c r="D8" s="13"/>
      <c r="E8" s="56"/>
      <c r="F8" s="14"/>
      <c r="G8" s="14"/>
      <c r="H8" s="14"/>
      <c r="I8" s="14"/>
      <c r="J8" s="14"/>
      <c r="K8" s="56">
        <f>'[2]Elec EB final SATIM for Word'!$F$5*0.0036</f>
        <v>813.56173964283414</v>
      </c>
      <c r="L8" s="72"/>
      <c r="M8" s="14"/>
      <c r="N8" s="14"/>
      <c r="O8" s="14"/>
      <c r="P8" s="14"/>
      <c r="Q8" s="15"/>
    </row>
    <row r="9" spans="2:17" ht="15.75" thickBot="1" x14ac:dyDescent="0.3">
      <c r="B9" s="28" t="s">
        <v>24</v>
      </c>
      <c r="C9" s="30"/>
      <c r="D9" s="13"/>
      <c r="E9" s="56">
        <f>'[3]GasBalanceSATIM edited'!$G$8</f>
        <v>151.28700000000001</v>
      </c>
      <c r="F9" s="56">
        <f>'[1]EB 2017'!$E$6</f>
        <v>162</v>
      </c>
      <c r="G9" s="56">
        <f>'[1]EB 2017'!$E$43</f>
        <v>35.299999999999997</v>
      </c>
      <c r="H9" s="56">
        <f>'[1]EB 2017'!$E$80</f>
        <v>2.1</v>
      </c>
      <c r="I9" s="56">
        <f>'[1]EB 2017'!$E$117</f>
        <v>14.540857365734908</v>
      </c>
      <c r="J9" s="56">
        <f>'[1]EB 2017'!$E$154</f>
        <v>-16.3</v>
      </c>
      <c r="K9" s="56">
        <f>'[2]Elec EB final SATIM for Word'!$F$4*0.0036</f>
        <v>32.6335932</v>
      </c>
      <c r="L9" s="72"/>
      <c r="M9" s="14"/>
      <c r="N9" s="14"/>
      <c r="O9" s="14"/>
      <c r="P9" s="14"/>
      <c r="Q9" s="15"/>
    </row>
    <row r="10" spans="2:17" ht="15.75" thickBot="1" x14ac:dyDescent="0.3">
      <c r="B10" s="31" t="s">
        <v>25</v>
      </c>
      <c r="C10" s="32"/>
      <c r="D10" s="92">
        <f>SUM(D11,D33,D41,D46)</f>
        <v>494.38880808080796</v>
      </c>
      <c r="E10" s="92">
        <f t="shared" ref="E10:J10" si="0">SUM(E11,E33,E41,E46)</f>
        <v>104.75002240000001</v>
      </c>
      <c r="F10" s="92">
        <f t="shared" si="0"/>
        <v>463.59454053447854</v>
      </c>
      <c r="G10" s="92">
        <f t="shared" si="0"/>
        <v>381.81021248226421</v>
      </c>
      <c r="H10" s="92">
        <f t="shared" si="0"/>
        <v>18.396101090208028</v>
      </c>
      <c r="I10" s="92">
        <f t="shared" si="0"/>
        <v>117.05022878773491</v>
      </c>
      <c r="J10" s="92">
        <f t="shared" si="0"/>
        <v>59.066008554604807</v>
      </c>
      <c r="K10" s="92">
        <f>SUM(K11,K33,K41,K46)</f>
        <v>334.03197461005777</v>
      </c>
      <c r="L10" s="93"/>
      <c r="M10" s="94"/>
      <c r="N10" s="94"/>
      <c r="O10" s="94"/>
      <c r="P10" s="94"/>
      <c r="Q10" s="95">
        <f>'[2]2017 Biomass EB for Word'!$G$7*0.001</f>
        <v>83.768000000000001</v>
      </c>
    </row>
    <row r="11" spans="2:17" s="3" customFormat="1" ht="15.75" thickTop="1" x14ac:dyDescent="0.25">
      <c r="B11" s="33" t="s">
        <v>26</v>
      </c>
      <c r="C11" s="34"/>
      <c r="D11" s="96">
        <f>'[4]CoalBalance SATIM final'!$E$5</f>
        <v>453.35880808080799</v>
      </c>
      <c r="E11" s="51">
        <f>'[3]GasBalanceSATIM edited'!$G$17</f>
        <v>103.29722474680176</v>
      </c>
      <c r="F11" s="51">
        <f>'[1]EB 2017'!$E$16</f>
        <v>34.2477433945445</v>
      </c>
      <c r="G11" s="51">
        <f>'[1]EB 2017'!$E$53</f>
        <v>0</v>
      </c>
      <c r="H11" s="51">
        <f>'[1]EB 2017'!$E$90</f>
        <v>6.1292807635094997</v>
      </c>
      <c r="I11" s="51">
        <f>'[1]EB 2017'!$E$127</f>
        <v>1.3577182560000001</v>
      </c>
      <c r="J11" s="51">
        <f>'[1]EB 2017'!$E$165</f>
        <v>7.1189566082752007</v>
      </c>
      <c r="K11" s="61">
        <f>'[2]Elec EB final SATIM for Word'!$L$9*0.0036</f>
        <v>320.058793226418</v>
      </c>
      <c r="L11" s="73"/>
      <c r="M11" s="52"/>
      <c r="N11" s="52"/>
      <c r="O11" s="52"/>
      <c r="P11" s="52"/>
      <c r="Q11" s="53"/>
    </row>
    <row r="12" spans="2:17" x14ac:dyDescent="0.25">
      <c r="B12" s="28" t="s">
        <v>27</v>
      </c>
      <c r="C12" s="29"/>
      <c r="D12" s="97">
        <f>'[4]CoalBalance SATIM final'!$E$7</f>
        <v>33.299999999999997</v>
      </c>
      <c r="E12" s="38">
        <f>'[3]GasBalanceSATIM edited'!$G$18</f>
        <v>50.384461672880562</v>
      </c>
      <c r="F12" s="38">
        <f>'[1]EB 2017'!$E$17</f>
        <v>0</v>
      </c>
      <c r="G12" s="38">
        <f>'[1]EB 2017'!$E$54</f>
        <v>0</v>
      </c>
      <c r="H12" s="38">
        <f>'[1]EB 2017'!$E$91</f>
        <v>0</v>
      </c>
      <c r="I12" s="38">
        <f>'[1]EB 2017'!$E$128</f>
        <v>0</v>
      </c>
      <c r="J12" s="38">
        <f>'[1]EB 2017'!$E$166</f>
        <v>3.9193984515712001</v>
      </c>
      <c r="K12" s="62">
        <f>'[2]Elec EB final SATIM for Word'!$L$10*0.0036</f>
        <v>35.827152000000005</v>
      </c>
      <c r="L12" s="74"/>
      <c r="M12" s="11"/>
      <c r="N12" s="11"/>
      <c r="O12" s="11"/>
      <c r="P12" s="11"/>
      <c r="Q12" s="12"/>
    </row>
    <row r="13" spans="2:17" x14ac:dyDescent="0.25">
      <c r="B13" s="28"/>
      <c r="C13" s="29" t="s">
        <v>28</v>
      </c>
      <c r="D13" s="10"/>
      <c r="E13" s="38">
        <f>'[3]GasBalanceSATIM edited'!$G$19</f>
        <v>0.91098800000000002</v>
      </c>
      <c r="F13" s="11"/>
      <c r="G13" s="11"/>
      <c r="H13" s="11"/>
      <c r="I13" s="11"/>
      <c r="J13" s="11"/>
      <c r="K13" s="62"/>
      <c r="L13" s="74"/>
      <c r="M13" s="11"/>
      <c r="N13" s="11"/>
      <c r="O13" s="11"/>
      <c r="P13" s="11"/>
      <c r="Q13" s="12"/>
    </row>
    <row r="14" spans="2:17" x14ac:dyDescent="0.25">
      <c r="B14" s="28"/>
      <c r="C14" s="29" t="s">
        <v>29</v>
      </c>
      <c r="D14" s="10"/>
      <c r="E14" s="38">
        <f>'[3]GasBalanceSATIM edited'!$G$20</f>
        <v>26.659407954999999</v>
      </c>
      <c r="F14" s="11"/>
      <c r="G14" s="11"/>
      <c r="H14" s="11"/>
      <c r="I14" s="11"/>
      <c r="J14" s="11"/>
      <c r="K14" s="62"/>
      <c r="L14" s="74"/>
      <c r="M14" s="11"/>
      <c r="N14" s="11"/>
      <c r="O14" s="11"/>
      <c r="P14" s="11"/>
      <c r="Q14" s="12"/>
    </row>
    <row r="15" spans="2:17" x14ac:dyDescent="0.25">
      <c r="B15" s="28"/>
      <c r="C15" s="29" t="s">
        <v>30</v>
      </c>
      <c r="D15" s="10"/>
      <c r="E15" s="38">
        <f>'[3]GasBalanceSATIM edited'!$G$21</f>
        <v>2.7792196364402777</v>
      </c>
      <c r="F15" s="11"/>
      <c r="G15" s="11"/>
      <c r="H15" s="11"/>
      <c r="I15" s="11"/>
      <c r="J15" s="11"/>
      <c r="K15" s="62"/>
      <c r="L15" s="74"/>
      <c r="M15" s="11"/>
      <c r="N15" s="11"/>
      <c r="O15" s="11"/>
      <c r="P15" s="11"/>
      <c r="Q15" s="12"/>
    </row>
    <row r="16" spans="2:17" x14ac:dyDescent="0.25">
      <c r="B16" s="28"/>
      <c r="C16" s="29" t="s">
        <v>31</v>
      </c>
      <c r="D16" s="10"/>
      <c r="E16" s="38">
        <f>'[3]GasBalanceSATIM edited'!$G$22</f>
        <v>2.7792196364402777</v>
      </c>
      <c r="F16" s="11"/>
      <c r="G16" s="11"/>
      <c r="H16" s="11"/>
      <c r="I16" s="11"/>
      <c r="J16" s="11"/>
      <c r="K16" s="62"/>
      <c r="L16" s="74"/>
      <c r="M16" s="11"/>
      <c r="N16" s="11"/>
      <c r="O16" s="11"/>
      <c r="P16" s="11"/>
      <c r="Q16" s="12"/>
    </row>
    <row r="17" spans="2:17" x14ac:dyDescent="0.25">
      <c r="B17" s="28"/>
      <c r="C17" s="29" t="s">
        <v>32</v>
      </c>
      <c r="D17" s="10"/>
      <c r="E17" s="38">
        <f>'[3]GasBalanceSATIM edited'!$G$23</f>
        <v>10.898592044999999</v>
      </c>
      <c r="F17" s="11"/>
      <c r="G17" s="11"/>
      <c r="H17" s="11"/>
      <c r="I17" s="11"/>
      <c r="J17" s="11"/>
      <c r="K17" s="62"/>
      <c r="L17" s="74"/>
      <c r="M17" s="11"/>
      <c r="N17" s="11"/>
      <c r="O17" s="11"/>
      <c r="P17" s="11"/>
      <c r="Q17" s="12"/>
    </row>
    <row r="18" spans="2:17" x14ac:dyDescent="0.25">
      <c r="B18" s="28"/>
      <c r="C18" s="29" t="s">
        <v>33</v>
      </c>
      <c r="D18" s="10"/>
      <c r="E18" s="38">
        <f>'[3]GasBalanceSATIM edited'!$G$24</f>
        <v>6.3570344000000008</v>
      </c>
      <c r="F18" s="11"/>
      <c r="G18" s="11"/>
      <c r="H18" s="11"/>
      <c r="I18" s="11"/>
      <c r="J18" s="11"/>
      <c r="K18" s="62"/>
      <c r="L18" s="74"/>
      <c r="M18" s="11"/>
      <c r="N18" s="11"/>
      <c r="O18" s="11"/>
      <c r="P18" s="11"/>
      <c r="Q18" s="12"/>
    </row>
    <row r="19" spans="2:17" x14ac:dyDescent="0.25">
      <c r="B19" s="26" t="s">
        <v>34</v>
      </c>
      <c r="C19" s="27"/>
      <c r="D19" s="10">
        <f>'[4]CoalBalance SATIM final'!$E$9</f>
        <v>80.41</v>
      </c>
      <c r="E19" s="38">
        <f>'[3]GasBalanceSATIM edited'!$G$25</f>
        <v>15.927381835937499</v>
      </c>
      <c r="F19" s="38">
        <f>'[1]EB 2017'!$E$18</f>
        <v>1.8393730709925001E-2</v>
      </c>
      <c r="G19" s="38">
        <f>'[1]EB 2017'!$E$55</f>
        <v>0</v>
      </c>
      <c r="H19" s="38">
        <f>'[1]EB 2017'!$E$92</f>
        <v>3</v>
      </c>
      <c r="I19" s="38">
        <f>'[1]EB 2017'!$E$129</f>
        <v>7.3999999999999996E-5</v>
      </c>
      <c r="J19" s="38">
        <f>'[1]EB 2017'!$E$167</f>
        <v>0</v>
      </c>
      <c r="K19" s="62">
        <f>'[2]Elec EB final SATIM for Word'!$L$14*0.0036</f>
        <v>17.395132071599999</v>
      </c>
      <c r="L19" s="74"/>
      <c r="M19" s="11"/>
      <c r="N19" s="11"/>
      <c r="O19" s="11"/>
      <c r="P19" s="11"/>
      <c r="Q19" s="12"/>
    </row>
    <row r="20" spans="2:17" x14ac:dyDescent="0.25">
      <c r="B20" s="28" t="s">
        <v>35</v>
      </c>
      <c r="C20" s="29"/>
      <c r="D20" s="10">
        <f>'[4]CoalBalance SATIM final'!$E$10</f>
        <v>0.45</v>
      </c>
      <c r="E20" s="38">
        <f>'[3]GasBalanceSATIM edited'!$G$26</f>
        <v>2.2541069641113283</v>
      </c>
      <c r="F20" s="11"/>
      <c r="G20" s="11">
        <f>0</f>
        <v>0</v>
      </c>
      <c r="H20" s="11">
        <f>0</f>
        <v>0</v>
      </c>
      <c r="I20" s="11"/>
      <c r="J20" s="11"/>
      <c r="K20" s="62">
        <f>'[2]Elec EB final SATIM for Word'!$L$17*0.0036</f>
        <v>53.296981264799996</v>
      </c>
      <c r="L20" s="74"/>
      <c r="M20" s="11"/>
      <c r="N20" s="11"/>
      <c r="O20" s="11"/>
      <c r="P20" s="11"/>
      <c r="Q20" s="12"/>
    </row>
    <row r="21" spans="2:17" x14ac:dyDescent="0.25">
      <c r="B21" s="28" t="s">
        <v>36</v>
      </c>
      <c r="C21" s="29"/>
      <c r="D21" s="10">
        <f>'[4]CoalBalance SATIM final'!$E$11</f>
        <v>48.92</v>
      </c>
      <c r="E21" s="38">
        <f>'[3]GasBalanceSATIM edited'!$G$27</f>
        <v>15.49837338256836</v>
      </c>
      <c r="F21" s="38">
        <f>'[1]EB 2017'!$E$19</f>
        <v>9.1748985627900011E-3</v>
      </c>
      <c r="G21" s="38">
        <f>'[1]EB 2017'!$E$56</f>
        <v>0</v>
      </c>
      <c r="H21" s="38">
        <f>'[1]EB 2017'!$E$93</f>
        <v>0</v>
      </c>
      <c r="I21" s="38">
        <f>'[1]EB 2017'!$E$130</f>
        <v>5.8878469999999999E-3</v>
      </c>
      <c r="J21" s="38">
        <f>'[1]EB 2017'!$E$168</f>
        <v>0</v>
      </c>
      <c r="K21" s="62">
        <f>'[2]Elec EB final SATIM for Word'!$L$16*0.0036</f>
        <v>5.8745159999999998</v>
      </c>
      <c r="L21" s="74"/>
      <c r="M21" s="11"/>
      <c r="N21" s="11"/>
      <c r="O21" s="11"/>
      <c r="P21" s="11"/>
      <c r="Q21" s="12"/>
    </row>
    <row r="22" spans="2:17" x14ac:dyDescent="0.25">
      <c r="B22" s="28" t="s">
        <v>37</v>
      </c>
      <c r="C22" s="29"/>
      <c r="D22" s="10">
        <f>'[4]CoalBalance SATIM final'!$E$12</f>
        <v>0</v>
      </c>
      <c r="E22" s="38">
        <f>0</f>
        <v>0</v>
      </c>
      <c r="F22" s="38">
        <f>'[1]EB 2017'!$E$20</f>
        <v>0</v>
      </c>
      <c r="G22" s="38">
        <f>'[1]EB 2017'!$E$57</f>
        <v>0</v>
      </c>
      <c r="H22" s="38">
        <f>'[1]EB 2017'!$E$94</f>
        <v>2.34</v>
      </c>
      <c r="I22" s="38">
        <f>'[1]EB 2017'!$E$131</f>
        <v>0</v>
      </c>
      <c r="J22" s="38">
        <f>'[1]EB 2017'!$E$169</f>
        <v>0</v>
      </c>
      <c r="K22" s="85"/>
      <c r="L22" s="74"/>
      <c r="M22" s="11"/>
      <c r="N22" s="11"/>
      <c r="O22" s="11"/>
      <c r="P22" s="11"/>
      <c r="Q22" s="12"/>
    </row>
    <row r="23" spans="2:17" x14ac:dyDescent="0.25">
      <c r="B23" s="28" t="s">
        <v>38</v>
      </c>
      <c r="C23" s="29"/>
      <c r="D23" s="10">
        <f>'[4]CoalBalance SATIM final'!$E$13</f>
        <v>75.600000000000009</v>
      </c>
      <c r="E23" s="38"/>
      <c r="F23" s="38">
        <f>'[1]EB 2017'!$E$21</f>
        <v>0</v>
      </c>
      <c r="G23" s="38">
        <f>'[1]EB 2017'!$E$58</f>
        <v>0</v>
      </c>
      <c r="H23" s="38">
        <f>'[1]EB 2017'!$E$95</f>
        <v>0</v>
      </c>
      <c r="I23" s="38">
        <f>'[1]EB 2017'!$E$132</f>
        <v>0</v>
      </c>
      <c r="J23" s="38">
        <f>'[1]EB 2017'!$E$170</f>
        <v>0</v>
      </c>
      <c r="K23" s="62">
        <f>'[2]Elec EB final SATIM for Word'!$L$11*0.0036</f>
        <v>51.817372077599998</v>
      </c>
      <c r="L23" s="74"/>
      <c r="M23" s="11"/>
      <c r="N23" s="11"/>
      <c r="O23" s="11"/>
      <c r="P23" s="11"/>
      <c r="Q23" s="12"/>
    </row>
    <row r="24" spans="2:17" x14ac:dyDescent="0.25">
      <c r="B24" s="28" t="s">
        <v>39</v>
      </c>
      <c r="C24" s="29"/>
      <c r="D24" s="10"/>
      <c r="E24" s="38">
        <f>'[3]GasBalanceSATIM edited'!$G$28</f>
        <v>0.66913997936248781</v>
      </c>
      <c r="F24" s="11"/>
      <c r="G24" s="11"/>
      <c r="H24" s="11"/>
      <c r="I24" s="11"/>
      <c r="J24" s="11"/>
      <c r="K24" s="62"/>
      <c r="L24" s="74"/>
      <c r="M24" s="11"/>
      <c r="N24" s="11"/>
      <c r="O24" s="11"/>
      <c r="P24" s="11"/>
      <c r="Q24" s="12"/>
    </row>
    <row r="25" spans="2:17" x14ac:dyDescent="0.25">
      <c r="B25" s="28" t="s">
        <v>40</v>
      </c>
      <c r="C25" s="29"/>
      <c r="D25" s="10"/>
      <c r="E25" s="38">
        <f>'[3]GasBalanceSATIM edited'!$G$29</f>
        <v>1.4128140563964844</v>
      </c>
      <c r="F25" s="11"/>
      <c r="G25" s="11"/>
      <c r="H25" s="11"/>
      <c r="I25" s="11"/>
      <c r="J25" s="11"/>
      <c r="K25" s="62"/>
      <c r="L25" s="74"/>
      <c r="M25" s="11"/>
      <c r="N25" s="11"/>
      <c r="O25" s="11"/>
      <c r="P25" s="11"/>
      <c r="Q25" s="12"/>
    </row>
    <row r="26" spans="2:17" x14ac:dyDescent="0.25">
      <c r="B26" s="28" t="s">
        <v>41</v>
      </c>
      <c r="C26" s="29"/>
      <c r="D26" s="10">
        <f>'[4]CoalBalance SATIM final'!$E$14</f>
        <v>38.15</v>
      </c>
      <c r="E26" s="38">
        <f>'[3]GasBalanceSATIM edited'!$G$30</f>
        <v>1.0014639892578125</v>
      </c>
      <c r="F26" s="38">
        <f>'[1]EB 2017'!$E$22</f>
        <v>29.930612534513735</v>
      </c>
      <c r="G26" s="38">
        <f>'[1]EB 2017'!$E$59</f>
        <v>0</v>
      </c>
      <c r="H26" s="38">
        <f>'[1]EB 2017'!$E$96</f>
        <v>0.13585720949999999</v>
      </c>
      <c r="I26" s="38">
        <f>'[1]EB 2017'!$E$133</f>
        <v>0.45839629300000001</v>
      </c>
      <c r="J26" s="38">
        <f>'[1]EB 2017'!$E$171</f>
        <v>1.310085041824</v>
      </c>
      <c r="K26" s="62">
        <f>'[2]Elec EB final SATIM for Word'!$F$15*0.0036</f>
        <v>109.95480381241799</v>
      </c>
      <c r="L26" s="74"/>
      <c r="M26" s="11"/>
      <c r="N26" s="11"/>
      <c r="O26" s="11"/>
      <c r="P26" s="11"/>
      <c r="Q26" s="12"/>
    </row>
    <row r="27" spans="2:17" x14ac:dyDescent="0.25">
      <c r="B27" s="28" t="s">
        <v>42</v>
      </c>
      <c r="C27" s="29"/>
      <c r="D27" s="10">
        <f>'[4]CoalBalance SATIM final'!$E$15</f>
        <v>16.27</v>
      </c>
      <c r="E27" s="38">
        <f>'[3]GasBalanceSATIM edited'!$G$31</f>
        <v>7.3658288574218753</v>
      </c>
      <c r="F27" s="38">
        <f>'[1]EB 2017'!$E$23</f>
        <v>0</v>
      </c>
      <c r="G27" s="38">
        <f>'[1]EB 2017'!$E$60</f>
        <v>0</v>
      </c>
      <c r="H27" s="38">
        <f>'[1]EB 2017'!$E$97</f>
        <v>0</v>
      </c>
      <c r="I27" s="38">
        <f>'[1]EB 2017'!$E$134</f>
        <v>9.0784716999999987E-2</v>
      </c>
      <c r="J27" s="38">
        <f>'[1]EB 2017'!$E$172</f>
        <v>5.4638979199999993E-2</v>
      </c>
      <c r="K27" s="62">
        <f>'[2]Elec EB final SATIM for Word'!$F$12*0.0036</f>
        <v>14.952240000000002</v>
      </c>
      <c r="L27" s="74"/>
      <c r="M27" s="11"/>
      <c r="N27" s="11"/>
      <c r="O27" s="11"/>
      <c r="P27" s="11"/>
      <c r="Q27" s="12"/>
    </row>
    <row r="28" spans="2:17" x14ac:dyDescent="0.25">
      <c r="B28" s="28" t="s">
        <v>43</v>
      </c>
      <c r="C28" s="29"/>
      <c r="D28" s="97">
        <f>'[4]CoalBalance SATIM final'!$E$16</f>
        <v>58.622363636363637</v>
      </c>
      <c r="E28" s="38">
        <f>'[3]GasBalanceSATIM edited'!$G$32</f>
        <v>4.1653308105468749</v>
      </c>
      <c r="F28" s="38">
        <f>'[1]EB 2017'!$E$24</f>
        <v>2.0404596230985002E-2</v>
      </c>
      <c r="G28" s="38">
        <f>'[1]EB 2017'!$E$61</f>
        <v>0</v>
      </c>
      <c r="H28" s="38">
        <f>'[1]EB 2017'!$E$98</f>
        <v>0</v>
      </c>
      <c r="I28" s="38">
        <f>'[1]EB 2017'!$E$135</f>
        <v>0</v>
      </c>
      <c r="J28" s="38">
        <f>'[1]EB 2017'!$E$173</f>
        <v>2.7800448000000002E-2</v>
      </c>
      <c r="K28" s="62">
        <f>'[2]Elec EB final SATIM for Word'!$F$18*0.0036</f>
        <v>7.9662959999999998</v>
      </c>
      <c r="L28" s="74"/>
      <c r="M28" s="11"/>
      <c r="N28" s="11"/>
      <c r="O28" s="11"/>
      <c r="P28" s="11"/>
      <c r="Q28" s="12"/>
    </row>
    <row r="29" spans="2:17" x14ac:dyDescent="0.25">
      <c r="B29" s="28" t="s">
        <v>44</v>
      </c>
      <c r="C29" s="29"/>
      <c r="D29" s="10"/>
      <c r="E29" s="38">
        <f>'[3]GasBalanceSATIM edited'!$G$33</f>
        <v>0</v>
      </c>
      <c r="F29" s="11"/>
      <c r="G29" s="11"/>
      <c r="H29" s="11"/>
      <c r="I29" s="11"/>
      <c r="J29" s="11"/>
      <c r="K29" s="62"/>
      <c r="L29" s="74"/>
      <c r="M29" s="11"/>
      <c r="N29" s="11"/>
      <c r="O29" s="11"/>
      <c r="P29" s="11"/>
      <c r="Q29" s="12"/>
    </row>
    <row r="30" spans="2:17" x14ac:dyDescent="0.25">
      <c r="B30" s="28" t="s">
        <v>45</v>
      </c>
      <c r="C30" s="29"/>
      <c r="D30" s="10"/>
      <c r="E30" s="38">
        <f>'[3]GasBalanceSATIM edited'!$G$34</f>
        <v>0</v>
      </c>
      <c r="F30" s="38">
        <f>'[1]EB 2017'!$E$25</f>
        <v>4.1995176118826993</v>
      </c>
      <c r="G30" s="38">
        <f>'[1]EB 2017'!$E$62</f>
        <v>0</v>
      </c>
      <c r="H30" s="38">
        <f>'[1]EB 2017'!$E$99</f>
        <v>9.7612743599999996E-2</v>
      </c>
      <c r="I30" s="38">
        <f>'[1]EB 2017'!$E$136</f>
        <v>0.25556303300000005</v>
      </c>
      <c r="J30" s="38">
        <f>'[1]EB 2017'!$E$174</f>
        <v>1.3476220409600002</v>
      </c>
      <c r="K30" s="62"/>
      <c r="L30" s="74"/>
      <c r="M30" s="11"/>
      <c r="N30" s="11"/>
      <c r="O30" s="11"/>
      <c r="P30" s="11"/>
      <c r="Q30" s="12"/>
    </row>
    <row r="31" spans="2:17" x14ac:dyDescent="0.25">
      <c r="B31" s="28" t="s">
        <v>46</v>
      </c>
      <c r="C31" s="29"/>
      <c r="D31" s="10"/>
      <c r="E31" s="38">
        <f>'[3]GasBalanceSATIM edited'!$G$35</f>
        <v>1.4420000076293946E-2</v>
      </c>
      <c r="F31" s="38">
        <f>'[1]EB 2017'!$E$27</f>
        <v>6.9640022644364988E-2</v>
      </c>
      <c r="G31" s="11"/>
      <c r="H31" s="11"/>
      <c r="I31" s="11"/>
      <c r="J31" s="11"/>
      <c r="K31" s="62"/>
      <c r="L31" s="74"/>
      <c r="M31" s="11"/>
      <c r="N31" s="11"/>
      <c r="O31" s="11"/>
      <c r="P31" s="11"/>
      <c r="Q31" s="12"/>
    </row>
    <row r="32" spans="2:17" x14ac:dyDescent="0.25">
      <c r="B32" s="28" t="s">
        <v>47</v>
      </c>
      <c r="C32" s="29"/>
      <c r="D32" s="97">
        <f>'[4]CoalBalance SATIM final'!$E$17</f>
        <v>101.63644444444444</v>
      </c>
      <c r="E32" s="38">
        <f>'[3]GasBalanceSATIM edited'!$G$36</f>
        <v>4.6039031982421879</v>
      </c>
      <c r="F32" s="11"/>
      <c r="G32" s="38">
        <f>'[1]EB 2017'!$E$64</f>
        <v>0</v>
      </c>
      <c r="H32" s="38">
        <f>'[1]EB 2017'!$E$101</f>
        <v>0.55581081040949998</v>
      </c>
      <c r="I32" s="38">
        <f>'[1]EB 2017'!$E$138</f>
        <v>0.54701236600000014</v>
      </c>
      <c r="J32" s="38">
        <f>'[1]EB 2017'!$E$176</f>
        <v>0.45941164672000007</v>
      </c>
      <c r="K32" s="62">
        <f>'[2]Elec EB final SATIM for Word'!$F$13*0.0036</f>
        <v>22.974299999999999</v>
      </c>
      <c r="L32" s="74"/>
      <c r="M32" s="11"/>
      <c r="N32" s="11"/>
      <c r="O32" s="11"/>
      <c r="P32" s="11"/>
      <c r="Q32" s="12"/>
    </row>
    <row r="33" spans="2:25" s="3" customFormat="1" x14ac:dyDescent="0.25">
      <c r="B33" s="22" t="s">
        <v>48</v>
      </c>
      <c r="C33" s="37"/>
      <c r="D33" s="46"/>
      <c r="E33" s="47"/>
      <c r="F33" s="47">
        <f>'[1]EB 2017'!$E$28</f>
        <v>402.98301301502124</v>
      </c>
      <c r="G33" s="47">
        <f>'[1]EB 2017'!$E$65</f>
        <v>381.58026708936421</v>
      </c>
      <c r="H33" s="47">
        <f>'[1]EB 2017'!$E$102</f>
        <v>0.11545467083249998</v>
      </c>
      <c r="I33" s="47">
        <f>'[1]EB 2017'!$E$139</f>
        <v>93.343548732200901</v>
      </c>
      <c r="J33" s="47">
        <f>'[1]EB 2017'!$E$177</f>
        <v>24.3537754952544</v>
      </c>
      <c r="K33" s="63">
        <f>'[2]Elec EB final SATIM for Word'!$F$23*0.0036</f>
        <v>13.973181383639751</v>
      </c>
      <c r="L33" s="75"/>
      <c r="M33" s="48"/>
      <c r="N33" s="48"/>
      <c r="O33" s="48"/>
      <c r="P33" s="48"/>
      <c r="Q33" s="49"/>
      <c r="T33" s="86" t="s">
        <v>23</v>
      </c>
      <c r="Y33" s="87" t="s">
        <v>23</v>
      </c>
    </row>
    <row r="34" spans="2:25" x14ac:dyDescent="0.25">
      <c r="B34" s="23" t="s">
        <v>49</v>
      </c>
      <c r="C34" s="29"/>
      <c r="D34" s="10"/>
      <c r="E34" s="38"/>
      <c r="F34" s="38">
        <f>'[1]EB 2017'!$E$29</f>
        <v>395.7229620893155</v>
      </c>
      <c r="G34" s="38">
        <f>'[1]EB 2017'!$E$66</f>
        <v>381.58026708936421</v>
      </c>
      <c r="H34" s="38">
        <f>'[1]EB 2017'!$E$103</f>
        <v>0.10675268693249998</v>
      </c>
      <c r="I34" s="38">
        <f>'[1]EB 2017'!$E$140</f>
        <v>0.30513994190900001</v>
      </c>
      <c r="J34" s="38">
        <f>'[1]EB 2017'!$E$178</f>
        <v>0</v>
      </c>
      <c r="K34" s="62"/>
      <c r="L34" s="74"/>
      <c r="M34" s="11"/>
      <c r="N34" s="11"/>
      <c r="O34" s="11"/>
      <c r="P34" s="11"/>
      <c r="Q34" s="12"/>
      <c r="T34" s="86" t="s">
        <v>50</v>
      </c>
      <c r="Y34" s="88" t="s">
        <v>51</v>
      </c>
    </row>
    <row r="35" spans="2:25" x14ac:dyDescent="0.25">
      <c r="B35" s="23" t="s">
        <v>52</v>
      </c>
      <c r="C35" s="29"/>
      <c r="D35" s="10"/>
      <c r="E35" s="38"/>
      <c r="F35" s="38">
        <f>'[1]EB 2017'!$E$30</f>
        <v>7.6125333856469996E-2</v>
      </c>
      <c r="G35" s="38">
        <f>'[1]EB 2017'!$E$67</f>
        <v>0</v>
      </c>
      <c r="H35" s="38">
        <f>'[1]EB 2017'!$E$104</f>
        <v>0</v>
      </c>
      <c r="I35" s="38">
        <f>'[1]EB 2017'!$E$141</f>
        <v>14.089421919645099</v>
      </c>
      <c r="J35" s="38">
        <f>'[1]EB 2017'!$E$179</f>
        <v>0</v>
      </c>
      <c r="K35" s="62"/>
      <c r="L35" s="74"/>
      <c r="M35" s="11"/>
      <c r="N35" s="11"/>
      <c r="O35" s="11"/>
      <c r="P35" s="11"/>
      <c r="Q35" s="12"/>
      <c r="T35" s="86" t="s">
        <v>53</v>
      </c>
      <c r="Y35" s="88" t="s">
        <v>53</v>
      </c>
    </row>
    <row r="36" spans="2:25" x14ac:dyDescent="0.25">
      <c r="B36" s="23" t="s">
        <v>54</v>
      </c>
      <c r="C36" s="29"/>
      <c r="D36" s="10"/>
      <c r="E36" s="38"/>
      <c r="F36" s="38">
        <f>'[1]EB 2017'!$E$31</f>
        <v>0</v>
      </c>
      <c r="G36" s="38">
        <f>'[1]EB 2017'!$E$68</f>
        <v>0</v>
      </c>
      <c r="H36" s="38">
        <f>'[1]EB 2017'!$E$105</f>
        <v>0</v>
      </c>
      <c r="I36" s="38">
        <f>'[1]EB 2017'!$E$142</f>
        <v>78.944447488646802</v>
      </c>
      <c r="J36" s="38">
        <f>'[1]EB 2017'!$E$180</f>
        <v>0</v>
      </c>
      <c r="K36" s="62"/>
      <c r="L36" s="74"/>
      <c r="M36" s="11"/>
      <c r="N36" s="11"/>
      <c r="O36" s="11"/>
      <c r="P36" s="11"/>
      <c r="Q36" s="12"/>
      <c r="T36" s="86" t="s">
        <v>51</v>
      </c>
      <c r="Y36" s="87" t="s">
        <v>55</v>
      </c>
    </row>
    <row r="37" spans="2:25" x14ac:dyDescent="0.25">
      <c r="B37" s="23" t="s">
        <v>56</v>
      </c>
      <c r="C37" s="29"/>
      <c r="D37" s="10"/>
      <c r="E37" s="38"/>
      <c r="F37" s="38">
        <f>'[1]EB 2017'!$E$32</f>
        <v>0</v>
      </c>
      <c r="G37" s="38">
        <f>'[1]EB 2017'!$E$69</f>
        <v>0</v>
      </c>
      <c r="H37" s="38">
        <f>'[1]EB 2017'!$E$106</f>
        <v>0</v>
      </c>
      <c r="I37" s="38">
        <f>'[1]EB 2017'!$E$143</f>
        <v>0</v>
      </c>
      <c r="J37" s="38">
        <f>'[1]EB 2017'!$E$181</f>
        <v>23.232316288854399</v>
      </c>
      <c r="K37" s="62"/>
      <c r="L37" s="74"/>
      <c r="M37" s="11"/>
      <c r="N37" s="11"/>
      <c r="O37" s="11"/>
      <c r="P37" s="11"/>
      <c r="Q37" s="12"/>
      <c r="T37" s="86" t="s">
        <v>55</v>
      </c>
      <c r="Y37" s="87" t="s">
        <v>57</v>
      </c>
    </row>
    <row r="38" spans="2:25" x14ac:dyDescent="0.25">
      <c r="B38" s="23" t="s">
        <v>58</v>
      </c>
      <c r="C38" s="29"/>
      <c r="D38" s="10"/>
      <c r="E38" s="38"/>
      <c r="F38" s="38">
        <f>'[1]EB 2017'!$E$33</f>
        <v>0</v>
      </c>
      <c r="G38" s="38">
        <f>'[1]EB 2017'!$E$70</f>
        <v>0</v>
      </c>
      <c r="H38" s="38">
        <f>'[1]EB 2017'!$E$107</f>
        <v>0</v>
      </c>
      <c r="I38" s="38">
        <f>'[1]EB 2017'!$E$142</f>
        <v>78.944447488646802</v>
      </c>
      <c r="J38" s="38">
        <f>'[1]EB 2017'!$E$182</f>
        <v>0</v>
      </c>
      <c r="K38" s="62"/>
      <c r="L38" s="74"/>
      <c r="M38" s="11"/>
      <c r="N38" s="11"/>
      <c r="O38" s="11"/>
      <c r="P38" s="11"/>
      <c r="Q38" s="12"/>
      <c r="T38" s="86" t="s">
        <v>59</v>
      </c>
      <c r="Y38" s="87" t="s">
        <v>60</v>
      </c>
    </row>
    <row r="39" spans="2:25" x14ac:dyDescent="0.25">
      <c r="B39" s="23" t="s">
        <v>61</v>
      </c>
      <c r="C39" s="29"/>
      <c r="D39" s="10"/>
      <c r="E39" s="38"/>
      <c r="F39" s="38">
        <f>'[1]EB 2017'!$E$34</f>
        <v>6.4729999999999999</v>
      </c>
      <c r="G39" s="38">
        <f>'[1]EB 2017'!$E$71</f>
        <v>0</v>
      </c>
      <c r="H39" s="38">
        <f>'[1]EB 2017'!$E$108</f>
        <v>0</v>
      </c>
      <c r="I39" s="38">
        <f>'[1]EB 2017'!$E$145</f>
        <v>6.2160000000000001E-5</v>
      </c>
      <c r="J39" s="38">
        <f>'[1]EB 2017'!$E$183</f>
        <v>0</v>
      </c>
      <c r="K39" s="62"/>
      <c r="L39" s="74"/>
      <c r="M39" s="11"/>
      <c r="N39" s="11"/>
      <c r="O39" s="11"/>
      <c r="P39" s="11"/>
      <c r="Q39" s="12"/>
      <c r="T39" s="86" t="s">
        <v>60</v>
      </c>
      <c r="Y39" s="88" t="s">
        <v>62</v>
      </c>
    </row>
    <row r="40" spans="2:25" x14ac:dyDescent="0.25">
      <c r="B40" s="23" t="s">
        <v>63</v>
      </c>
      <c r="C40" s="29"/>
      <c r="D40" s="10"/>
      <c r="E40" s="38"/>
      <c r="F40" s="38">
        <f>'[1]EB 2017'!$E$35</f>
        <v>0.71092559184929993</v>
      </c>
      <c r="G40" s="38">
        <f>'[1]EB 2017'!$E$72</f>
        <v>0</v>
      </c>
      <c r="H40" s="38">
        <f>'[1]EB 2017'!$E$109</f>
        <v>8.7019838999999998E-3</v>
      </c>
      <c r="I40" s="38">
        <f>'[1]EB 2017'!$E$146</f>
        <v>4.4772219999999995E-3</v>
      </c>
      <c r="J40" s="38">
        <f>'[1]EB 2017'!$E$184</f>
        <v>1.1214592064000002</v>
      </c>
      <c r="K40" s="62"/>
      <c r="L40" s="74"/>
      <c r="M40" s="11"/>
      <c r="N40" s="11"/>
      <c r="O40" s="11"/>
      <c r="P40" s="11"/>
      <c r="Q40" s="12"/>
      <c r="T40" s="86" t="s">
        <v>62</v>
      </c>
      <c r="Y40" s="87" t="s">
        <v>64</v>
      </c>
    </row>
    <row r="41" spans="2:25" s="3" customFormat="1" x14ac:dyDescent="0.25">
      <c r="B41" s="36" t="s">
        <v>65</v>
      </c>
      <c r="C41" s="37"/>
      <c r="D41" s="46">
        <f>'[4]CoalBalance SATIM final'!$E$18</f>
        <v>41.03</v>
      </c>
      <c r="E41" s="47">
        <f>'[3]GasBalanceSATIM edited'!$G$37</f>
        <v>1.4527976531982421</v>
      </c>
      <c r="F41" s="47">
        <f>'[1]EB 2017'!$E$36</f>
        <v>26.36378412491279</v>
      </c>
      <c r="G41" s="47">
        <f>'[1]EB 2017'!$E$73</f>
        <v>0.22994539289999999</v>
      </c>
      <c r="H41" s="47">
        <f>'[1]EB 2017'!$E$110</f>
        <v>12.151365655866027</v>
      </c>
      <c r="I41" s="47">
        <f>'[1]EB 2017'!$E$147</f>
        <v>22.348961799534003</v>
      </c>
      <c r="J41" s="47">
        <f>'[1]EB 2017'!$E$185</f>
        <v>4.3932764510752005</v>
      </c>
      <c r="K41" s="63"/>
      <c r="L41" s="75"/>
      <c r="M41" s="48"/>
      <c r="N41" s="48"/>
      <c r="O41" s="48"/>
      <c r="P41" s="48"/>
      <c r="Q41" s="49"/>
      <c r="T41" s="86" t="s">
        <v>64</v>
      </c>
      <c r="Y41" s="88" t="s">
        <v>66</v>
      </c>
    </row>
    <row r="42" spans="2:25" x14ac:dyDescent="0.25">
      <c r="B42" s="28" t="s">
        <v>67</v>
      </c>
      <c r="C42" s="29"/>
      <c r="D42" s="10">
        <f>'[4]CoalBalance SATIM final'!$E$19</f>
        <v>0.8</v>
      </c>
      <c r="E42" s="38">
        <f>'[3]GasBalanceSATIM edited'!$G$38</f>
        <v>0</v>
      </c>
      <c r="F42" s="38">
        <f>'[1]EB 2017'!$E$37</f>
        <v>23.248930058093379</v>
      </c>
      <c r="G42" s="38">
        <f>'[1]EB 2017'!$E$74</f>
        <v>0</v>
      </c>
      <c r="H42" s="38">
        <f>'[1]EB 2017'!$E$111</f>
        <v>0</v>
      </c>
      <c r="I42" s="38">
        <f>'[1]EB 2017'!$E$148</f>
        <v>9.3958823555049982</v>
      </c>
      <c r="J42" s="38">
        <f>'[1]EB 2017'!$E$186</f>
        <v>0</v>
      </c>
      <c r="K42" s="62">
        <f>'[2]Elec EB final SATIM for Word'!$F$20*0.0036</f>
        <v>20.342826162334799</v>
      </c>
      <c r="L42" s="74"/>
      <c r="M42" s="11"/>
      <c r="N42" s="11"/>
      <c r="O42" s="11"/>
      <c r="P42" s="11"/>
      <c r="Q42" s="12"/>
      <c r="T42" s="86" t="s">
        <v>66</v>
      </c>
      <c r="Y42" s="88" t="s">
        <v>68</v>
      </c>
    </row>
    <row r="43" spans="2:25" x14ac:dyDescent="0.25">
      <c r="B43" s="28" t="s">
        <v>69</v>
      </c>
      <c r="C43" s="29"/>
      <c r="D43" s="10"/>
      <c r="E43" s="38"/>
      <c r="F43" s="38">
        <f>'[1]EB 2017'!$E$38</f>
        <v>2.0187781933156499</v>
      </c>
      <c r="G43" s="38">
        <f>'[1]EB 2017'!$E$75</f>
        <v>0.22994539289999999</v>
      </c>
      <c r="H43" s="38">
        <f>'[1]EB 2017'!$E$112</f>
        <v>0</v>
      </c>
      <c r="I43" s="38">
        <f>'[1]EB 2017'!$E$149</f>
        <v>0.84972856899999993</v>
      </c>
      <c r="J43" s="38">
        <f>'[1]EB 2017'!$E$187</f>
        <v>1.6464979325600002</v>
      </c>
      <c r="K43" s="62"/>
      <c r="L43" s="74"/>
      <c r="M43" s="11"/>
      <c r="N43" s="11"/>
      <c r="O43" s="11"/>
      <c r="P43" s="11"/>
      <c r="Q43" s="12"/>
      <c r="T43" s="86" t="s">
        <v>68</v>
      </c>
    </row>
    <row r="44" spans="2:25" x14ac:dyDescent="0.25">
      <c r="B44" s="28" t="s">
        <v>70</v>
      </c>
      <c r="C44" s="29"/>
      <c r="D44" s="10">
        <f>'[4]CoalBalance SATIM final'!$E$20</f>
        <v>26.73</v>
      </c>
      <c r="E44" s="38">
        <f>'[3]GasBalanceSATIM edited'!$G$39</f>
        <v>1.2323005371093749</v>
      </c>
      <c r="F44" s="38">
        <f>SUM('[1]EB 2017'!$E$40,'[1]EB 2017'!$E$41)</f>
        <v>1.0960758735037621</v>
      </c>
      <c r="G44" s="38">
        <f>SUM('[1]EB 2017'!$E$77,'[1]EB 2017'!$E$78)</f>
        <v>0</v>
      </c>
      <c r="H44" s="38">
        <f>SUM('[1]EB 2017'!$E$114,'[1]EB 2017'!$E$115)</f>
        <v>2.1513656558660275</v>
      </c>
      <c r="I44" s="38">
        <f>SUM('[1]EB 2017'!$E$151,'[1]EB 2017'!$E$152)</f>
        <v>5.2782291194419999</v>
      </c>
      <c r="J44" s="38">
        <f>SUM('[1]EB 2017'!$E$189,'[1]EB 2017'!$E$190)</f>
        <v>2.7467785185151996</v>
      </c>
      <c r="K44" s="62">
        <f>'[2]Elec EB final SATIM for Word'!$F$21*0.0036</f>
        <v>130.91626105456845</v>
      </c>
      <c r="L44" s="74"/>
      <c r="M44" s="11"/>
      <c r="N44" s="11"/>
      <c r="O44" s="11"/>
      <c r="P44" s="11"/>
      <c r="Q44" s="12"/>
    </row>
    <row r="45" spans="2:25" x14ac:dyDescent="0.25">
      <c r="B45" s="39" t="s">
        <v>71</v>
      </c>
      <c r="C45" s="30"/>
      <c r="D45" s="10">
        <f>'[4]CoalBalance SATIM final'!$E$21</f>
        <v>13.5</v>
      </c>
      <c r="E45" s="38">
        <f>'[3]GasBalanceSATIM edited'!$G$40</f>
        <v>0.22049711608886718</v>
      </c>
      <c r="F45" s="38">
        <f>'[1]EB 2017'!$E$39</f>
        <v>0</v>
      </c>
      <c r="G45" s="38">
        <f>'[1]EB 2017'!$E$76</f>
        <v>0</v>
      </c>
      <c r="H45" s="38">
        <f>'[1]EB 2017'!$E$113</f>
        <v>10</v>
      </c>
      <c r="I45" s="38">
        <f>'[1]EB 2017'!$E$150</f>
        <v>6.8251217555870047</v>
      </c>
      <c r="J45" s="38">
        <f>'[1]EB 2017'!$E$188</f>
        <v>0</v>
      </c>
      <c r="K45" s="62">
        <f>'[2]Elec EB final SATIM for Word'!$F$22*0.0036</f>
        <v>169.69902281430845</v>
      </c>
      <c r="L45" s="74"/>
      <c r="M45" s="11"/>
      <c r="N45" s="11"/>
      <c r="O45" s="11"/>
      <c r="P45" s="11"/>
      <c r="Q45" s="12"/>
    </row>
    <row r="46" spans="2:25" s="3" customFormat="1" x14ac:dyDescent="0.25">
      <c r="B46" s="57" t="s">
        <v>72</v>
      </c>
      <c r="C46" s="58"/>
      <c r="D46" s="59"/>
      <c r="E46" s="60"/>
      <c r="F46" s="60"/>
      <c r="G46" s="60"/>
      <c r="H46" s="60"/>
      <c r="I46" s="60"/>
      <c r="J46" s="60">
        <f>'[1]EB 2017'!$E$164</f>
        <v>23.2</v>
      </c>
      <c r="K46" s="64"/>
      <c r="L46" s="76"/>
      <c r="M46" s="48"/>
      <c r="N46" s="48"/>
      <c r="O46" s="48"/>
      <c r="P46" s="48"/>
      <c r="Q46" s="49"/>
    </row>
    <row r="47" spans="2:25" s="3" customFormat="1" ht="15.75" thickBot="1" x14ac:dyDescent="0.3">
      <c r="B47" s="40" t="s">
        <v>73</v>
      </c>
      <c r="C47" s="41"/>
      <c r="D47" s="16"/>
      <c r="E47" s="54"/>
      <c r="F47" s="17"/>
      <c r="G47" s="17"/>
      <c r="H47" s="17"/>
      <c r="I47" s="17"/>
      <c r="J47" s="17"/>
      <c r="K47" s="65"/>
      <c r="L47" s="77"/>
      <c r="M47" s="17"/>
      <c r="N47" s="17"/>
      <c r="O47" s="17"/>
      <c r="P47" s="17"/>
      <c r="Q47" s="18"/>
    </row>
    <row r="48" spans="2:25" s="3" customFormat="1" ht="15.75" thickTop="1" x14ac:dyDescent="0.25">
      <c r="B48" s="33" t="s">
        <v>74</v>
      </c>
      <c r="C48" s="34"/>
      <c r="D48" s="50">
        <f>'[4]CoalBalance SATIM final'!$E$23</f>
        <v>-3109.66</v>
      </c>
      <c r="E48" s="51"/>
      <c r="F48" s="51">
        <f>'[1]EB 2017'!$E$8</f>
        <v>-0.38453756594999999</v>
      </c>
      <c r="G48" s="51">
        <f>'[1]EB 2017'!$E$45</f>
        <v>0</v>
      </c>
      <c r="H48" s="51">
        <f>'[1]EB 2017'!$E$82</f>
        <v>0</v>
      </c>
      <c r="I48" s="51">
        <f>'[1]EB 2017'!$E$119</f>
        <v>-1.7636285780000001</v>
      </c>
      <c r="J48" s="51">
        <f>'[1]EB 2017'!$E$156</f>
        <v>-10.780976327680001</v>
      </c>
      <c r="K48" s="61">
        <f>'[2]Elec EB final SATIM for Word'!$L$25*0.0036</f>
        <v>-24.8142</v>
      </c>
      <c r="L48" s="73"/>
      <c r="M48" s="52"/>
      <c r="N48" s="52"/>
      <c r="O48" s="52"/>
      <c r="P48" s="52"/>
      <c r="Q48" s="53"/>
    </row>
    <row r="49" spans="2:17" x14ac:dyDescent="0.25">
      <c r="B49" s="26" t="s">
        <v>23</v>
      </c>
      <c r="C49" s="27"/>
      <c r="D49" s="7">
        <f>'[4]CoalBalance SATIM final'!$E$24</f>
        <v>-2284</v>
      </c>
      <c r="E49" s="35"/>
      <c r="F49" s="35">
        <f>'[1]EB 2017'!$E$9</f>
        <v>-0.38453756594999999</v>
      </c>
      <c r="G49" s="35">
        <f>'[1]EB 2017'!$E$46</f>
        <v>0</v>
      </c>
      <c r="H49" s="35">
        <f>'[1]EB 2017'!$E$83</f>
        <v>0</v>
      </c>
      <c r="I49" s="8"/>
      <c r="J49" s="35">
        <f>'[1]EB 2017'!$E$157</f>
        <v>-9.4333542867200002</v>
      </c>
      <c r="K49" s="66"/>
      <c r="L49" s="78"/>
      <c r="M49" s="8"/>
      <c r="N49" s="8"/>
      <c r="O49" s="8"/>
      <c r="P49" s="8"/>
      <c r="Q49" s="9"/>
    </row>
    <row r="50" spans="2:17" x14ac:dyDescent="0.25">
      <c r="B50" s="28" t="s">
        <v>57</v>
      </c>
      <c r="C50" s="29"/>
      <c r="D50" s="10"/>
      <c r="E50" s="38">
        <f>E51</f>
        <v>-28.640346999999998</v>
      </c>
      <c r="F50" s="38">
        <f>'[1]EB 2017'!$E$12</f>
        <v>0</v>
      </c>
      <c r="G50" s="38">
        <f>'[1]EB 2017'!$E$49</f>
        <v>0</v>
      </c>
      <c r="H50" s="38">
        <f>'[1]EB 2017'!$E$83</f>
        <v>0</v>
      </c>
      <c r="I50" s="38">
        <f>'[1]EB 2017'!$E$125</f>
        <v>-0.163628578</v>
      </c>
      <c r="J50" s="38">
        <f>'[1]EB 2017'!$E$160</f>
        <v>-1.3476220409600002</v>
      </c>
      <c r="K50" s="62">
        <f>K51</f>
        <v>-4.2336</v>
      </c>
      <c r="L50" s="74"/>
      <c r="M50" s="11"/>
      <c r="N50" s="11"/>
      <c r="O50" s="11"/>
      <c r="P50" s="11"/>
      <c r="Q50" s="12"/>
    </row>
    <row r="51" spans="2:17" x14ac:dyDescent="0.25">
      <c r="B51" s="103"/>
      <c r="C51" s="29" t="s">
        <v>75</v>
      </c>
      <c r="D51" s="10"/>
      <c r="E51" s="38">
        <f>'[3]GasBalanceSATIM edited'!$G$11</f>
        <v>-28.640346999999998</v>
      </c>
      <c r="F51" s="11"/>
      <c r="G51" s="11"/>
      <c r="H51" s="11"/>
      <c r="I51" s="38">
        <f>'[1]EB 2017'!$E$123</f>
        <v>-0.163628578</v>
      </c>
      <c r="J51" s="38">
        <f>'[1]EB 2017'!$E$162</f>
        <v>-1.3476220409600002</v>
      </c>
      <c r="K51" s="62">
        <f>'[2]Elec EB final SATIM for Word'!$L$29*0.0036</f>
        <v>-4.2336</v>
      </c>
      <c r="L51" s="74"/>
      <c r="M51" s="11"/>
      <c r="N51" s="11"/>
      <c r="O51" s="11"/>
      <c r="P51" s="11"/>
      <c r="Q51" s="12"/>
    </row>
    <row r="52" spans="2:17" x14ac:dyDescent="0.25">
      <c r="B52" s="28" t="s">
        <v>76</v>
      </c>
      <c r="C52" s="29"/>
      <c r="D52" s="10">
        <f>'[4]CoalBalance SATIM final'!$E$28</f>
        <v>-825.66000000000008</v>
      </c>
      <c r="E52" s="38">
        <f>'[3]GasBalanceSATIM edited'!$G$12</f>
        <v>-68.048943099999974</v>
      </c>
      <c r="F52" s="11"/>
      <c r="G52" s="11"/>
      <c r="H52" s="11"/>
      <c r="J52" s="11"/>
      <c r="K52" s="62"/>
      <c r="L52" s="74"/>
      <c r="M52" s="11"/>
      <c r="N52" s="11"/>
      <c r="O52" s="11"/>
      <c r="P52" s="11"/>
      <c r="Q52" s="12"/>
    </row>
    <row r="53" spans="2:17" x14ac:dyDescent="0.25">
      <c r="B53" s="28"/>
      <c r="C53" s="29" t="s">
        <v>77</v>
      </c>
      <c r="D53" s="10"/>
      <c r="E53" s="38">
        <f>'[3]GasBalanceSATIM edited'!$G$13</f>
        <v>-25.570812499999999</v>
      </c>
      <c r="F53" s="11"/>
      <c r="G53" s="11"/>
      <c r="H53" s="11"/>
      <c r="I53" s="11"/>
      <c r="J53" s="11"/>
      <c r="K53" s="62">
        <f>'[2]Elec EB final SATIM for Word'!$L$27*0.0036</f>
        <v>-3.0269999999999997</v>
      </c>
      <c r="L53" s="74"/>
      <c r="M53" s="11"/>
      <c r="N53" s="11"/>
      <c r="O53" s="11"/>
      <c r="P53" s="11"/>
      <c r="Q53" s="12"/>
    </row>
    <row r="54" spans="2:17" x14ac:dyDescent="0.25">
      <c r="B54" s="28"/>
      <c r="C54" s="29" t="s">
        <v>78</v>
      </c>
      <c r="D54" s="10">
        <f>'[4]CoalBalance SATIM final'!$E$29</f>
        <v>-825.66000000000008</v>
      </c>
      <c r="E54" s="38">
        <f>'[3]GasBalanceSATIM edited'!$G$14</f>
        <v>-23.300217690909065</v>
      </c>
      <c r="F54" s="11"/>
      <c r="G54" s="11"/>
      <c r="H54" s="11"/>
      <c r="I54" s="11"/>
      <c r="J54" s="11"/>
      <c r="K54" s="62">
        <f>'[2]Elec EB final SATIM for Word'!$L$28*0.0036</f>
        <v>-17.553599999999999</v>
      </c>
      <c r="L54" s="74"/>
      <c r="M54" s="11"/>
      <c r="N54" s="11"/>
      <c r="O54" s="11"/>
      <c r="P54" s="11"/>
      <c r="Q54" s="12"/>
    </row>
    <row r="55" spans="2:17" x14ac:dyDescent="0.25">
      <c r="B55" s="28"/>
      <c r="C55" s="98" t="s">
        <v>79</v>
      </c>
      <c r="D55" s="99"/>
      <c r="E55" s="100">
        <f>'[3]GasBalanceSATIM edited'!$G$15</f>
        <v>-19.17791290909091</v>
      </c>
      <c r="F55" s="14"/>
      <c r="G55" s="14"/>
      <c r="H55" s="14"/>
      <c r="I55" s="14"/>
      <c r="J55" s="14"/>
      <c r="K55" s="89"/>
      <c r="L55" s="90"/>
      <c r="M55" s="14"/>
      <c r="N55" s="14"/>
      <c r="O55" s="14"/>
      <c r="P55" s="14"/>
      <c r="Q55" s="15"/>
    </row>
    <row r="56" spans="2:17" x14ac:dyDescent="0.25">
      <c r="B56" s="84" t="s">
        <v>60</v>
      </c>
      <c r="C56" s="29"/>
      <c r="D56" s="13"/>
      <c r="E56" s="56"/>
      <c r="F56" s="14"/>
      <c r="G56" s="14"/>
      <c r="H56" s="14"/>
      <c r="I56" s="14"/>
      <c r="J56" s="14"/>
      <c r="K56" s="89"/>
      <c r="L56" s="90"/>
      <c r="M56" s="14"/>
      <c r="N56" s="14"/>
      <c r="O56" s="14"/>
      <c r="P56" s="14"/>
      <c r="Q56" s="15"/>
    </row>
    <row r="57" spans="2:17" x14ac:dyDescent="0.25">
      <c r="B57" s="28" t="s">
        <v>62</v>
      </c>
      <c r="C57" s="29"/>
      <c r="D57" s="13"/>
      <c r="E57" s="56"/>
      <c r="F57" s="14"/>
      <c r="G57" s="14"/>
      <c r="H57" s="14"/>
      <c r="I57" s="14"/>
      <c r="J57" s="14"/>
      <c r="K57" s="89"/>
      <c r="L57" s="90"/>
      <c r="M57" s="14"/>
      <c r="N57" s="14"/>
      <c r="O57" s="14"/>
      <c r="P57" s="14">
        <f>-8051</f>
        <v>-8051</v>
      </c>
      <c r="Q57" s="15"/>
    </row>
    <row r="58" spans="2:17" x14ac:dyDescent="0.25">
      <c r="B58" s="84" t="s">
        <v>64</v>
      </c>
      <c r="C58" s="29"/>
      <c r="D58" s="13"/>
      <c r="E58" s="56"/>
      <c r="F58" s="14"/>
      <c r="G58" s="14"/>
      <c r="H58" s="14"/>
      <c r="I58" s="14"/>
      <c r="J58" s="14"/>
      <c r="K58" s="89"/>
      <c r="L58" s="104">
        <v>-38430</v>
      </c>
      <c r="M58" s="14"/>
      <c r="N58" s="14"/>
      <c r="O58" s="14"/>
      <c r="P58" s="14"/>
      <c r="Q58" s="15"/>
    </row>
    <row r="59" spans="2:17" x14ac:dyDescent="0.25">
      <c r="B59" s="28" t="s">
        <v>66</v>
      </c>
      <c r="C59" s="29"/>
      <c r="D59" s="13"/>
      <c r="E59" s="56"/>
      <c r="F59" s="14"/>
      <c r="G59" s="14"/>
      <c r="H59" s="14"/>
      <c r="I59" s="14"/>
      <c r="J59" s="14"/>
      <c r="K59" s="89"/>
      <c r="L59" s="90"/>
      <c r="M59" s="14"/>
      <c r="N59" s="14"/>
      <c r="O59" s="14"/>
      <c r="P59" s="14"/>
      <c r="Q59" s="15">
        <f>-980</f>
        <v>-980</v>
      </c>
    </row>
    <row r="60" spans="2:17" ht="15.75" thickBot="1" x14ac:dyDescent="0.3">
      <c r="B60" s="91" t="s">
        <v>68</v>
      </c>
      <c r="C60" s="2"/>
      <c r="D60" s="19"/>
      <c r="E60" s="55"/>
      <c r="F60" s="20"/>
      <c r="G60" s="20"/>
      <c r="H60" s="20"/>
      <c r="I60" s="20"/>
      <c r="J60" s="20"/>
      <c r="K60" s="67"/>
      <c r="L60" s="79"/>
      <c r="M60" s="20"/>
      <c r="N60" s="20"/>
      <c r="O60" s="20"/>
      <c r="P60" s="20"/>
      <c r="Q60" s="21"/>
    </row>
  </sheetData>
  <mergeCells count="5">
    <mergeCell ref="B2:C2"/>
    <mergeCell ref="B3:C3"/>
    <mergeCell ref="E1:J1"/>
    <mergeCell ref="L1:Q1"/>
    <mergeCell ref="D3:Q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5514C-22DF-477E-805C-B660351A915B}">
  <sheetPr codeName="Sheet2"/>
  <dimension ref="B1:U92"/>
  <sheetViews>
    <sheetView tabSelected="1" zoomScale="115" zoomScaleNormal="115" workbookViewId="0">
      <pane xSplit="3" ySplit="4" topLeftCell="D10" activePane="bottomRight" state="frozen"/>
      <selection pane="topRight" activeCell="D1" sqref="D1"/>
      <selection pane="bottomLeft" activeCell="A5" sqref="A5"/>
      <selection pane="bottomRight" activeCell="U74" sqref="U74"/>
    </sheetView>
  </sheetViews>
  <sheetFormatPr defaultRowHeight="15" x14ac:dyDescent="0.25"/>
  <cols>
    <col min="2" max="2" width="42.42578125" bestFit="1" customWidth="1"/>
    <col min="3" max="3" width="32.7109375" bestFit="1" customWidth="1"/>
    <col min="4" max="4" width="13.28515625" bestFit="1" customWidth="1"/>
    <col min="5" max="5" width="12.7109375" bestFit="1" customWidth="1"/>
    <col min="6" max="6" width="11" customWidth="1"/>
    <col min="7" max="7" width="11.5703125" bestFit="1" customWidth="1"/>
    <col min="8" max="8" width="7.140625" bestFit="1" customWidth="1"/>
    <col min="9" max="9" width="10.5703125" bestFit="1" customWidth="1"/>
    <col min="10" max="10" width="13.28515625" bestFit="1" customWidth="1"/>
    <col min="11" max="11" width="10.140625" bestFit="1" customWidth="1"/>
    <col min="12" max="12" width="10.42578125" bestFit="1" customWidth="1"/>
    <col min="13" max="13" width="12" customWidth="1"/>
    <col min="14" max="14" width="7.85546875" bestFit="1" customWidth="1"/>
    <col min="15" max="15" width="15.7109375" customWidth="1"/>
    <col min="16" max="16" width="7.85546875" bestFit="1" customWidth="1"/>
    <col min="17" max="19" width="7.85546875" customWidth="1"/>
    <col min="20" max="20" width="10.85546875" style="205" bestFit="1" customWidth="1"/>
  </cols>
  <sheetData>
    <row r="1" spans="2:21" ht="15.75" thickBot="1" x14ac:dyDescent="0.3"/>
    <row r="2" spans="2:21" ht="15.75" thickBot="1" x14ac:dyDescent="0.3">
      <c r="B2" s="258" t="s">
        <v>2</v>
      </c>
      <c r="C2" s="259"/>
      <c r="D2" s="199" t="s">
        <v>3</v>
      </c>
      <c r="E2" s="196" t="s">
        <v>0</v>
      </c>
      <c r="F2" s="197"/>
      <c r="G2" s="197"/>
      <c r="H2" s="197"/>
      <c r="I2" s="197"/>
      <c r="J2" s="197"/>
      <c r="K2" s="196" t="s">
        <v>1</v>
      </c>
      <c r="L2" s="197"/>
      <c r="M2" s="197"/>
      <c r="N2" s="197"/>
      <c r="O2" s="197"/>
      <c r="P2" s="198"/>
      <c r="Q2" s="233"/>
      <c r="R2" s="233"/>
      <c r="S2" s="233"/>
      <c r="T2" s="210" t="s">
        <v>10</v>
      </c>
    </row>
    <row r="3" spans="2:21" ht="15.75" thickBot="1" x14ac:dyDescent="0.3">
      <c r="B3" s="260"/>
      <c r="C3" s="261"/>
      <c r="D3" s="200"/>
      <c r="E3" s="136" t="s">
        <v>4</v>
      </c>
      <c r="F3" s="137" t="s">
        <v>5</v>
      </c>
      <c r="G3" s="137" t="s">
        <v>6</v>
      </c>
      <c r="H3" s="137" t="s">
        <v>7</v>
      </c>
      <c r="I3" s="137" t="s">
        <v>8</v>
      </c>
      <c r="J3" s="138" t="s">
        <v>9</v>
      </c>
      <c r="K3" s="139" t="s">
        <v>11</v>
      </c>
      <c r="L3" s="140" t="s">
        <v>12</v>
      </c>
      <c r="M3" s="140" t="s">
        <v>13</v>
      </c>
      <c r="N3" s="140" t="s">
        <v>14</v>
      </c>
      <c r="O3" s="140" t="s">
        <v>15</v>
      </c>
      <c r="P3" s="141" t="s">
        <v>16</v>
      </c>
      <c r="Q3" s="234" t="s">
        <v>80</v>
      </c>
      <c r="R3" s="234" t="s">
        <v>81</v>
      </c>
      <c r="S3" s="234" t="s">
        <v>82</v>
      </c>
      <c r="T3" s="211"/>
    </row>
    <row r="4" spans="2:21" ht="15.75" thickBot="1" x14ac:dyDescent="0.3">
      <c r="B4" s="251" t="s">
        <v>17</v>
      </c>
      <c r="C4" s="252"/>
      <c r="D4" s="194" t="s">
        <v>18</v>
      </c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5"/>
      <c r="Q4" s="194"/>
      <c r="R4" s="194"/>
      <c r="S4" s="194"/>
      <c r="T4" s="212"/>
    </row>
    <row r="5" spans="2:21" x14ac:dyDescent="0.25">
      <c r="B5" s="165" t="s">
        <v>20</v>
      </c>
      <c r="C5" s="166"/>
      <c r="D5" s="170">
        <f>'DMRE IEA format'!D5</f>
        <v>0</v>
      </c>
      <c r="E5" s="172">
        <f>'[3]GasBalanceSATIM edited'!$G$5</f>
        <v>50.152312499999994</v>
      </c>
      <c r="J5" s="175">
        <f>'DMRE IEA format'!J5</f>
        <v>36.176995399999996</v>
      </c>
      <c r="K5" s="183">
        <f>'DMRE IEA format'!L5</f>
        <v>0</v>
      </c>
      <c r="L5" s="174">
        <f>'DMRE IEA format'!M5</f>
        <v>0</v>
      </c>
      <c r="M5" s="174">
        <f>'DMRE IEA format'!N5</f>
        <v>0</v>
      </c>
      <c r="N5" s="174">
        <f>'DMRE IEA format'!O5</f>
        <v>0</v>
      </c>
      <c r="O5" s="174">
        <f>'DMRE IEA format'!P5</f>
        <v>0</v>
      </c>
      <c r="P5" s="175">
        <f>'DMRE IEA format'!Q5</f>
        <v>0</v>
      </c>
      <c r="Q5" s="235"/>
      <c r="R5" s="235"/>
      <c r="S5" s="235"/>
      <c r="T5" s="213">
        <f>'DMRE IEA format'!K5</f>
        <v>0</v>
      </c>
    </row>
    <row r="6" spans="2:21" x14ac:dyDescent="0.25">
      <c r="B6" s="28"/>
      <c r="C6" s="29" t="s">
        <v>21</v>
      </c>
      <c r="D6" s="86">
        <f>'DMRE IEA format'!D6</f>
        <v>0</v>
      </c>
      <c r="E6" s="113">
        <f>'[3]GasBalanceSATIM edited'!$G$6</f>
        <v>25.570812499999999</v>
      </c>
      <c r="F6" s="38">
        <f>'DMRE IEA format'!F6</f>
        <v>0</v>
      </c>
      <c r="G6" s="38">
        <f>'DMRE IEA format'!G6</f>
        <v>0</v>
      </c>
      <c r="H6" s="11">
        <f>'DMRE IEA format'!H6</f>
        <v>0</v>
      </c>
      <c r="I6" s="38">
        <f>'DMRE IEA format'!I6</f>
        <v>0</v>
      </c>
      <c r="J6" s="12">
        <f>'DMRE IEA format'!J6</f>
        <v>0</v>
      </c>
      <c r="K6" s="84">
        <f>'DMRE IEA format'!L6</f>
        <v>0</v>
      </c>
      <c r="L6" s="11">
        <f>'DMRE IEA format'!M6</f>
        <v>0</v>
      </c>
      <c r="M6" s="11">
        <f>'DMRE IEA format'!N6</f>
        <v>0</v>
      </c>
      <c r="N6" s="11">
        <f>'DMRE IEA format'!O6</f>
        <v>0</v>
      </c>
      <c r="O6" s="11">
        <f>'DMRE IEA format'!P6</f>
        <v>0</v>
      </c>
      <c r="P6" s="12">
        <f>'DMRE IEA format'!Q6</f>
        <v>0</v>
      </c>
      <c r="Q6" s="236"/>
      <c r="R6" s="236"/>
      <c r="S6" s="236"/>
      <c r="T6" s="214">
        <f>'DMRE IEA format'!K6</f>
        <v>0</v>
      </c>
    </row>
    <row r="7" spans="2:21" x14ac:dyDescent="0.25">
      <c r="B7" s="28"/>
      <c r="C7" s="29" t="s">
        <v>22</v>
      </c>
      <c r="D7" s="86">
        <f>'DMRE IEA format'!D7</f>
        <v>0</v>
      </c>
      <c r="E7" s="113">
        <f>'[3]GasBalanceSATIM edited'!$G$7</f>
        <v>24.581499999999998</v>
      </c>
      <c r="F7" s="38">
        <f>'DMRE IEA format'!F7</f>
        <v>0</v>
      </c>
      <c r="G7" s="38">
        <f>'DMRE IEA format'!G7</f>
        <v>0</v>
      </c>
      <c r="H7" s="11">
        <f>'DMRE IEA format'!H7</f>
        <v>0</v>
      </c>
      <c r="I7" s="38">
        <f>'DMRE IEA format'!I7</f>
        <v>0</v>
      </c>
      <c r="J7" s="12">
        <f>'DMRE IEA format'!J7</f>
        <v>0</v>
      </c>
      <c r="K7" s="84">
        <f>'DMRE IEA format'!L7</f>
        <v>0</v>
      </c>
      <c r="L7" s="11">
        <f>'DMRE IEA format'!M7</f>
        <v>0</v>
      </c>
      <c r="M7" s="11">
        <f>'DMRE IEA format'!N7</f>
        <v>0</v>
      </c>
      <c r="N7" s="11">
        <f>'DMRE IEA format'!O7</f>
        <v>0</v>
      </c>
      <c r="O7" s="11">
        <f>'DMRE IEA format'!P7</f>
        <v>0</v>
      </c>
      <c r="P7" s="12">
        <f>'DMRE IEA format'!Q7</f>
        <v>0</v>
      </c>
      <c r="Q7" s="236"/>
      <c r="R7" s="236"/>
      <c r="S7" s="236"/>
      <c r="T7" s="214">
        <f>'DMRE IEA format'!K7</f>
        <v>0</v>
      </c>
    </row>
    <row r="8" spans="2:21" x14ac:dyDescent="0.25">
      <c r="B8" s="28" t="s">
        <v>83</v>
      </c>
      <c r="C8" s="29"/>
      <c r="D8" s="86">
        <f>'DMRE IEA format'!D8</f>
        <v>0</v>
      </c>
      <c r="E8" s="120">
        <f>'[3]GasBalanceSATIM edited'!$G$8</f>
        <v>151.28700000000001</v>
      </c>
      <c r="F8" s="56">
        <f>'[1]EB 2017'!$E$6</f>
        <v>162</v>
      </c>
      <c r="G8" s="56">
        <f>'[1]EB 2017'!$E$43</f>
        <v>35.299999999999997</v>
      </c>
      <c r="H8" s="56">
        <f>'[1]EB 2017'!$E$80</f>
        <v>2.1</v>
      </c>
      <c r="I8" s="56">
        <f>'[1]EB 2017'!$E$117</f>
        <v>14.540857365734908</v>
      </c>
      <c r="J8" s="189">
        <f>'[1]EB 2017'!$E$154</f>
        <v>-16.3</v>
      </c>
      <c r="K8" s="84">
        <f>'DMRE IEA format'!L8</f>
        <v>0</v>
      </c>
      <c r="L8" s="11">
        <f>'DMRE IEA format'!M8</f>
        <v>0</v>
      </c>
      <c r="M8" s="11">
        <f>'DMRE IEA format'!N8</f>
        <v>0</v>
      </c>
      <c r="N8" s="11">
        <f>'DMRE IEA format'!O8</f>
        <v>0</v>
      </c>
      <c r="O8" s="11">
        <f>'DMRE IEA format'!P8</f>
        <v>0</v>
      </c>
      <c r="P8" s="12">
        <f>'DMRE IEA format'!Q8</f>
        <v>0</v>
      </c>
      <c r="Q8" s="72"/>
      <c r="R8" s="72"/>
      <c r="S8" s="72"/>
      <c r="T8" s="100">
        <f>'[2]Elec EB final SATIM for Word'!$F$4*0.0036</f>
        <v>32.6335932</v>
      </c>
    </row>
    <row r="9" spans="2:21" s="153" customFormat="1" x14ac:dyDescent="0.25">
      <c r="B9" s="147" t="s">
        <v>84</v>
      </c>
      <c r="C9" s="152"/>
      <c r="D9" s="148">
        <f>'[4]CoalBalance SATIM final'!$E$31</f>
        <v>1915.1999999999998</v>
      </c>
      <c r="E9" s="149"/>
      <c r="F9" s="150"/>
      <c r="G9" s="150"/>
      <c r="H9" s="151"/>
      <c r="I9" s="150"/>
      <c r="J9" s="152"/>
      <c r="K9" s="147"/>
      <c r="L9" s="151"/>
      <c r="M9" s="151"/>
      <c r="N9" s="151"/>
      <c r="O9" s="151"/>
      <c r="P9" s="152"/>
      <c r="Q9" s="237"/>
      <c r="R9" s="237"/>
      <c r="S9" s="237"/>
      <c r="T9" s="215">
        <f>'[2]Elec EB final SATIM for Word'!$F$57*0.0036</f>
        <v>54.964799999999997</v>
      </c>
    </row>
    <row r="10" spans="2:21" x14ac:dyDescent="0.25">
      <c r="B10" s="84" t="s">
        <v>72</v>
      </c>
      <c r="C10" s="164"/>
      <c r="D10" s="171"/>
      <c r="E10" s="1"/>
      <c r="F10" s="163"/>
      <c r="G10" s="163"/>
      <c r="H10" s="163"/>
      <c r="I10" s="163"/>
      <c r="J10" s="116">
        <f>'[1]EB 2017'!$E$164</f>
        <v>23.2</v>
      </c>
      <c r="K10" s="1"/>
      <c r="L10" s="163"/>
      <c r="M10" s="163"/>
      <c r="N10" s="163"/>
      <c r="O10" s="163"/>
      <c r="P10" s="164"/>
      <c r="Q10" s="182"/>
      <c r="R10" s="182"/>
      <c r="S10" s="182"/>
      <c r="T10" s="216"/>
    </row>
    <row r="11" spans="2:21" s="3" customFormat="1" ht="15.75" thickBot="1" x14ac:dyDescent="0.3">
      <c r="B11" s="176" t="s">
        <v>85</v>
      </c>
      <c r="C11" s="177"/>
      <c r="D11" s="180">
        <f t="shared" ref="D11:P11" si="0">SUM(D5,D8)-D9-D10</f>
        <v>-1915.1999999999998</v>
      </c>
      <c r="E11" s="178">
        <f t="shared" si="0"/>
        <v>201.4393125</v>
      </c>
      <c r="F11" s="54">
        <f>SUM(F31,F8)-F9-F10</f>
        <v>463.8</v>
      </c>
      <c r="G11" s="54">
        <f>SUM(G31,G8)-G9-G10</f>
        <v>382</v>
      </c>
      <c r="H11" s="17">
        <f>SUM(H31,H8)-H9-H10</f>
        <v>2.1</v>
      </c>
      <c r="I11" s="54">
        <f>SUM(I31,I8)-I9-I10</f>
        <v>118.8138573657349</v>
      </c>
      <c r="J11" s="179">
        <f t="shared" si="0"/>
        <v>-3.3230046000000044</v>
      </c>
      <c r="K11" s="184">
        <f t="shared" si="0"/>
        <v>0</v>
      </c>
      <c r="L11" s="17">
        <f t="shared" si="0"/>
        <v>0</v>
      </c>
      <c r="M11" s="17">
        <f t="shared" si="0"/>
        <v>0</v>
      </c>
      <c r="N11" s="17">
        <f t="shared" si="0"/>
        <v>0</v>
      </c>
      <c r="O11" s="17">
        <f t="shared" si="0"/>
        <v>0</v>
      </c>
      <c r="P11" s="18">
        <f t="shared" si="0"/>
        <v>0</v>
      </c>
      <c r="Q11" s="238"/>
      <c r="R11" s="238"/>
      <c r="S11" s="238"/>
      <c r="T11" s="217">
        <f>SUM(T5,T8)-T9-T10</f>
        <v>-22.331206799999997</v>
      </c>
    </row>
    <row r="12" spans="2:21" ht="15.75" thickTop="1" x14ac:dyDescent="0.25">
      <c r="B12" s="33" t="s">
        <v>74</v>
      </c>
      <c r="C12" s="34"/>
      <c r="D12" s="107"/>
      <c r="E12" s="112"/>
      <c r="F12" s="8"/>
      <c r="G12" s="8"/>
      <c r="H12" s="8"/>
      <c r="I12" s="8"/>
      <c r="J12" s="9"/>
      <c r="K12" s="132"/>
      <c r="L12" s="8"/>
      <c r="M12" s="8"/>
      <c r="N12" s="8"/>
      <c r="O12" s="8"/>
      <c r="P12" s="9"/>
      <c r="Q12" s="239"/>
      <c r="R12" s="239"/>
      <c r="S12" s="239"/>
      <c r="T12" s="218"/>
    </row>
    <row r="13" spans="2:21" x14ac:dyDescent="0.25">
      <c r="B13" s="33" t="s">
        <v>86</v>
      </c>
      <c r="C13" s="34"/>
      <c r="D13" s="109">
        <f>SUM(D14:D21)</f>
        <v>3109.66</v>
      </c>
      <c r="E13" s="115">
        <f>SUM(E14:E16)</f>
        <v>96.689290099999965</v>
      </c>
      <c r="F13" s="96">
        <f>SUM(F14:F21)</f>
        <v>0.38453756594999999</v>
      </c>
      <c r="G13" s="50">
        <f>SUM(G14:G21)</f>
        <v>0</v>
      </c>
      <c r="H13" s="50">
        <f>SUM(H14:H21)</f>
        <v>0</v>
      </c>
      <c r="I13" s="96">
        <f>SUM(I14:I21)</f>
        <v>0.163628578</v>
      </c>
      <c r="J13" s="133">
        <f>SUM(J14:J15)</f>
        <v>10.780976327680001</v>
      </c>
      <c r="K13" s="115">
        <f t="shared" ref="K13:P13" si="1">SUM(K14:K21)</f>
        <v>38430</v>
      </c>
      <c r="L13" s="96">
        <f t="shared" si="1"/>
        <v>0</v>
      </c>
      <c r="M13" s="96">
        <f t="shared" si="1"/>
        <v>0</v>
      </c>
      <c r="N13" s="96">
        <f t="shared" si="1"/>
        <v>0</v>
      </c>
      <c r="O13" s="96">
        <f t="shared" si="1"/>
        <v>8051</v>
      </c>
      <c r="P13" s="133">
        <f t="shared" si="1"/>
        <v>980</v>
      </c>
      <c r="Q13" s="125"/>
      <c r="R13" s="125"/>
      <c r="S13" s="125"/>
      <c r="T13" s="219">
        <f>SUM(T14:T16)</f>
        <v>24.813599999999997</v>
      </c>
    </row>
    <row r="14" spans="2:21" x14ac:dyDescent="0.25">
      <c r="B14" s="26" t="s">
        <v>23</v>
      </c>
      <c r="C14" s="34"/>
      <c r="D14" s="107">
        <f>-'[4]CoalBalance SATIM final'!$E$24</f>
        <v>2284</v>
      </c>
      <c r="E14" s="112"/>
      <c r="F14" s="35">
        <f>-'[1]EB 2017'!$E$9</f>
        <v>0.38453756594999999</v>
      </c>
      <c r="G14" s="35">
        <f>'[1]EB 2017'!$E$46</f>
        <v>0</v>
      </c>
      <c r="H14" s="35">
        <f>'[1]EB 2017'!$E$83</f>
        <v>0</v>
      </c>
      <c r="I14" s="8"/>
      <c r="J14" s="181">
        <f>-'[1]EB 2017'!$E$157</f>
        <v>9.4333542867200002</v>
      </c>
      <c r="K14" s="132"/>
      <c r="L14" s="8"/>
      <c r="M14" s="8"/>
      <c r="N14" s="8"/>
      <c r="O14" s="8"/>
      <c r="P14" s="9"/>
      <c r="Q14" s="239"/>
      <c r="R14" s="239"/>
      <c r="S14" s="239"/>
      <c r="T14" s="191"/>
    </row>
    <row r="15" spans="2:21" x14ac:dyDescent="0.25">
      <c r="B15" s="26" t="s">
        <v>57</v>
      </c>
      <c r="C15" s="34"/>
      <c r="D15" s="86"/>
      <c r="E15" s="113">
        <f>-'[3]GasBalanceSATIM edited'!$G$11</f>
        <v>28.640346999999998</v>
      </c>
      <c r="F15" s="38">
        <f>'[1]EB 2017'!$E$12</f>
        <v>0</v>
      </c>
      <c r="G15" s="38">
        <f>'[1]EB 2017'!$E$49</f>
        <v>0</v>
      </c>
      <c r="H15" s="38">
        <f>'[1]EB 2017'!$E$83</f>
        <v>0</v>
      </c>
      <c r="I15" s="38">
        <f>-'[1]EB 2017'!$E$125</f>
        <v>0.163628578</v>
      </c>
      <c r="J15" s="116">
        <f>-'[1]EB 2017'!$E$162</f>
        <v>1.3476220409600002</v>
      </c>
      <c r="K15" s="130"/>
      <c r="L15" s="11"/>
      <c r="M15" s="11"/>
      <c r="N15" s="11"/>
      <c r="O15" s="11"/>
      <c r="P15" s="12"/>
      <c r="Q15" s="236"/>
      <c r="R15" s="236"/>
      <c r="S15" s="236"/>
      <c r="T15" s="191">
        <f>-'[2]Elec EB final SATIM for Word'!$L$29*0.0036</f>
        <v>4.2336</v>
      </c>
    </row>
    <row r="16" spans="2:21" s="205" customFormat="1" x14ac:dyDescent="0.25">
      <c r="B16" s="201" t="s">
        <v>76</v>
      </c>
      <c r="C16" s="98"/>
      <c r="D16" s="202">
        <f>-'[4]CoalBalance SATIM final'!$E$28</f>
        <v>825.66000000000008</v>
      </c>
      <c r="E16" s="203">
        <f>-'[3]GasBalanceSATIM edited'!$G$12</f>
        <v>68.048943099999974</v>
      </c>
      <c r="F16" s="204"/>
      <c r="G16" s="204"/>
      <c r="H16" s="204"/>
      <c r="J16" s="206"/>
      <c r="K16" s="207"/>
      <c r="L16" s="204"/>
      <c r="M16" s="204"/>
      <c r="N16" s="204"/>
      <c r="O16" s="204"/>
      <c r="P16" s="206"/>
      <c r="Q16" s="240"/>
      <c r="R16" s="240"/>
      <c r="S16" s="240"/>
      <c r="T16" s="191">
        <v>20.58</v>
      </c>
      <c r="U16" s="205">
        <f>17.55+3.03</f>
        <v>20.580000000000002</v>
      </c>
    </row>
    <row r="17" spans="2:20" x14ac:dyDescent="0.25">
      <c r="B17" s="84" t="s">
        <v>60</v>
      </c>
      <c r="C17" s="30"/>
      <c r="D17" s="111"/>
      <c r="E17" s="120"/>
      <c r="F17" s="14"/>
      <c r="G17" s="14"/>
      <c r="H17" s="14"/>
      <c r="I17" s="14"/>
      <c r="J17" s="15"/>
      <c r="K17" s="134"/>
      <c r="L17" s="14"/>
      <c r="M17" s="190"/>
      <c r="N17" s="14"/>
      <c r="O17" s="14"/>
      <c r="P17" s="15"/>
      <c r="Q17" s="241"/>
      <c r="R17" s="241"/>
      <c r="S17" s="241"/>
      <c r="T17" s="208"/>
    </row>
    <row r="18" spans="2:20" x14ac:dyDescent="0.25">
      <c r="B18" s="28" t="s">
        <v>62</v>
      </c>
      <c r="C18" s="30"/>
      <c r="D18" s="111"/>
      <c r="E18" s="120"/>
      <c r="F18" s="14"/>
      <c r="G18" s="14"/>
      <c r="H18" s="14"/>
      <c r="I18" s="14"/>
      <c r="J18" s="15"/>
      <c r="K18" s="134"/>
      <c r="L18" s="14"/>
      <c r="M18" s="14"/>
      <c r="N18" s="14"/>
      <c r="O18" s="14">
        <f>8051</f>
        <v>8051</v>
      </c>
      <c r="P18" s="15"/>
      <c r="Q18" s="241"/>
      <c r="R18" s="241"/>
      <c r="S18" s="241"/>
      <c r="T18" s="208"/>
    </row>
    <row r="19" spans="2:20" x14ac:dyDescent="0.25">
      <c r="B19" s="84" t="s">
        <v>64</v>
      </c>
      <c r="C19" s="30"/>
      <c r="D19" s="111"/>
      <c r="E19" s="120"/>
      <c r="F19" s="14"/>
      <c r="G19" s="14"/>
      <c r="H19" s="14"/>
      <c r="I19" s="14"/>
      <c r="J19" s="15"/>
      <c r="K19" s="185">
        <v>38430</v>
      </c>
      <c r="L19" s="14"/>
      <c r="M19" s="14"/>
      <c r="N19" s="14"/>
      <c r="O19" s="14"/>
      <c r="P19" s="15"/>
      <c r="Q19" s="241"/>
      <c r="R19" s="241"/>
      <c r="S19" s="241"/>
      <c r="T19" s="208"/>
    </row>
    <row r="20" spans="2:20" x14ac:dyDescent="0.25">
      <c r="B20" s="28" t="s">
        <v>66</v>
      </c>
      <c r="C20" s="30"/>
      <c r="D20" s="111"/>
      <c r="E20" s="120"/>
      <c r="F20" s="14"/>
      <c r="G20" s="14"/>
      <c r="H20" s="14"/>
      <c r="I20" s="14"/>
      <c r="J20" s="15"/>
      <c r="K20" s="134"/>
      <c r="L20" s="14"/>
      <c r="M20" s="14"/>
      <c r="N20" s="14"/>
      <c r="O20" s="14"/>
      <c r="P20" s="15">
        <f>980</f>
        <v>980</v>
      </c>
      <c r="Q20" s="241"/>
      <c r="R20" s="241"/>
      <c r="S20" s="241"/>
      <c r="T20" s="208"/>
    </row>
    <row r="21" spans="2:20" ht="15.75" thickBot="1" x14ac:dyDescent="0.3">
      <c r="B21" s="39" t="s">
        <v>68</v>
      </c>
      <c r="C21" s="30"/>
      <c r="D21" s="108"/>
      <c r="E21" s="121"/>
      <c r="F21" s="20"/>
      <c r="G21" s="20"/>
      <c r="H21" s="20"/>
      <c r="I21" s="20"/>
      <c r="J21" s="21"/>
      <c r="K21" s="135"/>
      <c r="L21" s="20"/>
      <c r="M21" s="20"/>
      <c r="N21" s="20"/>
      <c r="O21" s="20"/>
      <c r="P21" s="21"/>
      <c r="Q21" s="242"/>
      <c r="R21" s="242"/>
      <c r="S21" s="242"/>
      <c r="T21" s="209"/>
    </row>
    <row r="22" spans="2:20" x14ac:dyDescent="0.25">
      <c r="B22" s="186" t="s">
        <v>87</v>
      </c>
      <c r="C22" s="187"/>
      <c r="D22" s="109">
        <f t="shared" ref="D22:P22" si="2">SUM(D23:D37)</f>
        <v>0</v>
      </c>
      <c r="E22" s="50">
        <f t="shared" si="2"/>
        <v>0</v>
      </c>
      <c r="F22" s="50">
        <f t="shared" si="2"/>
        <v>301.8</v>
      </c>
      <c r="G22" s="50">
        <f t="shared" si="2"/>
        <v>346.7</v>
      </c>
      <c r="H22" s="50">
        <f t="shared" si="2"/>
        <v>0</v>
      </c>
      <c r="I22" s="50">
        <f t="shared" si="2"/>
        <v>104.273</v>
      </c>
      <c r="J22" s="119">
        <f t="shared" si="2"/>
        <v>0</v>
      </c>
      <c r="K22" s="50">
        <f t="shared" si="2"/>
        <v>0</v>
      </c>
      <c r="L22" s="50">
        <f t="shared" si="2"/>
        <v>0</v>
      </c>
      <c r="M22" s="50">
        <f t="shared" si="2"/>
        <v>0</v>
      </c>
      <c r="N22" s="50">
        <f t="shared" si="2"/>
        <v>0</v>
      </c>
      <c r="O22" s="50">
        <f t="shared" si="2"/>
        <v>0</v>
      </c>
      <c r="P22" s="119">
        <f t="shared" si="2"/>
        <v>0</v>
      </c>
      <c r="Q22" s="119"/>
      <c r="R22" s="119"/>
      <c r="S22" s="119"/>
      <c r="T22" s="220">
        <f>SUM(T23:T37)</f>
        <v>33.677999999999997</v>
      </c>
    </row>
    <row r="23" spans="2:20" x14ac:dyDescent="0.25">
      <c r="B23" s="26" t="s">
        <v>88</v>
      </c>
      <c r="C23" s="27"/>
      <c r="D23" s="107"/>
      <c r="E23" s="167"/>
      <c r="F23" s="8"/>
      <c r="G23" s="8"/>
      <c r="H23" s="8"/>
      <c r="I23" s="8"/>
      <c r="J23" s="9"/>
      <c r="K23" s="124"/>
      <c r="L23" s="8"/>
      <c r="M23" s="8"/>
      <c r="N23" s="8"/>
      <c r="O23" s="8"/>
      <c r="P23" s="9"/>
      <c r="Q23" s="243"/>
      <c r="R23" s="243"/>
      <c r="S23" s="243"/>
      <c r="T23" s="221"/>
    </row>
    <row r="24" spans="2:20" x14ac:dyDescent="0.25">
      <c r="B24" s="26" t="s">
        <v>89</v>
      </c>
      <c r="C24" s="27"/>
      <c r="D24" s="107"/>
      <c r="E24" s="167"/>
      <c r="F24" s="192"/>
      <c r="G24" s="8"/>
      <c r="H24" s="8"/>
      <c r="I24" s="8"/>
      <c r="J24" s="9"/>
      <c r="K24" s="124"/>
      <c r="L24" s="8"/>
      <c r="M24" s="8"/>
      <c r="N24" s="8"/>
      <c r="O24" s="8"/>
      <c r="P24" s="9"/>
      <c r="Q24" s="243"/>
      <c r="R24" s="243"/>
      <c r="S24" s="243"/>
      <c r="T24" s="221"/>
    </row>
    <row r="25" spans="2:20" x14ac:dyDescent="0.25">
      <c r="B25" s="26" t="s">
        <v>90</v>
      </c>
      <c r="C25" s="27"/>
      <c r="D25" s="107"/>
      <c r="E25" s="167"/>
      <c r="F25" s="192"/>
      <c r="G25" s="8"/>
      <c r="H25" s="8"/>
      <c r="I25" s="8"/>
      <c r="J25" s="9"/>
      <c r="K25" s="124"/>
      <c r="L25" s="8"/>
      <c r="M25" s="8"/>
      <c r="N25" s="8"/>
      <c r="O25" s="8"/>
      <c r="P25" s="9"/>
      <c r="Q25" s="243"/>
      <c r="R25" s="243"/>
      <c r="S25" s="243"/>
      <c r="T25" s="221"/>
    </row>
    <row r="26" spans="2:20" x14ac:dyDescent="0.25">
      <c r="B26" s="26" t="s">
        <v>91</v>
      </c>
      <c r="C26" s="27"/>
      <c r="D26" s="107"/>
      <c r="E26" s="167"/>
      <c r="F26" s="192"/>
      <c r="G26" s="8"/>
      <c r="H26" s="8"/>
      <c r="I26" s="8"/>
      <c r="J26" s="9"/>
      <c r="K26" s="124"/>
      <c r="L26" s="8"/>
      <c r="M26" s="8"/>
      <c r="N26" s="8"/>
      <c r="O26" s="8"/>
      <c r="P26" s="9"/>
      <c r="Q26" s="243"/>
      <c r="R26" s="243"/>
      <c r="S26" s="243"/>
      <c r="T26" s="221"/>
    </row>
    <row r="27" spans="2:20" x14ac:dyDescent="0.25">
      <c r="B27" s="193" t="s">
        <v>80</v>
      </c>
      <c r="C27" s="27"/>
      <c r="D27" s="107"/>
      <c r="E27" s="167"/>
      <c r="F27" s="192"/>
      <c r="G27" s="8"/>
      <c r="H27" s="8"/>
      <c r="I27" s="8"/>
      <c r="J27" s="9"/>
      <c r="K27" s="124"/>
      <c r="L27" s="8"/>
      <c r="M27" s="8"/>
      <c r="N27" s="8"/>
      <c r="O27" s="8"/>
      <c r="P27" s="9"/>
      <c r="Q27" s="243"/>
      <c r="R27" s="243"/>
      <c r="S27" s="243"/>
      <c r="T27" s="221"/>
    </row>
    <row r="28" spans="2:20" x14ac:dyDescent="0.25">
      <c r="B28" s="26" t="s">
        <v>82</v>
      </c>
      <c r="C28" s="27"/>
      <c r="D28" s="107"/>
      <c r="E28" s="167"/>
      <c r="F28" s="192"/>
      <c r="G28" s="8"/>
      <c r="H28" s="8"/>
      <c r="I28" s="8"/>
      <c r="J28" s="9"/>
      <c r="K28" s="124"/>
      <c r="L28" s="8"/>
      <c r="M28" s="8"/>
      <c r="N28" s="8"/>
      <c r="O28" s="8"/>
      <c r="P28" s="9"/>
      <c r="Q28" s="243"/>
      <c r="R28" s="243"/>
      <c r="S28" s="243"/>
      <c r="T28" s="221"/>
    </row>
    <row r="29" spans="2:20" x14ac:dyDescent="0.25">
      <c r="B29" s="26" t="s">
        <v>92</v>
      </c>
      <c r="C29" s="27"/>
      <c r="D29" s="107"/>
      <c r="E29" s="167"/>
      <c r="F29" s="192"/>
      <c r="G29" s="8"/>
      <c r="H29" s="8"/>
      <c r="I29" s="8"/>
      <c r="J29" s="9"/>
      <c r="K29" s="124"/>
      <c r="L29" s="8"/>
      <c r="M29" s="8"/>
      <c r="N29" s="8"/>
      <c r="O29" s="8"/>
      <c r="P29" s="9"/>
      <c r="Q29" s="243"/>
      <c r="R29" s="243"/>
      <c r="S29" s="243"/>
      <c r="T29" s="221"/>
    </row>
    <row r="30" spans="2:20" ht="15.75" thickBot="1" x14ac:dyDescent="0.3">
      <c r="B30" s="26"/>
      <c r="C30" s="27"/>
      <c r="D30" s="107"/>
      <c r="E30" s="167"/>
      <c r="F30" s="192"/>
      <c r="G30" s="8"/>
      <c r="H30" s="8"/>
      <c r="I30" s="8"/>
      <c r="J30" s="9"/>
      <c r="K30" s="124"/>
      <c r="L30" s="8"/>
      <c r="M30" s="8"/>
      <c r="N30" s="8"/>
      <c r="O30" s="8"/>
      <c r="P30" s="9"/>
      <c r="Q30" s="243"/>
      <c r="R30" s="243"/>
      <c r="S30" s="243"/>
      <c r="T30" s="221"/>
    </row>
    <row r="31" spans="2:20" x14ac:dyDescent="0.25">
      <c r="B31" s="26" t="s">
        <v>57</v>
      </c>
      <c r="C31" s="34"/>
      <c r="D31" s="109"/>
      <c r="E31" s="96"/>
      <c r="F31" s="188">
        <f>'[1]EB 2017'!$E$7</f>
        <v>301.8</v>
      </c>
      <c r="G31" s="173">
        <f>'[1]EB 2017'!$E$44</f>
        <v>346.7</v>
      </c>
      <c r="H31" s="174">
        <f>'DMRE IEA format'!H5</f>
        <v>0</v>
      </c>
      <c r="I31" s="173">
        <f>'[1]EB 2017'!$E$118</f>
        <v>104.273</v>
      </c>
      <c r="J31" s="53"/>
      <c r="K31" s="122"/>
      <c r="L31" s="52"/>
      <c r="M31" s="52"/>
      <c r="N31" s="52"/>
      <c r="O31" s="52"/>
      <c r="P31" s="53"/>
      <c r="Q31" s="119"/>
      <c r="R31" s="119"/>
      <c r="S31" s="119"/>
      <c r="T31" s="222"/>
    </row>
    <row r="32" spans="2:20" x14ac:dyDescent="0.25">
      <c r="B32" s="28" t="s">
        <v>76</v>
      </c>
      <c r="C32" s="29"/>
      <c r="D32" s="86"/>
      <c r="E32" s="97"/>
      <c r="F32" s="11"/>
      <c r="G32" s="11"/>
      <c r="H32" s="11"/>
      <c r="I32" s="11"/>
      <c r="J32" s="12"/>
      <c r="K32" s="123"/>
      <c r="L32" s="11"/>
      <c r="M32" s="11"/>
      <c r="N32" s="11"/>
      <c r="O32" s="11"/>
      <c r="P32" s="12"/>
      <c r="Q32" s="244"/>
      <c r="R32" s="244"/>
      <c r="S32" s="244"/>
      <c r="T32" s="223"/>
    </row>
    <row r="33" spans="2:20" x14ac:dyDescent="0.25">
      <c r="B33" s="84" t="s">
        <v>60</v>
      </c>
      <c r="C33" s="30"/>
      <c r="D33" s="111"/>
      <c r="E33" s="168"/>
      <c r="F33" s="14"/>
      <c r="G33" s="14"/>
      <c r="H33" s="14"/>
      <c r="I33" s="14"/>
      <c r="J33" s="15"/>
      <c r="K33" s="126"/>
      <c r="L33" s="14"/>
      <c r="M33" s="14"/>
      <c r="N33" s="14"/>
      <c r="O33" s="14"/>
      <c r="P33" s="15"/>
      <c r="Q33" s="245"/>
      <c r="R33" s="245"/>
      <c r="S33" s="245"/>
      <c r="T33" s="224"/>
    </row>
    <row r="34" spans="2:20" x14ac:dyDescent="0.25">
      <c r="B34" s="28" t="s">
        <v>62</v>
      </c>
      <c r="C34" s="30"/>
      <c r="D34" s="111"/>
      <c r="E34" s="168"/>
      <c r="F34" s="14"/>
      <c r="G34" s="14"/>
      <c r="H34" s="14"/>
      <c r="I34" s="14"/>
      <c r="J34" s="15"/>
      <c r="K34" s="126"/>
      <c r="L34" s="14"/>
      <c r="M34" s="14"/>
      <c r="N34" s="14"/>
      <c r="O34" s="14"/>
      <c r="P34" s="15"/>
      <c r="Q34" s="245"/>
      <c r="R34" s="245"/>
      <c r="S34" s="245"/>
      <c r="T34" s="224">
        <f>1741*0.0036</f>
        <v>6.2675999999999998</v>
      </c>
    </row>
    <row r="35" spans="2:20" x14ac:dyDescent="0.25">
      <c r="B35" s="84" t="s">
        <v>64</v>
      </c>
      <c r="C35" s="30"/>
      <c r="D35" s="111"/>
      <c r="E35" s="168"/>
      <c r="F35" s="14"/>
      <c r="G35" s="14"/>
      <c r="H35" s="14"/>
      <c r="I35" s="14"/>
      <c r="J35" s="15"/>
      <c r="K35" s="126"/>
      <c r="L35" s="14"/>
      <c r="M35" s="14"/>
      <c r="N35" s="14"/>
      <c r="O35" s="14"/>
      <c r="P35" s="15"/>
      <c r="Q35" s="245"/>
      <c r="R35" s="245"/>
      <c r="S35" s="245"/>
      <c r="T35" s="224">
        <f>708*0.0036</f>
        <v>2.5488</v>
      </c>
    </row>
    <row r="36" spans="2:20" x14ac:dyDescent="0.25">
      <c r="B36" s="28" t="s">
        <v>66</v>
      </c>
      <c r="C36" s="30"/>
      <c r="D36" s="111"/>
      <c r="E36" s="168"/>
      <c r="F36" s="14"/>
      <c r="G36" s="14"/>
      <c r="H36" s="14"/>
      <c r="I36" s="14"/>
      <c r="J36" s="15"/>
      <c r="K36" s="126"/>
      <c r="L36" s="14"/>
      <c r="M36" s="14"/>
      <c r="N36" s="14"/>
      <c r="O36" s="14"/>
      <c r="P36" s="15"/>
      <c r="Q36" s="245"/>
      <c r="R36" s="245"/>
      <c r="S36" s="245"/>
      <c r="T36" s="224">
        <f>2354*0.0036</f>
        <v>8.4743999999999993</v>
      </c>
    </row>
    <row r="37" spans="2:20" ht="15.75" thickBot="1" x14ac:dyDescent="0.3">
      <c r="B37" s="91" t="s">
        <v>68</v>
      </c>
      <c r="C37" s="42"/>
      <c r="D37" s="108"/>
      <c r="E37" s="169"/>
      <c r="F37" s="20"/>
      <c r="G37" s="20"/>
      <c r="H37" s="20"/>
      <c r="I37" s="20"/>
      <c r="J37" s="21"/>
      <c r="K37" s="127"/>
      <c r="L37" s="20"/>
      <c r="M37" s="20"/>
      <c r="N37" s="20"/>
      <c r="O37" s="20"/>
      <c r="P37" s="21"/>
      <c r="Q37" s="246"/>
      <c r="R37" s="246"/>
      <c r="S37" s="246"/>
      <c r="T37" s="225">
        <f>4552*0.0036</f>
        <v>16.3872</v>
      </c>
    </row>
    <row r="38" spans="2:20" ht="15.75" thickBot="1" x14ac:dyDescent="0.3">
      <c r="B38" s="155" t="s">
        <v>93</v>
      </c>
      <c r="C38" s="156"/>
      <c r="D38" s="157"/>
      <c r="E38" s="158"/>
      <c r="F38" s="44"/>
      <c r="G38" s="44"/>
      <c r="H38" s="44"/>
      <c r="I38" s="44"/>
      <c r="J38" s="45"/>
      <c r="K38" s="159"/>
      <c r="L38" s="44"/>
      <c r="M38" s="44"/>
      <c r="N38" s="44"/>
      <c r="O38" s="44"/>
      <c r="P38" s="45"/>
      <c r="Q38" s="157"/>
      <c r="R38" s="157"/>
      <c r="S38" s="157"/>
      <c r="T38" s="226">
        <f>'[2]Elec EB final SATIM for Word'!$F$48*0.0036</f>
        <v>110.48140036924437</v>
      </c>
    </row>
    <row r="39" spans="2:20" ht="15.75" thickBot="1" x14ac:dyDescent="0.3">
      <c r="B39" s="154" t="s">
        <v>94</v>
      </c>
      <c r="C39" s="160"/>
      <c r="D39" s="161">
        <f t="shared" ref="D39:P39" si="3">D11+D22-D13-D38</f>
        <v>-5024.8599999999997</v>
      </c>
      <c r="E39" s="161">
        <f t="shared" si="3"/>
        <v>104.75002240000003</v>
      </c>
      <c r="F39" s="161">
        <f t="shared" si="3"/>
        <v>765.21546243404998</v>
      </c>
      <c r="G39" s="161">
        <f t="shared" si="3"/>
        <v>728.7</v>
      </c>
      <c r="H39" s="161">
        <f t="shared" si="3"/>
        <v>2.1</v>
      </c>
      <c r="I39" s="161">
        <f t="shared" si="3"/>
        <v>222.9232287877349</v>
      </c>
      <c r="J39" s="161">
        <f t="shared" si="3"/>
        <v>-14.103980927680006</v>
      </c>
      <c r="K39" s="161">
        <f t="shared" si="3"/>
        <v>-38430</v>
      </c>
      <c r="L39" s="161">
        <f t="shared" si="3"/>
        <v>0</v>
      </c>
      <c r="M39" s="161">
        <f t="shared" si="3"/>
        <v>0</v>
      </c>
      <c r="N39" s="161">
        <f t="shared" si="3"/>
        <v>0</v>
      </c>
      <c r="O39" s="161">
        <f t="shared" si="3"/>
        <v>-8051</v>
      </c>
      <c r="P39" s="161">
        <f t="shared" si="3"/>
        <v>-980</v>
      </c>
      <c r="Q39" s="161"/>
      <c r="R39" s="161"/>
      <c r="S39" s="161"/>
      <c r="T39" s="227">
        <f>T11+T22-T13-T38</f>
        <v>-123.94820716924437</v>
      </c>
    </row>
    <row r="40" spans="2:20" ht="15.75" thickBot="1" x14ac:dyDescent="0.3">
      <c r="B40" s="142" t="s">
        <v>25</v>
      </c>
      <c r="C40" s="143"/>
      <c r="D40" s="162">
        <f>D41</f>
        <v>494.38880808080796</v>
      </c>
      <c r="E40" s="105"/>
      <c r="F40" s="83"/>
      <c r="G40" s="83"/>
      <c r="H40" s="83"/>
      <c r="I40" s="83"/>
      <c r="J40" s="114"/>
      <c r="K40" s="128"/>
      <c r="L40" s="83"/>
      <c r="M40" s="83"/>
      <c r="N40" s="83"/>
      <c r="O40" s="83"/>
      <c r="P40" s="106">
        <f>'[2]2017 Biomass EB for Word'!$G$7*0.001</f>
        <v>83.768000000000001</v>
      </c>
      <c r="Q40" s="247"/>
      <c r="R40" s="247"/>
      <c r="S40" s="247"/>
      <c r="T40" s="228"/>
    </row>
    <row r="41" spans="2:20" s="3" customFormat="1" ht="15.75" thickTop="1" x14ac:dyDescent="0.25">
      <c r="B41" s="33" t="s">
        <v>26</v>
      </c>
      <c r="C41" s="34"/>
      <c r="D41" s="146">
        <f>SUM(D42:D62)+D63+D71</f>
        <v>494.38880808080796</v>
      </c>
      <c r="E41" s="146">
        <f>SUM(E42:E62)+E63+E71</f>
        <v>155.13448407288055</v>
      </c>
      <c r="F41" s="146">
        <f>SUM(F42:F62)+F63+F71</f>
        <v>463.59454053447854</v>
      </c>
      <c r="G41" s="146">
        <f t="shared" ref="G41:J41" si="4">SUM(G42:G62)+G63+G71</f>
        <v>381.81021248226421</v>
      </c>
      <c r="H41" s="146">
        <f t="shared" si="4"/>
        <v>18.396101090208028</v>
      </c>
      <c r="I41" s="146">
        <f t="shared" si="4"/>
        <v>117.05022878773491</v>
      </c>
      <c r="J41" s="146">
        <f t="shared" si="4"/>
        <v>35.866008554604804</v>
      </c>
      <c r="K41" s="129"/>
      <c r="L41" s="52"/>
      <c r="M41" s="52"/>
      <c r="N41" s="52"/>
      <c r="O41" s="52"/>
      <c r="P41" s="53"/>
      <c r="Q41" s="119"/>
      <c r="R41" s="119"/>
      <c r="S41" s="119"/>
      <c r="T41" s="229">
        <f>SUM(T42:T62)+T63+T71</f>
        <v>342.00878803165784</v>
      </c>
    </row>
    <row r="42" spans="2:20" x14ac:dyDescent="0.25">
      <c r="B42" s="28" t="s">
        <v>27</v>
      </c>
      <c r="C42" s="29"/>
      <c r="D42" s="145">
        <f>'[4]CoalBalance SATIM final'!$E$7</f>
        <v>33.299999999999997</v>
      </c>
      <c r="E42" s="113">
        <f>'[3]GasBalanceSATIM edited'!$G$18</f>
        <v>50.384461672880562</v>
      </c>
      <c r="F42" s="38">
        <f>'[1]EB 2017'!$E$17</f>
        <v>0</v>
      </c>
      <c r="G42" s="38">
        <f>'[1]EB 2017'!$E$54</f>
        <v>0</v>
      </c>
      <c r="H42" s="38">
        <f>'[1]EB 2017'!$E$91</f>
        <v>0</v>
      </c>
      <c r="I42" s="38">
        <f>'[1]EB 2017'!$E$128</f>
        <v>0</v>
      </c>
      <c r="J42" s="116">
        <f>'[1]EB 2017'!$E$166</f>
        <v>3.9193984515712001</v>
      </c>
      <c r="K42" s="130"/>
      <c r="L42" s="11"/>
      <c r="M42" s="11"/>
      <c r="N42" s="11"/>
      <c r="O42" s="11"/>
      <c r="P42" s="12"/>
      <c r="Q42" s="236"/>
      <c r="R42" s="236"/>
      <c r="S42" s="236"/>
      <c r="T42" s="191">
        <f>'[2]Elec EB final SATIM for Word'!$L$10*0.0036</f>
        <v>35.827152000000005</v>
      </c>
    </row>
    <row r="43" spans="2:20" x14ac:dyDescent="0.25">
      <c r="B43" s="28"/>
      <c r="C43" s="29" t="s">
        <v>28</v>
      </c>
      <c r="D43" s="86"/>
      <c r="E43" s="113">
        <f>'[3]GasBalanceSATIM edited'!$G$19</f>
        <v>0.91098800000000002</v>
      </c>
      <c r="F43" s="11"/>
      <c r="G43" s="11"/>
      <c r="H43" s="11"/>
      <c r="I43" s="11"/>
      <c r="J43" s="12"/>
      <c r="K43" s="130"/>
      <c r="L43" s="11"/>
      <c r="M43" s="11"/>
      <c r="N43" s="11"/>
      <c r="O43" s="11"/>
      <c r="P43" s="12"/>
      <c r="Q43" s="236"/>
      <c r="R43" s="236"/>
      <c r="S43" s="236"/>
      <c r="T43" s="191"/>
    </row>
    <row r="44" spans="2:20" x14ac:dyDescent="0.25">
      <c r="B44" s="28"/>
      <c r="C44" s="29" t="s">
        <v>29</v>
      </c>
      <c r="D44" s="86"/>
      <c r="E44" s="113">
        <f>'[3]GasBalanceSATIM edited'!$G$20</f>
        <v>26.659407954999999</v>
      </c>
      <c r="F44" s="11"/>
      <c r="G44" s="11"/>
      <c r="H44" s="11"/>
      <c r="I44" s="11"/>
      <c r="J44" s="12"/>
      <c r="K44" s="130"/>
      <c r="L44" s="11"/>
      <c r="M44" s="11"/>
      <c r="N44" s="11"/>
      <c r="O44" s="11"/>
      <c r="P44" s="12"/>
      <c r="Q44" s="236"/>
      <c r="R44" s="236"/>
      <c r="S44" s="236"/>
      <c r="T44" s="191"/>
    </row>
    <row r="45" spans="2:20" x14ac:dyDescent="0.25">
      <c r="B45" s="28"/>
      <c r="C45" s="29" t="s">
        <v>30</v>
      </c>
      <c r="D45" s="86"/>
      <c r="E45" s="113">
        <f>'[3]GasBalanceSATIM edited'!$G$21</f>
        <v>2.7792196364402777</v>
      </c>
      <c r="F45" s="11"/>
      <c r="G45" s="11"/>
      <c r="H45" s="11"/>
      <c r="I45" s="11"/>
      <c r="J45" s="12"/>
      <c r="K45" s="130"/>
      <c r="L45" s="11"/>
      <c r="M45" s="11"/>
      <c r="N45" s="11"/>
      <c r="O45" s="11"/>
      <c r="P45" s="12"/>
      <c r="Q45" s="236"/>
      <c r="R45" s="236"/>
      <c r="S45" s="236"/>
      <c r="T45" s="191"/>
    </row>
    <row r="46" spans="2:20" x14ac:dyDescent="0.25">
      <c r="B46" s="28"/>
      <c r="C46" s="29" t="s">
        <v>31</v>
      </c>
      <c r="D46" s="86"/>
      <c r="E46" s="113">
        <f>'[3]GasBalanceSATIM edited'!$G$22</f>
        <v>2.7792196364402777</v>
      </c>
      <c r="F46" s="11"/>
      <c r="G46" s="11"/>
      <c r="H46" s="11"/>
      <c r="I46" s="11"/>
      <c r="J46" s="12"/>
      <c r="K46" s="130"/>
      <c r="L46" s="11"/>
      <c r="M46" s="11"/>
      <c r="N46" s="11"/>
      <c r="O46" s="11"/>
      <c r="P46" s="12"/>
      <c r="Q46" s="236"/>
      <c r="R46" s="236"/>
      <c r="S46" s="236"/>
      <c r="T46" s="191"/>
    </row>
    <row r="47" spans="2:20" x14ac:dyDescent="0.25">
      <c r="B47" s="28"/>
      <c r="C47" s="29" t="s">
        <v>32</v>
      </c>
      <c r="D47" s="86"/>
      <c r="E47" s="113">
        <f>'[3]GasBalanceSATIM edited'!$G$23</f>
        <v>10.898592044999999</v>
      </c>
      <c r="F47" s="11"/>
      <c r="G47" s="11"/>
      <c r="H47" s="11"/>
      <c r="I47" s="11"/>
      <c r="J47" s="12"/>
      <c r="K47" s="130"/>
      <c r="L47" s="11"/>
      <c r="M47" s="11"/>
      <c r="N47" s="11"/>
      <c r="O47" s="11"/>
      <c r="P47" s="12"/>
      <c r="Q47" s="236"/>
      <c r="R47" s="236"/>
      <c r="S47" s="236"/>
      <c r="T47" s="191"/>
    </row>
    <row r="48" spans="2:20" x14ac:dyDescent="0.25">
      <c r="B48" s="28"/>
      <c r="C48" s="29" t="s">
        <v>33</v>
      </c>
      <c r="D48" s="86"/>
      <c r="E48" s="113">
        <f>'[3]GasBalanceSATIM edited'!$G$24</f>
        <v>6.3570344000000008</v>
      </c>
      <c r="F48" s="11"/>
      <c r="G48" s="11"/>
      <c r="H48" s="11"/>
      <c r="I48" s="11"/>
      <c r="J48" s="12"/>
      <c r="K48" s="130"/>
      <c r="L48" s="11"/>
      <c r="M48" s="11"/>
      <c r="N48" s="11"/>
      <c r="O48" s="11"/>
      <c r="P48" s="12"/>
      <c r="Q48" s="236"/>
      <c r="R48" s="236"/>
      <c r="S48" s="236"/>
      <c r="T48" s="191"/>
    </row>
    <row r="49" spans="2:20" x14ac:dyDescent="0.25">
      <c r="B49" s="26" t="s">
        <v>34</v>
      </c>
      <c r="C49" s="27"/>
      <c r="D49" s="86">
        <f>'[4]CoalBalance SATIM final'!$E$9</f>
        <v>80.41</v>
      </c>
      <c r="E49" s="113">
        <f>'[3]GasBalanceSATIM edited'!$G$25</f>
        <v>15.927381835937499</v>
      </c>
      <c r="F49" s="38">
        <f>'[1]EB 2017'!$E$18</f>
        <v>1.8393730709925001E-2</v>
      </c>
      <c r="G49" s="38">
        <f>'[1]EB 2017'!$E$55</f>
        <v>0</v>
      </c>
      <c r="H49" s="38">
        <f>'[1]EB 2017'!$E$92</f>
        <v>3</v>
      </c>
      <c r="I49" s="38">
        <f>'[1]EB 2017'!$E$129</f>
        <v>7.3999999999999996E-5</v>
      </c>
      <c r="J49" s="116">
        <f>'[1]EB 2017'!$E$167</f>
        <v>0</v>
      </c>
      <c r="K49" s="130"/>
      <c r="L49" s="11"/>
      <c r="M49" s="11"/>
      <c r="N49" s="11"/>
      <c r="O49" s="11"/>
      <c r="P49" s="12"/>
      <c r="Q49" s="236"/>
      <c r="R49" s="236"/>
      <c r="S49" s="236"/>
      <c r="T49" s="191">
        <f>'[2]Elec EB final SATIM for Word'!$G$14*0.0036</f>
        <v>17.395132071599999</v>
      </c>
    </row>
    <row r="50" spans="2:20" x14ac:dyDescent="0.25">
      <c r="B50" s="28" t="s">
        <v>35</v>
      </c>
      <c r="C50" s="29"/>
      <c r="D50" s="86">
        <f>'[4]CoalBalance SATIM final'!$E$10</f>
        <v>0.45</v>
      </c>
      <c r="E50" s="113">
        <f>'[3]GasBalanceSATIM edited'!$G$26</f>
        <v>2.2541069641113283</v>
      </c>
      <c r="F50" s="11"/>
      <c r="G50" s="11">
        <f>0</f>
        <v>0</v>
      </c>
      <c r="H50" s="11">
        <f>0</f>
        <v>0</v>
      </c>
      <c r="I50" s="11"/>
      <c r="J50" s="12"/>
      <c r="K50" s="130"/>
      <c r="L50" s="11"/>
      <c r="M50" s="11"/>
      <c r="N50" s="11"/>
      <c r="O50" s="11"/>
      <c r="P50" s="12"/>
      <c r="Q50" s="236"/>
      <c r="R50" s="236"/>
      <c r="S50" s="236"/>
      <c r="T50" s="191">
        <f>'[2]Elec EB final SATIM for Word'!$G$17*0.0036</f>
        <v>53.296981264799996</v>
      </c>
    </row>
    <row r="51" spans="2:20" x14ac:dyDescent="0.25">
      <c r="B51" s="28" t="s">
        <v>36</v>
      </c>
      <c r="C51" s="29"/>
      <c r="D51" s="86">
        <f>'[4]CoalBalance SATIM final'!$E$11</f>
        <v>48.92</v>
      </c>
      <c r="E51" s="113">
        <f>'[3]GasBalanceSATIM edited'!$G$27</f>
        <v>15.49837338256836</v>
      </c>
      <c r="F51" s="38">
        <f>'[1]EB 2017'!$E$19</f>
        <v>9.1748985627900011E-3</v>
      </c>
      <c r="G51" s="38">
        <f>'[1]EB 2017'!$E$56</f>
        <v>0</v>
      </c>
      <c r="H51" s="38">
        <f>'[1]EB 2017'!$E$93</f>
        <v>0</v>
      </c>
      <c r="I51" s="38">
        <f>'[1]EB 2017'!$E$130</f>
        <v>5.8878469999999999E-3</v>
      </c>
      <c r="J51" s="116">
        <f>'[1]EB 2017'!$E$168</f>
        <v>0</v>
      </c>
      <c r="K51" s="130"/>
      <c r="L51" s="11"/>
      <c r="M51" s="11"/>
      <c r="N51" s="11"/>
      <c r="O51" s="11"/>
      <c r="P51" s="12"/>
      <c r="Q51" s="236"/>
      <c r="R51" s="236"/>
      <c r="S51" s="236"/>
      <c r="T51" s="191">
        <f>'[2]Elec EB final SATIM for Word'!$G$16*0.0036</f>
        <v>5.8745159999999998</v>
      </c>
    </row>
    <row r="52" spans="2:20" x14ac:dyDescent="0.25">
      <c r="B52" s="28" t="s">
        <v>37</v>
      </c>
      <c r="C52" s="29"/>
      <c r="D52" s="86">
        <f>'[4]CoalBalance SATIM final'!$E$12</f>
        <v>0</v>
      </c>
      <c r="E52" s="113">
        <f>0</f>
        <v>0</v>
      </c>
      <c r="F52" s="38">
        <f>'[1]EB 2017'!$E$20</f>
        <v>0</v>
      </c>
      <c r="G52" s="38">
        <f>'[1]EB 2017'!$E$57</f>
        <v>0</v>
      </c>
      <c r="H52" s="38">
        <f>'[1]EB 2017'!$E$94</f>
        <v>2.34</v>
      </c>
      <c r="I52" s="38">
        <f>'[1]EB 2017'!$E$131</f>
        <v>0</v>
      </c>
      <c r="J52" s="116">
        <f>'[1]EB 2017'!$E$169</f>
        <v>0</v>
      </c>
      <c r="K52" s="130"/>
      <c r="L52" s="11"/>
      <c r="M52" s="11"/>
      <c r="N52" s="11"/>
      <c r="O52" s="11"/>
      <c r="P52" s="12"/>
      <c r="Q52" s="192"/>
      <c r="R52" s="192"/>
      <c r="S52" s="192"/>
      <c r="T52" s="230"/>
    </row>
    <row r="53" spans="2:20" x14ac:dyDescent="0.25">
      <c r="B53" s="28" t="s">
        <v>38</v>
      </c>
      <c r="C53" s="29"/>
      <c r="D53" s="86">
        <f>'[4]CoalBalance SATIM final'!$E$13</f>
        <v>75.600000000000009</v>
      </c>
      <c r="E53" s="113"/>
      <c r="F53" s="38">
        <f>'[1]EB 2017'!$E$21</f>
        <v>0</v>
      </c>
      <c r="G53" s="38">
        <f>'[1]EB 2017'!$E$58</f>
        <v>0</v>
      </c>
      <c r="H53" s="38">
        <f>'[1]EB 2017'!$E$95</f>
        <v>0</v>
      </c>
      <c r="I53" s="38">
        <f>'[1]EB 2017'!$E$132</f>
        <v>0</v>
      </c>
      <c r="J53" s="116">
        <f>'[1]EB 2017'!$E$170</f>
        <v>0</v>
      </c>
      <c r="K53" s="130"/>
      <c r="L53" s="11"/>
      <c r="M53" s="11"/>
      <c r="N53" s="11"/>
      <c r="O53" s="11"/>
      <c r="P53" s="12"/>
      <c r="Q53" s="236"/>
      <c r="R53" s="236"/>
      <c r="S53" s="236"/>
      <c r="T53" s="191">
        <f>'[2]Elec EB final SATIM for Word'!$G$11*0.0036</f>
        <v>51.817372077599998</v>
      </c>
    </row>
    <row r="54" spans="2:20" x14ac:dyDescent="0.25">
      <c r="B54" s="28" t="s">
        <v>39</v>
      </c>
      <c r="C54" s="29"/>
      <c r="D54" s="86"/>
      <c r="E54" s="113">
        <f>'[3]GasBalanceSATIM edited'!$G$28</f>
        <v>0.66913997936248781</v>
      </c>
      <c r="F54" s="11"/>
      <c r="G54" s="11"/>
      <c r="H54" s="11"/>
      <c r="I54" s="11"/>
      <c r="J54" s="12"/>
      <c r="K54" s="130"/>
      <c r="L54" s="11"/>
      <c r="M54" s="11"/>
      <c r="N54" s="11"/>
      <c r="O54" s="11"/>
      <c r="P54" s="12"/>
      <c r="Q54" s="236"/>
      <c r="R54" s="236"/>
      <c r="S54" s="236"/>
      <c r="T54" s="191"/>
    </row>
    <row r="55" spans="2:20" x14ac:dyDescent="0.25">
      <c r="B55" s="28" t="s">
        <v>40</v>
      </c>
      <c r="C55" s="29"/>
      <c r="D55" s="86"/>
      <c r="E55" s="113">
        <f>'[3]GasBalanceSATIM edited'!$G$29</f>
        <v>1.4128140563964844</v>
      </c>
      <c r="F55" s="11"/>
      <c r="G55" s="11"/>
      <c r="H55" s="11"/>
      <c r="I55" s="11"/>
      <c r="J55" s="12"/>
      <c r="K55" s="130"/>
      <c r="L55" s="11"/>
      <c r="M55" s="11"/>
      <c r="N55" s="11"/>
      <c r="O55" s="11"/>
      <c r="P55" s="12"/>
      <c r="Q55" s="236"/>
      <c r="R55" s="236"/>
      <c r="S55" s="236"/>
      <c r="T55" s="191"/>
    </row>
    <row r="56" spans="2:20" x14ac:dyDescent="0.25">
      <c r="B56" s="28" t="s">
        <v>41</v>
      </c>
      <c r="C56" s="29"/>
      <c r="D56" s="86">
        <f>'[4]CoalBalance SATIM final'!$E$14</f>
        <v>38.15</v>
      </c>
      <c r="E56" s="113">
        <f>'[3]GasBalanceSATIM edited'!$G$30</f>
        <v>1.0014639892578125</v>
      </c>
      <c r="F56" s="38">
        <f>'[1]EB 2017'!$E$22</f>
        <v>29.930612534513735</v>
      </c>
      <c r="G56" s="38">
        <f>'[1]EB 2017'!$E$59</f>
        <v>0</v>
      </c>
      <c r="H56" s="38">
        <f>'[1]EB 2017'!$E$96</f>
        <v>0.13585720949999999</v>
      </c>
      <c r="I56" s="38">
        <f>'[1]EB 2017'!$E$133</f>
        <v>0.45839629300000001</v>
      </c>
      <c r="J56" s="116">
        <f>'[1]EB 2017'!$E$171</f>
        <v>1.310085041824</v>
      </c>
      <c r="K56" s="130"/>
      <c r="L56" s="11"/>
      <c r="M56" s="11"/>
      <c r="N56" s="11"/>
      <c r="O56" s="11"/>
      <c r="P56" s="12"/>
      <c r="Q56" s="236"/>
      <c r="R56" s="236"/>
      <c r="S56" s="236"/>
      <c r="T56" s="191">
        <f>'[2]Elec EB final SATIM for Word'!$G$15*0.0036</f>
        <v>110.05723589401801</v>
      </c>
    </row>
    <row r="57" spans="2:20" x14ac:dyDescent="0.25">
      <c r="B57" s="28" t="s">
        <v>42</v>
      </c>
      <c r="C57" s="29"/>
      <c r="D57" s="86">
        <f>'[4]CoalBalance SATIM final'!$E$15</f>
        <v>16.27</v>
      </c>
      <c r="E57" s="113">
        <f>'[3]GasBalanceSATIM edited'!$G$31</f>
        <v>7.3658288574218753</v>
      </c>
      <c r="F57" s="38">
        <f>'[1]EB 2017'!$E$23</f>
        <v>0</v>
      </c>
      <c r="G57" s="38">
        <f>'[1]EB 2017'!$E$60</f>
        <v>0</v>
      </c>
      <c r="H57" s="38">
        <f>'[1]EB 2017'!$E$97</f>
        <v>0</v>
      </c>
      <c r="I57" s="38">
        <f>'[1]EB 2017'!$E$134</f>
        <v>9.0784716999999987E-2</v>
      </c>
      <c r="J57" s="116">
        <f>'[1]EB 2017'!$E$172</f>
        <v>5.4638979199999993E-2</v>
      </c>
      <c r="K57" s="130"/>
      <c r="L57" s="11"/>
      <c r="M57" s="11"/>
      <c r="N57" s="11"/>
      <c r="O57" s="11"/>
      <c r="P57" s="12"/>
      <c r="Q57" s="236"/>
      <c r="R57" s="236"/>
      <c r="S57" s="236"/>
      <c r="T57" s="191">
        <f>'[2]Elec EB final SATIM for Word'!$G$12*0.0036</f>
        <v>16.3530898128</v>
      </c>
    </row>
    <row r="58" spans="2:20" x14ac:dyDescent="0.25">
      <c r="B58" s="28" t="s">
        <v>43</v>
      </c>
      <c r="C58" s="29"/>
      <c r="D58" s="145">
        <f>'[4]CoalBalance SATIM final'!$E$16</f>
        <v>58.622363636363637</v>
      </c>
      <c r="E58" s="113">
        <f>'[3]GasBalanceSATIM edited'!$G$32</f>
        <v>4.1653308105468749</v>
      </c>
      <c r="F58" s="38">
        <f>'[1]EB 2017'!$E$24</f>
        <v>2.0404596230985002E-2</v>
      </c>
      <c r="G58" s="38">
        <f>'[1]EB 2017'!$E$61</f>
        <v>0</v>
      </c>
      <c r="H58" s="38">
        <f>'[1]EB 2017'!$E$98</f>
        <v>0</v>
      </c>
      <c r="I58" s="38">
        <f>'[1]EB 2017'!$E$135</f>
        <v>0</v>
      </c>
      <c r="J58" s="116">
        <f>'[1]EB 2017'!$E$173</f>
        <v>2.7800448000000002E-2</v>
      </c>
      <c r="K58" s="130"/>
      <c r="L58" s="11"/>
      <c r="M58" s="11"/>
      <c r="N58" s="11"/>
      <c r="O58" s="11"/>
      <c r="P58" s="12"/>
      <c r="Q58" s="236"/>
      <c r="R58" s="236"/>
      <c r="S58" s="236"/>
      <c r="T58" s="191">
        <f>'[2]Elec EB final SATIM for Word'!$G$18*0.0036</f>
        <v>14.234963364</v>
      </c>
    </row>
    <row r="59" spans="2:20" x14ac:dyDescent="0.25">
      <c r="B59" s="28" t="s">
        <v>44</v>
      </c>
      <c r="C59" s="29"/>
      <c r="D59" s="145"/>
      <c r="E59" s="113">
        <f>'[3]GasBalanceSATIM edited'!$G$33</f>
        <v>0</v>
      </c>
      <c r="F59" s="11"/>
      <c r="G59" s="11"/>
      <c r="H59" s="11"/>
      <c r="I59" s="11"/>
      <c r="J59" s="12"/>
      <c r="K59" s="130"/>
      <c r="L59" s="11"/>
      <c r="M59" s="11"/>
      <c r="N59" s="11"/>
      <c r="O59" s="11"/>
      <c r="P59" s="12"/>
      <c r="Q59" s="236"/>
      <c r="R59" s="236"/>
      <c r="S59" s="236"/>
      <c r="T59" s="191"/>
    </row>
    <row r="60" spans="2:20" x14ac:dyDescent="0.25">
      <c r="B60" s="28" t="s">
        <v>45</v>
      </c>
      <c r="C60" s="29"/>
      <c r="D60" s="145"/>
      <c r="E60" s="113">
        <f>'[3]GasBalanceSATIM edited'!$G$34</f>
        <v>0</v>
      </c>
      <c r="F60" s="38">
        <f>'[1]EB 2017'!$E$25</f>
        <v>4.1995176118826993</v>
      </c>
      <c r="G60" s="38">
        <f>'[1]EB 2017'!$E$62</f>
        <v>0</v>
      </c>
      <c r="H60" s="38">
        <f>'[1]EB 2017'!$E$99</f>
        <v>9.7612743599999996E-2</v>
      </c>
      <c r="I60" s="38">
        <f>'[1]EB 2017'!$E$136</f>
        <v>0.25556303300000005</v>
      </c>
      <c r="J60" s="116">
        <f>'[1]EB 2017'!$E$174</f>
        <v>1.3476220409600002</v>
      </c>
      <c r="K60" s="130"/>
      <c r="L60" s="11"/>
      <c r="M60" s="11"/>
      <c r="N60" s="11"/>
      <c r="O60" s="11"/>
      <c r="P60" s="12"/>
      <c r="Q60" s="236"/>
      <c r="R60" s="236"/>
      <c r="S60" s="236"/>
      <c r="T60" s="191"/>
    </row>
    <row r="61" spans="2:20" x14ac:dyDescent="0.25">
      <c r="B61" s="28" t="s">
        <v>46</v>
      </c>
      <c r="C61" s="29"/>
      <c r="D61" s="145"/>
      <c r="E61" s="113">
        <f>'[3]GasBalanceSATIM edited'!$G$35</f>
        <v>1.4420000076293946E-2</v>
      </c>
      <c r="F61" s="38">
        <f>'[1]EB 2017'!$E$27</f>
        <v>6.9640022644364988E-2</v>
      </c>
      <c r="G61" s="11"/>
      <c r="H61" s="11"/>
      <c r="I61" s="11"/>
      <c r="J61" s="12"/>
      <c r="K61" s="130"/>
      <c r="L61" s="11"/>
      <c r="M61" s="11"/>
      <c r="N61" s="11"/>
      <c r="O61" s="11"/>
      <c r="P61" s="12"/>
      <c r="Q61" s="236"/>
      <c r="R61" s="236"/>
      <c r="S61" s="236"/>
      <c r="T61" s="191"/>
    </row>
    <row r="62" spans="2:20" x14ac:dyDescent="0.25">
      <c r="B62" s="28" t="s">
        <v>47</v>
      </c>
      <c r="C62" s="29"/>
      <c r="D62" s="145">
        <f>'[4]CoalBalance SATIM final'!$E$17</f>
        <v>101.63644444444444</v>
      </c>
      <c r="E62" s="113">
        <f>'[3]GasBalanceSATIM edited'!$G$36</f>
        <v>4.6039031982421879</v>
      </c>
      <c r="F62" s="11"/>
      <c r="G62" s="38">
        <f>'[1]EB 2017'!$E$64</f>
        <v>0</v>
      </c>
      <c r="H62" s="38">
        <f>'[1]EB 2017'!$E$101</f>
        <v>0.55581081040949998</v>
      </c>
      <c r="I62" s="38">
        <f>'[1]EB 2017'!$E$138</f>
        <v>0.54701236600000014</v>
      </c>
      <c r="J62" s="116">
        <f>'[1]EB 2017'!$E$176</f>
        <v>0.45941164672000007</v>
      </c>
      <c r="K62" s="130"/>
      <c r="L62" s="11"/>
      <c r="M62" s="11"/>
      <c r="N62" s="11"/>
      <c r="O62" s="11"/>
      <c r="P62" s="12"/>
      <c r="Q62" s="236"/>
      <c r="R62" s="236"/>
      <c r="S62" s="236"/>
      <c r="T62" s="191">
        <f>'[2]Elec EB final SATIM for Word'!$G$13*0.0036</f>
        <v>23.179164163199999</v>
      </c>
    </row>
    <row r="63" spans="2:20" s="3" customFormat="1" x14ac:dyDescent="0.25">
      <c r="B63" s="22" t="s">
        <v>48</v>
      </c>
      <c r="C63" s="37"/>
      <c r="D63" s="110"/>
      <c r="E63" s="117"/>
      <c r="F63" s="47">
        <f>'[1]EB 2017'!$E$28</f>
        <v>402.98301301502124</v>
      </c>
      <c r="G63" s="47">
        <f>'[1]EB 2017'!$E$65</f>
        <v>381.58026708936421</v>
      </c>
      <c r="H63" s="47">
        <f>'[1]EB 2017'!$E$102</f>
        <v>0.11545467083249998</v>
      </c>
      <c r="I63" s="47">
        <f>'[1]EB 2017'!$E$139</f>
        <v>93.343548732200901</v>
      </c>
      <c r="J63" s="118">
        <f>'[1]EB 2017'!$E$177</f>
        <v>24.3537754952544</v>
      </c>
      <c r="K63" s="131"/>
      <c r="L63" s="48"/>
      <c r="M63" s="48"/>
      <c r="N63" s="48"/>
      <c r="O63" s="48"/>
      <c r="P63" s="49"/>
      <c r="Q63" s="248"/>
      <c r="R63" s="248"/>
      <c r="S63" s="248"/>
      <c r="T63" s="231">
        <f>'[2]Elec EB final SATIM for Word'!G$23*0.0036</f>
        <v>13.973181383639751</v>
      </c>
    </row>
    <row r="64" spans="2:20" x14ac:dyDescent="0.25">
      <c r="B64" s="23" t="s">
        <v>49</v>
      </c>
      <c r="C64" s="29"/>
      <c r="D64" s="86"/>
      <c r="E64" s="113"/>
      <c r="F64" s="38">
        <f>'[1]EB 2017'!$E$29</f>
        <v>395.7229620893155</v>
      </c>
      <c r="G64" s="38">
        <f>'[1]EB 2017'!$E$66</f>
        <v>381.58026708936421</v>
      </c>
      <c r="H64" s="38">
        <f>'[1]EB 2017'!$E$103</f>
        <v>0.10675268693249998</v>
      </c>
      <c r="I64" s="38">
        <f>'[1]EB 2017'!$E$140</f>
        <v>0.30513994190900001</v>
      </c>
      <c r="J64" s="116">
        <f>'[1]EB 2017'!$E$178</f>
        <v>0</v>
      </c>
      <c r="K64" s="130"/>
      <c r="L64" s="11"/>
      <c r="M64" s="11"/>
      <c r="N64" s="11"/>
      <c r="O64" s="11"/>
      <c r="P64" s="12"/>
      <c r="Q64" s="236"/>
      <c r="R64" s="236"/>
      <c r="S64" s="236"/>
      <c r="T64" s="191"/>
    </row>
    <row r="65" spans="2:21" x14ac:dyDescent="0.25">
      <c r="B65" s="23" t="s">
        <v>52</v>
      </c>
      <c r="C65" s="29"/>
      <c r="D65" s="86"/>
      <c r="E65" s="113"/>
      <c r="F65" s="38">
        <f>'[1]EB 2017'!$E$30</f>
        <v>7.6125333856469996E-2</v>
      </c>
      <c r="G65" s="38">
        <f>'[1]EB 2017'!$E$67</f>
        <v>0</v>
      </c>
      <c r="H65" s="38">
        <f>'[1]EB 2017'!$E$104</f>
        <v>0</v>
      </c>
      <c r="I65" s="38">
        <f>'[1]EB 2017'!$E$141</f>
        <v>14.089421919645099</v>
      </c>
      <c r="J65" s="116">
        <f>'[1]EB 2017'!$E$179</f>
        <v>0</v>
      </c>
      <c r="K65" s="130"/>
      <c r="L65" s="11"/>
      <c r="M65" s="11"/>
      <c r="N65" s="11"/>
      <c r="O65" s="11"/>
      <c r="P65" s="12"/>
      <c r="Q65" s="236"/>
      <c r="R65" s="236"/>
      <c r="S65" s="236"/>
      <c r="T65" s="191"/>
    </row>
    <row r="66" spans="2:21" x14ac:dyDescent="0.25">
      <c r="B66" s="23" t="s">
        <v>54</v>
      </c>
      <c r="C66" s="29"/>
      <c r="D66" s="86"/>
      <c r="E66" s="113"/>
      <c r="F66" s="38">
        <f>'[1]EB 2017'!$E$31</f>
        <v>0</v>
      </c>
      <c r="G66" s="38">
        <f>'[1]EB 2017'!$E$68</f>
        <v>0</v>
      </c>
      <c r="H66" s="38">
        <f>'[1]EB 2017'!$E$105</f>
        <v>0</v>
      </c>
      <c r="I66" s="38">
        <f>'[1]EB 2017'!$E$142</f>
        <v>78.944447488646802</v>
      </c>
      <c r="J66" s="116">
        <f>'[1]EB 2017'!$E$180</f>
        <v>0</v>
      </c>
      <c r="K66" s="130"/>
      <c r="L66" s="11"/>
      <c r="M66" s="11"/>
      <c r="N66" s="11"/>
      <c r="O66" s="11"/>
      <c r="P66" s="12"/>
      <c r="Q66" s="236"/>
      <c r="R66" s="236"/>
      <c r="S66" s="236"/>
      <c r="T66" s="191"/>
    </row>
    <row r="67" spans="2:21" x14ac:dyDescent="0.25">
      <c r="B67" s="23" t="s">
        <v>56</v>
      </c>
      <c r="C67" s="29"/>
      <c r="D67" s="86"/>
      <c r="E67" s="113"/>
      <c r="F67" s="38">
        <f>'[1]EB 2017'!$E$32</f>
        <v>0</v>
      </c>
      <c r="G67" s="38">
        <f>'[1]EB 2017'!$E$69</f>
        <v>0</v>
      </c>
      <c r="H67" s="38">
        <f>'[1]EB 2017'!$E$106</f>
        <v>0</v>
      </c>
      <c r="I67" s="38">
        <f>'[1]EB 2017'!$E$143</f>
        <v>0</v>
      </c>
      <c r="J67" s="116">
        <f>'[1]EB 2017'!$E$181</f>
        <v>23.232316288854399</v>
      </c>
      <c r="K67" s="130"/>
      <c r="L67" s="11"/>
      <c r="M67" s="11"/>
      <c r="N67" s="11"/>
      <c r="O67" s="11"/>
      <c r="P67" s="12"/>
      <c r="Q67" s="236"/>
      <c r="R67" s="236"/>
      <c r="S67" s="236"/>
      <c r="T67" s="191"/>
    </row>
    <row r="68" spans="2:21" x14ac:dyDescent="0.25">
      <c r="B68" s="23" t="s">
        <v>58</v>
      </c>
      <c r="C68" s="29"/>
      <c r="D68" s="86"/>
      <c r="E68" s="113"/>
      <c r="F68" s="38">
        <f>'[1]EB 2017'!$E$33</f>
        <v>0</v>
      </c>
      <c r="G68" s="38">
        <f>'[1]EB 2017'!$E$70</f>
        <v>0</v>
      </c>
      <c r="H68" s="38">
        <f>'[1]EB 2017'!$E$107</f>
        <v>0</v>
      </c>
      <c r="I68" s="38">
        <f>'[1]EB 2017'!$E$142</f>
        <v>78.944447488646802</v>
      </c>
      <c r="J68" s="116">
        <f>'[1]EB 2017'!$E$182</f>
        <v>0</v>
      </c>
      <c r="K68" s="130"/>
      <c r="L68" s="11"/>
      <c r="M68" s="11"/>
      <c r="N68" s="11"/>
      <c r="O68" s="11"/>
      <c r="P68" s="12"/>
      <c r="Q68" s="236"/>
      <c r="R68" s="236"/>
      <c r="S68" s="236"/>
      <c r="T68" s="191"/>
    </row>
    <row r="69" spans="2:21" x14ac:dyDescent="0.25">
      <c r="B69" s="23" t="s">
        <v>61</v>
      </c>
      <c r="C69" s="29"/>
      <c r="D69" s="86"/>
      <c r="E69" s="113"/>
      <c r="F69" s="38">
        <f>'[1]EB 2017'!$E$34</f>
        <v>6.4729999999999999</v>
      </c>
      <c r="G69" s="38">
        <f>'[1]EB 2017'!$E$71</f>
        <v>0</v>
      </c>
      <c r="H69" s="38">
        <f>'[1]EB 2017'!$E$108</f>
        <v>0</v>
      </c>
      <c r="I69" s="38">
        <f>'[1]EB 2017'!$E$145</f>
        <v>6.2160000000000001E-5</v>
      </c>
      <c r="J69" s="116">
        <f>'[1]EB 2017'!$E$183</f>
        <v>0</v>
      </c>
      <c r="K69" s="130"/>
      <c r="L69" s="11"/>
      <c r="M69" s="11"/>
      <c r="N69" s="11"/>
      <c r="O69" s="11"/>
      <c r="P69" s="12"/>
      <c r="Q69" s="236"/>
      <c r="R69" s="236"/>
      <c r="S69" s="236"/>
      <c r="T69" s="191"/>
    </row>
    <row r="70" spans="2:21" x14ac:dyDescent="0.25">
      <c r="B70" s="23" t="s">
        <v>63</v>
      </c>
      <c r="C70" s="29"/>
      <c r="D70" s="86"/>
      <c r="E70" s="113"/>
      <c r="F70" s="38">
        <f>'[1]EB 2017'!$E$35</f>
        <v>0.71092559184929993</v>
      </c>
      <c r="G70" s="38">
        <f>'[1]EB 2017'!$E$72</f>
        <v>0</v>
      </c>
      <c r="H70" s="38">
        <f>'[1]EB 2017'!$E$109</f>
        <v>8.7019838999999998E-3</v>
      </c>
      <c r="I70" s="38">
        <f>'[1]EB 2017'!$E$146</f>
        <v>4.4772219999999995E-3</v>
      </c>
      <c r="J70" s="116">
        <f>'[1]EB 2017'!$E$184</f>
        <v>1.1214592064000002</v>
      </c>
      <c r="K70" s="130"/>
      <c r="L70" s="11"/>
      <c r="M70" s="11"/>
      <c r="N70" s="11"/>
      <c r="O70" s="11"/>
      <c r="P70" s="12"/>
      <c r="Q70" s="236"/>
      <c r="R70" s="236"/>
      <c r="S70" s="236"/>
      <c r="T70" s="191"/>
    </row>
    <row r="71" spans="2:21" s="3" customFormat="1" x14ac:dyDescent="0.25">
      <c r="B71" s="36" t="s">
        <v>65</v>
      </c>
      <c r="C71" s="37"/>
      <c r="D71" s="110">
        <f>'[4]CoalBalance SATIM final'!$E$18</f>
        <v>41.03</v>
      </c>
      <c r="E71" s="117">
        <f>'[3]GasBalanceSATIM edited'!$G$37</f>
        <v>1.4527976531982421</v>
      </c>
      <c r="F71" s="47">
        <f>'[1]EB 2017'!$E$36</f>
        <v>26.36378412491279</v>
      </c>
      <c r="G71" s="47">
        <f>'[1]EB 2017'!$E$73</f>
        <v>0.22994539289999999</v>
      </c>
      <c r="H71" s="47">
        <f>'[1]EB 2017'!$E$110</f>
        <v>12.151365655866027</v>
      </c>
      <c r="I71" s="47">
        <f>'[1]EB 2017'!$E$147</f>
        <v>22.348961799534003</v>
      </c>
      <c r="J71" s="118">
        <f>'[1]EB 2017'!$E$185</f>
        <v>4.3932764510752005</v>
      </c>
      <c r="K71" s="131"/>
      <c r="L71" s="48"/>
      <c r="M71" s="48"/>
      <c r="N71" s="48"/>
      <c r="O71" s="48"/>
      <c r="P71" s="49"/>
      <c r="Q71" s="248"/>
      <c r="R71" s="248"/>
      <c r="S71" s="248"/>
      <c r="T71" s="231"/>
    </row>
    <row r="72" spans="2:21" x14ac:dyDescent="0.25">
      <c r="B72" s="28" t="s">
        <v>67</v>
      </c>
      <c r="C72" s="29"/>
      <c r="D72" s="86">
        <f>'[4]CoalBalance SATIM final'!$E$19</f>
        <v>0.8</v>
      </c>
      <c r="E72" s="113">
        <f>'[3]GasBalanceSATIM edited'!$G$38</f>
        <v>0</v>
      </c>
      <c r="F72" s="38">
        <f>'[1]EB 2017'!$E$37</f>
        <v>23.248930058093379</v>
      </c>
      <c r="G72" s="38">
        <f>'[1]EB 2017'!$E$74</f>
        <v>0</v>
      </c>
      <c r="H72" s="38">
        <f>'[1]EB 2017'!$E$111</f>
        <v>0</v>
      </c>
      <c r="I72" s="38">
        <f>'[1]EB 2017'!$E$148</f>
        <v>9.3958823555049982</v>
      </c>
      <c r="J72" s="116">
        <f>'[1]EB 2017'!$E$186</f>
        <v>0</v>
      </c>
      <c r="K72" s="130"/>
      <c r="L72" s="11"/>
      <c r="M72" s="11"/>
      <c r="N72" s="11"/>
      <c r="O72" s="11"/>
      <c r="P72" s="12"/>
      <c r="Q72" s="236"/>
      <c r="R72" s="236"/>
      <c r="S72" s="236"/>
      <c r="T72" s="191">
        <f>'[2]Elec EB final SATIM for Word'!$G$20*0.0036</f>
        <v>20.577208021534798</v>
      </c>
    </row>
    <row r="73" spans="2:21" x14ac:dyDescent="0.25">
      <c r="B73" s="28" t="s">
        <v>69</v>
      </c>
      <c r="C73" s="29"/>
      <c r="D73" s="86"/>
      <c r="E73" s="113"/>
      <c r="F73" s="38">
        <f>'[1]EB 2017'!$E$38</f>
        <v>2.0187781933156499</v>
      </c>
      <c r="G73" s="38">
        <f>'[1]EB 2017'!$E$75</f>
        <v>0.22994539289999999</v>
      </c>
      <c r="H73" s="38">
        <f>'[1]EB 2017'!$E$112</f>
        <v>0</v>
      </c>
      <c r="I73" s="38">
        <f>'[1]EB 2017'!$E$149</f>
        <v>0.84972856899999993</v>
      </c>
      <c r="J73" s="116">
        <f>'[1]EB 2017'!$E$187</f>
        <v>1.6464979325600002</v>
      </c>
      <c r="K73" s="130"/>
      <c r="L73" s="11"/>
      <c r="M73" s="11"/>
      <c r="N73" s="11"/>
      <c r="O73" s="11"/>
      <c r="P73" s="12"/>
      <c r="Q73" s="236"/>
      <c r="R73" s="236"/>
      <c r="S73" s="236"/>
      <c r="T73" s="191"/>
    </row>
    <row r="74" spans="2:21" x14ac:dyDescent="0.25">
      <c r="B74" s="28" t="s">
        <v>70</v>
      </c>
      <c r="C74" s="29"/>
      <c r="D74" s="145">
        <f>'[4]CoalBalance SATIM final'!$E$20</f>
        <v>26.73</v>
      </c>
      <c r="E74" s="113">
        <f>'[3]GasBalanceSATIM edited'!$G$39</f>
        <v>1.2323005371093749</v>
      </c>
      <c r="F74" s="38">
        <f>SUM('[1]EB 2017'!$E$40,'[1]EB 2017'!$E$41)</f>
        <v>1.0960758735037621</v>
      </c>
      <c r="G74" s="38">
        <f>SUM('[1]EB 2017'!$E$77,'[1]EB 2017'!$E$78)</f>
        <v>0</v>
      </c>
      <c r="H74" s="38">
        <f>SUM('[1]EB 2017'!$E$114,'[1]EB 2017'!$E$115)</f>
        <v>2.1513656558660275</v>
      </c>
      <c r="I74" s="38">
        <f>SUM('[1]EB 2017'!$E$151,'[1]EB 2017'!$E$152)</f>
        <v>5.2782291194419999</v>
      </c>
      <c r="J74" s="116">
        <f>SUM('[1]EB 2017'!$E$189,'[1]EB 2017'!$E$190)</f>
        <v>2.7467785185151996</v>
      </c>
      <c r="K74" s="130"/>
      <c r="L74" s="11"/>
      <c r="M74" s="11"/>
      <c r="N74" s="11"/>
      <c r="O74" s="11"/>
      <c r="P74" s="12"/>
      <c r="Q74" s="236"/>
      <c r="R74" s="236"/>
      <c r="S74" s="236"/>
      <c r="T74" s="191">
        <f>'[2]Elec EB final SATIM for Word'!$G$21*0.0036</f>
        <v>137.75946600496846</v>
      </c>
      <c r="U74">
        <f>T74/3.6</f>
        <v>38.26651833471346</v>
      </c>
    </row>
    <row r="75" spans="2:21" ht="15.75" thickBot="1" x14ac:dyDescent="0.3">
      <c r="B75" s="91" t="s">
        <v>71</v>
      </c>
      <c r="C75" s="42"/>
      <c r="D75" s="108">
        <f>'[4]CoalBalance SATIM final'!$E$21</f>
        <v>13.5</v>
      </c>
      <c r="E75" s="121">
        <f>'[3]GasBalanceSATIM edited'!$G$40</f>
        <v>0.22049711608886718</v>
      </c>
      <c r="F75" s="55">
        <f>'[1]EB 2017'!$E$39</f>
        <v>0</v>
      </c>
      <c r="G75" s="55">
        <f>'[1]EB 2017'!$E$76</f>
        <v>0</v>
      </c>
      <c r="H75" s="55">
        <f>'[1]EB 2017'!$E$113</f>
        <v>10</v>
      </c>
      <c r="I75" s="55">
        <f>'[1]EB 2017'!$E$150</f>
        <v>6.8251217555870047</v>
      </c>
      <c r="J75" s="144">
        <f>'[1]EB 2017'!$E$188</f>
        <v>0</v>
      </c>
      <c r="K75" s="135"/>
      <c r="L75" s="20"/>
      <c r="M75" s="20"/>
      <c r="N75" s="20"/>
      <c r="O75" s="20"/>
      <c r="P75" s="21"/>
      <c r="Q75" s="242"/>
      <c r="R75" s="242"/>
      <c r="S75" s="242"/>
      <c r="T75" s="209">
        <f>'[2]Elec EB final SATIM for Word'!$G$22*0.0036</f>
        <v>169.83097259190842</v>
      </c>
    </row>
    <row r="77" spans="2:21" s="3" customFormat="1" x14ac:dyDescent="0.25">
      <c r="T77" s="232"/>
    </row>
    <row r="90" spans="20:20" s="3" customFormat="1" x14ac:dyDescent="0.25">
      <c r="T90" s="232"/>
    </row>
    <row r="92" spans="20:20" s="3" customFormat="1" x14ac:dyDescent="0.25">
      <c r="T92" s="232"/>
    </row>
  </sheetData>
  <mergeCells count="2">
    <mergeCell ref="B4:C4"/>
    <mergeCell ref="B2:C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DMRE IEA format</vt:lpstr>
      <vt:lpstr>Eurostats format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merven</dc:creator>
  <cp:keywords/>
  <dc:description/>
  <cp:lastModifiedBy>Bruno Merven</cp:lastModifiedBy>
  <cp:revision/>
  <dcterms:created xsi:type="dcterms:W3CDTF">2022-11-21T08:56:49Z</dcterms:created>
  <dcterms:modified xsi:type="dcterms:W3CDTF">2024-05-09T09:24:59Z</dcterms:modified>
  <cp:category/>
  <cp:contentStatus/>
</cp:coreProperties>
</file>